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1. Enero 2021\"/>
    </mc:Choice>
  </mc:AlternateContent>
  <xr:revisionPtr revIDLastSave="0" documentId="13_ncr:1_{EFAFEDED-AFA6-48C0-A2DF-D849A873DAA4}" xr6:coauthVersionLast="47" xr6:coauthVersionMax="47" xr10:uidLastSave="{00000000-0000-0000-0000-000000000000}"/>
  <bookViews>
    <workbookView xWindow="-108" yWindow="-108" windowWidth="23256" windowHeight="12576"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28.ANEXO III-4" sheetId="65" r:id="rId30"/>
    <sheet name="Contraportada" sheetId="59" r:id="rId31"/>
  </sheets>
  <definedNames>
    <definedName name="_xlnm._FilterDatabase" localSheetId="7" hidden="1">'6. FP RER'!$T$53:$V$54</definedName>
    <definedName name="_xlnm._FilterDatabase" localSheetId="8" hidden="1">'7. Generacion empresa'!$L$3:$N$60</definedName>
    <definedName name="_xlnm._FilterDatabase" localSheetId="10" hidden="1">'9. Pot. Empresa'!$L$6:$N$63</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generación'!$A$1:$J$41</definedName>
    <definedName name="_xlnm.Print_Area" localSheetId="21">'20. ANEXOI-3'!$A$1:$G$60</definedName>
    <definedName name="_xlnm.Print_Area" localSheetId="22">'21. ANEXOII-1'!$A$1:$F$81</definedName>
    <definedName name="_xlnm.Print_Area" localSheetId="24">'23. ANEXOII-3'!$A$1:$F$57</definedName>
    <definedName name="_xlnm.Print_Area" localSheetId="26">'25.ANEXO III -1'!$A$1:$F$15</definedName>
    <definedName name="_xlnm.Print_Area" localSheetId="27">'26.ANEXO III-2'!$A$1:$F$17</definedName>
    <definedName name="_xlnm.Print_Area" localSheetId="28">'27.ANEXO III-3'!$A$1:$F$17</definedName>
    <definedName name="_xlnm.Print_Area" localSheetId="29">'28.ANEXO III-4'!$A$1:$F$15</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 i="6" l="1"/>
  <c r="I14" i="6"/>
  <c r="H14" i="6"/>
  <c r="F22" i="21" l="1"/>
  <c r="D22" i="21"/>
  <c r="H9" i="21"/>
  <c r="H10" i="21"/>
  <c r="H11" i="21"/>
  <c r="G12" i="21"/>
  <c r="H12" i="21"/>
  <c r="H13" i="21"/>
  <c r="G14" i="21"/>
  <c r="H14" i="21"/>
  <c r="H15" i="21"/>
  <c r="H16" i="21"/>
  <c r="G17" i="21"/>
  <c r="H17" i="21"/>
  <c r="G18" i="21"/>
  <c r="H18" i="21"/>
  <c r="G20" i="21"/>
  <c r="H7" i="21"/>
  <c r="E49" i="46" l="1"/>
  <c r="F10" i="8" l="1"/>
  <c r="I10" i="8"/>
  <c r="K10" i="8"/>
  <c r="H19" i="8" l="1"/>
  <c r="G12" i="7"/>
  <c r="I9" i="22" l="1"/>
  <c r="I10" i="22"/>
  <c r="F19" i="46" l="1"/>
  <c r="F18" i="46"/>
  <c r="F17" i="46"/>
  <c r="F16" i="46"/>
  <c r="F15" i="46"/>
  <c r="F14" i="46"/>
  <c r="F13" i="46"/>
  <c r="F12" i="46"/>
  <c r="F11" i="46"/>
  <c r="F10" i="46"/>
  <c r="F9" i="46"/>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I7" i="22" l="1"/>
  <c r="I8" i="22"/>
  <c r="I11" i="22"/>
  <c r="I12" i="22" l="1"/>
  <c r="G46" i="38"/>
  <c r="E22" i="21" l="1"/>
  <c r="C12" i="22" l="1"/>
  <c r="D12" i="22"/>
  <c r="E12" i="22"/>
  <c r="F12" i="22"/>
  <c r="G12" i="22"/>
  <c r="H12" i="22"/>
  <c r="B12" i="22"/>
  <c r="J12" i="22"/>
  <c r="E26" i="6" l="1"/>
  <c r="G22" i="21" l="1"/>
  <c r="B16" i="7" l="1"/>
  <c r="C16" i="7"/>
  <c r="D16" i="7"/>
  <c r="E16" i="7"/>
  <c r="E5" i="36" l="1"/>
  <c r="E4" i="36"/>
  <c r="F46" i="38"/>
  <c r="C68" i="13" l="1"/>
  <c r="C66" i="11"/>
  <c r="B66" i="11"/>
  <c r="B68" i="13"/>
  <c r="D65" i="11"/>
  <c r="D12" i="7" l="1"/>
  <c r="F46" i="46" l="1"/>
  <c r="D5" i="11"/>
  <c r="E2" i="46" l="1"/>
  <c r="D2" i="46"/>
  <c r="C2" i="46"/>
  <c r="E2" i="45"/>
  <c r="D2" i="45"/>
  <c r="C2" i="45"/>
  <c r="D57" i="11" l="1"/>
  <c r="D33" i="11"/>
  <c r="C47" i="46" l="1"/>
  <c r="C49" i="46" s="1"/>
  <c r="D47" i="46"/>
  <c r="D49" i="46" s="1"/>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D64" i="11" l="1"/>
  <c r="J16" i="7" l="1"/>
  <c r="H16" i="7"/>
  <c r="G16" i="7"/>
  <c r="H22" i="21" l="1"/>
  <c r="F44" i="46"/>
  <c r="F43" i="46"/>
  <c r="F42" i="46"/>
  <c r="F41" i="46"/>
  <c r="F40" i="46"/>
  <c r="F39" i="46"/>
  <c r="F33" i="46"/>
  <c r="F32" i="46"/>
  <c r="F31" i="46"/>
  <c r="F30" i="46"/>
  <c r="F29" i="46"/>
  <c r="F28" i="46"/>
  <c r="F27" i="46"/>
  <c r="F26" i="46"/>
  <c r="F25" i="46"/>
  <c r="F24" i="46"/>
  <c r="F23" i="46"/>
  <c r="F22" i="46"/>
  <c r="F21" i="46"/>
  <c r="F20" i="46"/>
  <c r="F8" i="46"/>
  <c r="F7" i="46"/>
  <c r="F6" i="46"/>
  <c r="F5" i="46"/>
  <c r="D65" i="13" l="1"/>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1" i="11"/>
  <c r="D60" i="11"/>
  <c r="D59" i="11"/>
  <c r="D58" i="11"/>
  <c r="D56" i="11"/>
  <c r="D55" i="11"/>
  <c r="D54" i="11"/>
  <c r="D53" i="11"/>
  <c r="D52" i="11"/>
  <c r="D51" i="11"/>
  <c r="D50" i="11"/>
  <c r="D49" i="11"/>
  <c r="D48" i="11"/>
  <c r="D47" i="11"/>
  <c r="D46" i="11"/>
  <c r="D45" i="11"/>
  <c r="D44" i="11"/>
  <c r="D43" i="11"/>
  <c r="D42" i="11"/>
  <c r="D41" i="11"/>
  <c r="D40" i="11"/>
  <c r="D39" i="11"/>
  <c r="D38" i="11"/>
  <c r="D37" i="11"/>
  <c r="D36" i="11"/>
  <c r="D35" i="11"/>
  <c r="D34"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B11" i="9" l="1"/>
  <c r="C11" i="9"/>
  <c r="D11" i="9"/>
  <c r="E11" i="9"/>
  <c r="D7" i="13" l="1"/>
  <c r="K12" i="12" l="1"/>
  <c r="K11" i="12"/>
  <c r="F49" i="46" l="1"/>
  <c r="E4" i="45" l="1"/>
  <c r="E4" i="46" s="1"/>
  <c r="B14" i="12" l="1"/>
  <c r="F14" i="8"/>
  <c r="A64" i="10" l="1"/>
  <c r="A43" i="10"/>
  <c r="N14" i="18" l="1"/>
  <c r="J11" i="9" l="1"/>
  <c r="H11" i="9"/>
  <c r="G11" i="9"/>
  <c r="D6" i="16" l="1"/>
  <c r="C28" i="14" l="1"/>
  <c r="A37" i="22" l="1"/>
  <c r="F6" i="36" l="1"/>
  <c r="A67"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3" i="21" l="1"/>
  <c r="A61" i="9" l="1"/>
  <c r="A34" i="9"/>
  <c r="A63" i="8"/>
  <c r="B49" i="4" l="1"/>
  <c r="F2" i="38" l="1"/>
  <c r="F9" i="8" l="1"/>
  <c r="D68" i="13" l="1"/>
  <c r="N29" i="18"/>
  <c r="N28" i="18"/>
  <c r="N27" i="18"/>
  <c r="N26" i="18"/>
  <c r="N25" i="18"/>
  <c r="N24" i="18"/>
  <c r="N23" i="18"/>
  <c r="N20" i="18"/>
  <c r="N19" i="18"/>
  <c r="N18" i="18"/>
  <c r="N17" i="18"/>
  <c r="N16" i="18"/>
  <c r="N15" i="18"/>
  <c r="N12" i="18"/>
  <c r="N11" i="18"/>
  <c r="N10" i="18"/>
  <c r="N9" i="18"/>
  <c r="H47" i="4" l="1"/>
  <c r="A53" i="22" l="1"/>
  <c r="B58" i="18"/>
  <c r="B40" i="18"/>
  <c r="B21" i="18"/>
  <c r="A58" i="12"/>
  <c r="F69" i="13"/>
  <c r="B18" i="12" l="1"/>
  <c r="B20" i="12" s="1"/>
  <c r="C18" i="12"/>
  <c r="D18" i="12"/>
  <c r="D20" i="12" s="1"/>
  <c r="E18" i="12"/>
  <c r="E20" i="12" s="1"/>
  <c r="G18" i="12"/>
  <c r="G20" i="12" s="1"/>
  <c r="H18" i="12"/>
  <c r="H20" i="12" s="1"/>
  <c r="J18" i="12"/>
  <c r="J20" i="12" s="1"/>
  <c r="F23" i="6" l="1"/>
  <c r="F25" i="6"/>
  <c r="F11" i="14" l="1"/>
  <c r="F24" i="6" l="1"/>
  <c r="F22" i="6"/>
  <c r="A58" i="7" l="1"/>
  <c r="E21" i="6"/>
  <c r="E67" i="11" l="1"/>
  <c r="C45" i="10"/>
  <c r="D3" i="36" l="1"/>
  <c r="C3" i="36"/>
  <c r="F2" i="37"/>
  <c r="F3" i="23"/>
  <c r="C2" i="23"/>
  <c r="C1" i="37" s="1"/>
  <c r="C1" i="38" s="1"/>
  <c r="E16" i="22"/>
  <c r="A16" i="22"/>
  <c r="A13" i="22"/>
  <c r="A23" i="21"/>
  <c r="F6" i="21"/>
  <c r="E6" i="21"/>
  <c r="D6" i="21"/>
  <c r="B47" i="18"/>
  <c r="B28" i="18"/>
  <c r="B10" i="18"/>
  <c r="C31" i="16"/>
  <c r="E6" i="16"/>
  <c r="A69" i="13"/>
  <c r="B3" i="13"/>
  <c r="B4" i="11"/>
  <c r="C4" i="11" s="1"/>
  <c r="B3" i="11"/>
  <c r="G6" i="7"/>
  <c r="G4" i="8" s="1"/>
  <c r="G4" i="9" s="1"/>
  <c r="D7" i="7"/>
  <c r="E7" i="7" s="1"/>
  <c r="A41" i="6"/>
  <c r="B27"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1" i="6"/>
  <c r="D26" i="6"/>
  <c r="C5" i="9" l="1"/>
  <c r="F39" i="9"/>
  <c r="F26"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6" i="11"/>
</calcChain>
</file>

<file path=xl/sharedStrings.xml><?xml version="1.0" encoding="utf-8"?>
<sst xmlns="http://schemas.openxmlformats.org/spreadsheetml/2006/main" count="1703" uniqueCount="783">
  <si>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</si>
  <si>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</si>
  <si>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</si>
  <si>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</si>
  <si>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</si>
  <si>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</si>
  <si>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</si>
  <si>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</si>
  <si>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</si>
  <si>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</si>
  <si>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</si>
  <si>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</si>
  <si>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</si>
  <si>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</si>
  <si>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</si>
  <si>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</si>
  <si>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</si>
  <si>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</si>
  <si>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</si>
  <si>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</si>
  <si>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</si>
  <si>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</si>
  <si>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</si>
  <si>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</si>
  <si>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</si>
  <si>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</si>
  <si>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</si>
  <si>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</si>
  <si>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</si>
  <si>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</si>
  <si>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</si>
  <si>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</si>
  <si>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</si>
  <si>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</si>
  <si>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</si>
  <si>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</si>
  <si>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</si>
  <si>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</si>
  <si>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</si>
  <si>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</si>
  <si>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</si>
  <si>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</si>
  <si>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</si>
  <si>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</si>
  <si>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</si>
  <si>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</si>
  <si>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</si>
  <si>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</si>
  <si>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</si>
  <si>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</si>
  <si>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</si>
  <si>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</si>
  <si>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</si>
  <si>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</si>
  <si>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</si>
  <si>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</si>
  <si>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</si>
  <si>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</si>
  <si>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</si>
  <si>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</si>
  <si>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</si>
  <si>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</si>
  <si>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</si>
  <si>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</si>
  <si>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</si>
  <si>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</si>
  <si>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</si>
  <si>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</si>
  <si>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</si>
  <si>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</si>
  <si>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</si>
  <si>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</si>
  <si>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</si>
  <si>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</si>
  <si>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</si>
  <si>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</si>
  <si>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</si>
  <si>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</si>
  <si>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</si>
  <si>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</si>
  <si>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</si>
  <si>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</si>
  <si>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</si>
  <si>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</si>
  <si>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</si>
  <si>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</si>
  <si>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</si>
  <si>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</si>
  <si>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</si>
  <si>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</si>
  <si>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</si>
  <si>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</si>
  <si>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</si>
  <si>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</si>
  <si>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</si>
  <si>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</si>
  <si>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</si>
  <si>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</si>
  <si>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</si>
  <si>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</si>
  <si>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</si>
  <si>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</si>
  <si>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</si>
  <si>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</si>
  <si>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</si>
  <si>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</si>
  <si>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</si>
  <si>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</si>
  <si>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</si>
  <si>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</si>
  <si>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</si>
  <si>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</si>
  <si>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</si>
  <si>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</si>
  <si>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</si>
  <si>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</si>
  <si>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</si>
  <si>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</si>
  <si>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</si>
  <si>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</si>
  <si>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</si>
  <si>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</si>
  <si>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</si>
  <si>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</si>
  <si>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</si>
  <si>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</si>
  <si>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</si>
  <si>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</si>
  <si>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</si>
  <si>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</si>
  <si>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</si>
  <si>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</si>
  <si>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</si>
  <si>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</si>
  <si>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</si>
  <si>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</si>
  <si>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</si>
  <si>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</si>
  <si>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</si>
  <si>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</si>
  <si>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</si>
  <si>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</si>
  <si>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</si>
  <si>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</si>
  <si>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</si>
  <si>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</si>
  <si>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</si>
  <si>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</si>
  <si>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</si>
  <si>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</si>
  <si>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</si>
  <si>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</si>
  <si>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</si>
  <si>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</si>
  <si>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</si>
  <si>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</si>
  <si>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</si>
  <si>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</si>
  <si>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</si>
  <si>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</si>
  <si>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</si>
  <si>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</si>
  <si>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</si>
  <si>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</si>
  <si>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</si>
  <si>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</si>
  <si>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</si>
  <si>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</si>
  <si>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</si>
  <si>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</si>
  <si>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</si>
  <si>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</si>
  <si>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</si>
  <si>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</si>
  <si>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</si>
  <si>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</si>
  <si>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</si>
  <si>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</si>
  <si>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</si>
  <si>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</si>
  <si>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</si>
  <si>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</si>
  <si>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</si>
  <si>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</si>
  <si>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</si>
  <si>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</si>
  <si>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</si>
  <si>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</si>
  <si>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</si>
  <si>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</si>
  <si>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</si>
  <si>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</si>
  <si>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</si>
  <si>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</si>
  <si>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</si>
  <si>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</si>
  <si>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</si>
  <si>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</si>
  <si>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</si>
  <si>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</si>
  <si>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</si>
  <si>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</si>
  <si>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</si>
  <si>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</si>
  <si>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</si>
  <si>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</si>
  <si>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</si>
  <si>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</si>
  <si>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</si>
  <si>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</si>
  <si>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</si>
  <si>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</si>
  <si>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</si>
  <si>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</si>
  <si>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</si>
  <si>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</si>
  <si>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</si>
  <si>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</si>
  <si>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</si>
  <si>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</si>
  <si>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</si>
  <si>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</si>
  <si>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</si>
  <si>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</si>
  <si>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</si>
  <si>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</si>
  <si>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</si>
  <si>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</si>
  <si>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</si>
  <si>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</si>
  <si>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</si>
  <si>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</si>
  <si>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</si>
  <si>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</si>
  <si>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</si>
  <si>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</si>
  <si>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</si>
  <si>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</si>
  <si>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</si>
  <si>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</si>
  <si>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</si>
  <si>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</si>
  <si>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</si>
  <si>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</si>
  <si>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</si>
  <si>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</si>
  <si>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</si>
  <si>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</si>
  <si>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</si>
  <si>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</si>
  <si>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</si>
  <si>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</si>
  <si>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</si>
  <si>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</si>
  <si>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</si>
  <si>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</si>
  <si>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</si>
  <si>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</si>
  <si>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</si>
  <si>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</si>
  <si>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</si>
  <si>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</si>
  <si>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</si>
  <si>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</si>
  <si>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</si>
  <si>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</si>
  <si>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</si>
  <si>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</si>
  <si>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</si>
  <si>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</si>
  <si>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</si>
  <si>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</si>
  <si>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</si>
  <si>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</si>
  <si>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</si>
  <si>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</si>
  <si>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</si>
  <si>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</si>
  <si>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</si>
  <si>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</si>
  <si>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</si>
  <si>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</si>
  <si>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</si>
  <si>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</si>
  <si>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</si>
  <si>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</si>
  <si>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</si>
  <si>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</si>
  <si>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</si>
  <si>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</si>
  <si>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</si>
  <si>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</si>
  <si>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</si>
  <si>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</si>
  <si>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</si>
  <si>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</si>
  <si>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</si>
  <si>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</si>
  <si>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</si>
  <si>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</si>
  <si>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</si>
  <si>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</si>
  <si>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</si>
  <si>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</si>
  <si>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</si>
  <si>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</si>
  <si>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</si>
  <si>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</si>
  <si>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</si>
  <si>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</si>
  <si>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</si>
  <si>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</si>
  <si>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</si>
  <si>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</si>
  <si>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</si>
  <si>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</si>
  <si>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</si>
  <si>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</si>
  <si>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</si>
  <si>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</si>
  <si>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</si>
  <si>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</si>
  <si>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</si>
  <si>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</si>
  <si>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</si>
  <si>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</si>
  <si>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</si>
  <si>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</si>
  <si>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</si>
  <si>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</si>
  <si>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</si>
  <si>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</si>
  <si>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</si>
  <si>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</si>
  <si>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</si>
  <si>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</si>
  <si>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</si>
  <si>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</si>
  <si>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</si>
  <si>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</si>
  <si>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</si>
  <si>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</si>
  <si>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</si>
  <si>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</si>
  <si>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</si>
  <si>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</si>
  <si>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</si>
  <si>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</si>
  <si>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</si>
  <si>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</si>
  <si>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</si>
  <si>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</si>
  <si>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</si>
  <si>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</si>
  <si>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</si>
  <si>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</si>
  <si>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</si>
  <si>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</si>
  <si>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</si>
  <si>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</si>
  <si>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</si>
  <si>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</si>
  <si>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</si>
  <si>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</si>
  <si>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</si>
  <si>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</si>
  <si>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</si>
  <si>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</si>
  <si>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</si>
  <si>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</si>
  <si>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</si>
  <si>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</si>
  <si>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</si>
  <si>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</si>
  <si>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</si>
  <si>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</si>
  <si>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</si>
  <si>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</si>
  <si>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</si>
  <si>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</si>
  <si>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</si>
  <si>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</si>
  <si>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</si>
  <si>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</si>
  <si>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</si>
  <si>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</si>
  <si>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</si>
  <si>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</si>
  <si>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</si>
  <si>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</si>
  <si>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</si>
  <si>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</si>
  <si>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</si>
  <si>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</si>
  <si>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</si>
  <si>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</si>
  <si>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</si>
  <si>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</si>
  <si>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</si>
  <si>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</si>
  <si>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</si>
  <si>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</si>
  <si>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</si>
  <si>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</si>
  <si>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</si>
  <si>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</si>
  <si>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</si>
  <si>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</si>
  <si>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</si>
  <si>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</si>
  <si>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</si>
  <si>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</si>
  <si>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</si>
  <si>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</si>
  <si>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</si>
  <si>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</si>
  <si>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</si>
  <si>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</si>
  <si>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</si>
  <si>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</si>
  <si>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C.H. ZAÑA</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</si>
  <si>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</si>
  <si>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</si>
  <si>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</si>
  <si>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</si>
  <si>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</si>
  <si>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</si>
  <si>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</si>
  <si>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</si>
  <si>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</si>
  <si>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</si>
  <si>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</si>
  <si>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</si>
  <si>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</si>
  <si>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</si>
  <si>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</si>
  <si>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</si>
  <si>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</si>
  <si>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</si>
  <si>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</si>
  <si>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</si>
  <si>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</si>
  <si>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</si>
  <si>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</si>
  <si>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</si>
  <si>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</si>
  <si>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TOTAL (CONSIDERANDO LA IMPORTACIÓN)</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</si>
  <si>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</si>
  <si>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</si>
  <si>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</si>
  <si>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</si>
  <si>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</si>
  <si>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</si>
  <si>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</si>
  <si>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</si>
  <si>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</si>
  <si>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</si>
  <si>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</si>
  <si>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</si>
  <si>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Var (%)
2020/2019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</si>
  <si>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</si>
  <si>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</si>
  <si>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</si>
  <si>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12:30</t>
  </si>
  <si>
    <t>INVERSION DE ENERGÍA RENOVABLES</t>
  </si>
  <si>
    <t>12:00</t>
  </si>
  <si>
    <t>00:15</t>
  </si>
  <si>
    <t>Empresa</t>
  </si>
  <si>
    <t>Recurso Energético</t>
  </si>
  <si>
    <t>Tipo de Tecnologia</t>
  </si>
  <si>
    <t>Central</t>
  </si>
  <si>
    <t>Unidad</t>
  </si>
  <si>
    <t>Tensión  
(kV)</t>
  </si>
  <si>
    <t>Potencia Instalada (MW)</t>
  </si>
  <si>
    <t xml:space="preserve">Potencia Efectiva  (MW) </t>
  </si>
  <si>
    <t>11:30</t>
  </si>
  <si>
    <t>20:00</t>
  </si>
  <si>
    <t>11:45</t>
  </si>
  <si>
    <t>C.T. CALLAO</t>
  </si>
  <si>
    <t>RED DE ENERGIA DEL PERU S.A.</t>
  </si>
  <si>
    <t>TRANSFORMADOR 3D</t>
  </si>
  <si>
    <t>20:45</t>
  </si>
  <si>
    <t>L-2205  L-2206</t>
  </si>
  <si>
    <t>POMACOCHA - SAN JUAN</t>
  </si>
  <si>
    <t>T62-161  T6-261</t>
  </si>
  <si>
    <t>C.H. MANTA I</t>
  </si>
  <si>
    <t>ELECTRO SUR ESTE</t>
  </si>
  <si>
    <t>L. SAN GABÁN II - MAZUCO - LINEA L-1014</t>
  </si>
  <si>
    <t>HIDRANDINA</t>
  </si>
  <si>
    <t>ELECTRO PUNO</t>
  </si>
  <si>
    <t>L. AZÁNGARO - PUTINA - LINEA L-6024</t>
  </si>
  <si>
    <t>MINERA ARUNTANI</t>
  </si>
  <si>
    <t>L. PUNO - TUCARI - LINEA L-6007</t>
  </si>
  <si>
    <t>TRANSMANTARO</t>
  </si>
  <si>
    <t>L. AZÁNGARO - ANTAUTA - LINEA L-6021</t>
  </si>
  <si>
    <t>L. KIMAN AYLLU - SIHUAS - LINEA L-1132</t>
  </si>
  <si>
    <t>L-6627  L-6628</t>
  </si>
  <si>
    <t>MARCONA - SAN NICOLÁS</t>
  </si>
  <si>
    <t>T-30  T3-261  T4-261</t>
  </si>
  <si>
    <t>INDEPENDENCIA</t>
  </si>
  <si>
    <t>20:30</t>
  </si>
  <si>
    <t>21:30</t>
  </si>
  <si>
    <t>20:15</t>
  </si>
  <si>
    <t>L. AGUAYTÍA - TINGO MARÍA - LINEA L-2251</t>
  </si>
  <si>
    <t>CONENHUA</t>
  </si>
  <si>
    <t>21:45</t>
  </si>
  <si>
    <t>LINEA DE TRANSMISION</t>
  </si>
  <si>
    <t>L-2110</t>
  </si>
  <si>
    <t>L-2259</t>
  </si>
  <si>
    <t>HUANZA-CARABAYLLO</t>
  </si>
  <si>
    <t>CARHUAMAYO - OROYA NUEVA</t>
  </si>
  <si>
    <t>Total AGROAURORA</t>
  </si>
  <si>
    <t>Total AGUA AZUL</t>
  </si>
  <si>
    <t>Total AIPSA</t>
  </si>
  <si>
    <t>Total ANDEAN POWER</t>
  </si>
  <si>
    <t>Total BIOENERGIA</t>
  </si>
  <si>
    <t>Total CELEPSA</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</si>
  <si>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</si>
  <si>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</si>
  <si>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</si>
  <si>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</si>
  <si>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</si>
  <si>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</si>
  <si>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</si>
  <si>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</si>
  <si>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</si>
  <si>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</si>
  <si>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</si>
  <si>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ENEL GENERACION PERU</t>
  </si>
  <si>
    <t>Total ENEL GENERACION PIURA</t>
  </si>
  <si>
    <t>Total ENEL GREEN POWER PERU</t>
  </si>
  <si>
    <t>Total ENERGÍA EÓLICA</t>
  </si>
  <si>
    <t>Total ENGIE</t>
  </si>
  <si>
    <t>Total FENIX POWER</t>
  </si>
  <si>
    <t>Total GENERACIÓN ANDINA</t>
  </si>
  <si>
    <t>Total GEPSA</t>
  </si>
  <si>
    <t>Total HIDROCAÑETE</t>
  </si>
  <si>
    <t>Total HIDROELECTRICA HUANCHOR</t>
  </si>
  <si>
    <t>Total HUAURA POWER</t>
  </si>
  <si>
    <t>Total HYDRO PATAPO</t>
  </si>
  <si>
    <t>Total INLAND</t>
  </si>
  <si>
    <t>Total INVERSION DE ENERGÍA RENOVABLES</t>
  </si>
  <si>
    <t>Total IYEPSA</t>
  </si>
  <si>
    <t>Total KALLPA</t>
  </si>
  <si>
    <t>Total MAJA ENERGIA</t>
  </si>
  <si>
    <t>Total MOQUEGUA FV</t>
  </si>
  <si>
    <t>Total ORAZUL ENERGY PERÚ</t>
  </si>
  <si>
    <t>Total P.E. MARCONA</t>
  </si>
  <si>
    <t>Total P.E. TRES HERMANAS</t>
  </si>
  <si>
    <t>Total PANAMERICANA SOLAR</t>
  </si>
  <si>
    <t>Total PETRAMAS</t>
  </si>
  <si>
    <t>Total PLANTA  ETEN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</si>
  <si>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</si>
  <si>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</si>
  <si>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</si>
  <si>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</si>
  <si>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</si>
  <si>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</si>
  <si>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</si>
  <si>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</si>
  <si>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</si>
  <si>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</si>
  <si>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</si>
  <si>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</si>
  <si>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</si>
  <si>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MAJES</t>
  </si>
  <si>
    <t>REPARTICION</t>
  </si>
  <si>
    <t>GR PAINO</t>
  </si>
  <si>
    <t>GR TARUCA</t>
  </si>
  <si>
    <t>Total GR PAINO</t>
  </si>
  <si>
    <t>Total GR TARUCA</t>
  </si>
  <si>
    <t>Total MAJES</t>
  </si>
  <si>
    <t>Total REPARTICION</t>
  </si>
  <si>
    <t>ATRIA</t>
  </si>
  <si>
    <t>EMGE JUNÍN</t>
  </si>
  <si>
    <t>Total EMGE JUNÍN</t>
  </si>
  <si>
    <t>CELEPSA RENOVABLES</t>
  </si>
  <si>
    <t>Total ATRIA</t>
  </si>
  <si>
    <t>Total CELEPSA RENOVABLES</t>
  </si>
  <si>
    <t>21:15</t>
  </si>
  <si>
    <t>15:15</t>
  </si>
  <si>
    <t>15:00</t>
  </si>
  <si>
    <t>STATKRAFT S.A</t>
  </si>
  <si>
    <t>L. COLCABAMBA - POROMA - LINEA L-5031</t>
  </si>
  <si>
    <t>L. PUNO - POMATA - ILAVE - LINEA L-6027</t>
  </si>
  <si>
    <t>L. ARES - HUANCARAMA - LINEA L-6017</t>
  </si>
  <si>
    <t>INVERSIONES SHAQSHA S.A.C.</t>
  </si>
  <si>
    <t>L. COBRIZA I - COBRIZA II - LINEA L-6602</t>
  </si>
  <si>
    <t>EMPRESA DE GENERACION ELECTRICA SANTA ANA</t>
  </si>
  <si>
    <t>L. Derv. PUNTAYACU - LA VIRGEN - LINEA L-6089</t>
  </si>
  <si>
    <t>L. CHIMBOTE 1 - HUALLANCA - LINEA L-1103</t>
  </si>
  <si>
    <t>L. PARAMONGA N. - 09 DE OCTUBRE - LINEA L-6655</t>
  </si>
  <si>
    <t>ISA PERU</t>
  </si>
  <si>
    <t>ATN 2 S.A.</t>
  </si>
  <si>
    <t>L. COTARUSE - LAS BAMBAS - LINEA L-2056</t>
  </si>
  <si>
    <t>MINERA ARES</t>
  </si>
  <si>
    <t>L. CALLALLI - CAYLLOMA - LINEA L-6015</t>
  </si>
  <si>
    <t>L. OROYA NUEVA - Der. PACHACAYO - LINEA L-6601 A</t>
  </si>
  <si>
    <t>Aerpgenerador</t>
  </si>
  <si>
    <t>Viento</t>
  </si>
  <si>
    <t>C.E. Duna</t>
  </si>
  <si>
    <t>CE. Huambos</t>
  </si>
  <si>
    <t>7 Aerogeneradores</t>
  </si>
  <si>
    <t>C.E. HUAMBOS</t>
  </si>
  <si>
    <t>1.1. Producción de energía eléctrica en enero 2021 en comparación al mismo mes del año anterior</t>
  </si>
  <si>
    <t>2. MODIFICACIÓN DE LA OFERTA DE GENERACIÓN ELÉCTRICA DEL SEIN EN EL 2021</t>
  </si>
  <si>
    <t>enero</t>
  </si>
  <si>
    <t>El total de la producción de energía eléctrica de la empresas generadoras integrantes del COES en el mes de enero 2021 fue de 4 557,44  GWh, lo que representa una disminución de 46,38 GWh (-1,01%) en comparación con el año 2020.</t>
  </si>
  <si>
    <t>La producción de electricidad con centrales hidroeléctricas durante el mes de enero 2021 fue de 3 326,61 GWh (3,16% mayor al registrado durante enero del año 2020).</t>
  </si>
  <si>
    <t>La producción de energía eléctrica con centrales eólicas fue de 159,07 GWh y con centrales solares fue de 72,94 GWh, los cuales tuvieron una participación de 3,49% y 1,6% respectivamente.</t>
  </si>
  <si>
    <t>La producción de electricidad con centrales termoeléctricas durante el mes de enero 2021 fue de 998,81 GWh, 17,36% menor al registrado durante enero del año 2020. La participación del gas natural de Camisea fue de 20,07%, mientras que las del gas que proviene de los yacimientos de Aguaytía y Malacas fue del 1,24%, la producción con diesel, residual, carbón, biogás y bagazo tuvieron una intervención del 0,02%, 0,01%, 0,00%, 0,17%, 0,41% respectivamente.</t>
  </si>
  <si>
    <t>Var (%)
2021/2020</t>
  </si>
  <si>
    <t>Variación 2021/2020 (MW)</t>
  </si>
  <si>
    <t>Variación 2021/2020 (GWh)</t>
  </si>
  <si>
    <t>C.E. DUNA</t>
  </si>
  <si>
    <t>HUANCHOR</t>
  </si>
  <si>
    <t>Total HUANCHOR</t>
  </si>
  <si>
    <t>(1) Supensión de la Operación Comercial de la C.E. Huambos, propiedad de GR PAINO S.A.C., a partir del 22.01.2021</t>
  </si>
  <si>
    <t>C.E. HUAMBOS (1)</t>
  </si>
  <si>
    <t>2021 / 2020</t>
  </si>
  <si>
    <t>C.E. HUAMBOS  (1)</t>
  </si>
  <si>
    <t>C.E. DUNA  (2)</t>
  </si>
  <si>
    <t>01/01/2021</t>
  </si>
  <si>
    <t>02/01/2021</t>
  </si>
  <si>
    <t>13:00</t>
  </si>
  <si>
    <t>03/01/2021</t>
  </si>
  <si>
    <t>04/01/2021</t>
  </si>
  <si>
    <t>05/01/2021</t>
  </si>
  <si>
    <t>12:15</t>
  </si>
  <si>
    <t>06/01/2021</t>
  </si>
  <si>
    <t>16:15</t>
  </si>
  <si>
    <t>07/01/2021</t>
  </si>
  <si>
    <t>08/01/2021</t>
  </si>
  <si>
    <t>09/01/2021</t>
  </si>
  <si>
    <t>11:00</t>
  </si>
  <si>
    <t>10/01/2021</t>
  </si>
  <si>
    <t>11/01/2021</t>
  </si>
  <si>
    <t>12/01/2021</t>
  </si>
  <si>
    <t>13/01/2021</t>
  </si>
  <si>
    <t>14/01/2021</t>
  </si>
  <si>
    <t>15/01/2021</t>
  </si>
  <si>
    <t>16/01/2021</t>
  </si>
  <si>
    <t>17/01/2021</t>
  </si>
  <si>
    <t>18/01/2021</t>
  </si>
  <si>
    <t>19/01/2021</t>
  </si>
  <si>
    <t>20/01/2021</t>
  </si>
  <si>
    <t>21/01/2021</t>
  </si>
  <si>
    <t>17:15</t>
  </si>
  <si>
    <t>22/01/2021</t>
  </si>
  <si>
    <t>23/01/2021</t>
  </si>
  <si>
    <t>24/01/2021</t>
  </si>
  <si>
    <t>12:45</t>
  </si>
  <si>
    <t>25/01/2021</t>
  </si>
  <si>
    <t>26/01/2021</t>
  </si>
  <si>
    <t>27/01/2021</t>
  </si>
  <si>
    <t>14:45</t>
  </si>
  <si>
    <t>28/01/2021</t>
  </si>
  <si>
    <t>29/01/2021</t>
  </si>
  <si>
    <t>30/01/2021</t>
  </si>
  <si>
    <t>31/01/2021</t>
  </si>
  <si>
    <t>13:45</t>
  </si>
  <si>
    <t>Desconexión de la línea L-6021 (Azángaro Antauta) 60 kV por falla debido a descargas atmosféricas según lo informado por Electropuno, titular de la línea. Como consecuencia, se interrumpió el suministro eléctrico en la S.E. Antauta con un total de 1.1 MW. A las 13:12 h, la línea se puso en servicio y se procedió a normalizar el suministro interrrumpido.</t>
  </si>
  <si>
    <t>L. CHICLAYO OESTE - FELAM - LINEA L-2238</t>
  </si>
  <si>
    <t>Se produjo recierre exitoso de la línea L-2238 (Chiclayo - Felam) de 220 kV, por falla en la fase "R" ubicada a 28.2 km desde la S.E. Chiclayo Oeste, debido a quema de caña entre las estructuras P-64 y P-65 de la línea, según lo informado por REP, titular de la línea. Como consecuencia, el cliente libre Cementos Pacasmayo redujo su carga con un total de 1.72 MW. A las 06:46 h, se coordinó con Cementos Pacasmayo normalizar su carga.</t>
  </si>
  <si>
    <t>Se produjo la desconexión de la línea L-6602 (Cobriza I - Cobriza II) de 69 kV, por falla monofásica a tierra de la fase “T”, debido a descargas atmosféricas en la zona, según lo informado por Inversiones Shaqsha, titular de la línea. Como consecuencia se interrumpió el suministro eléctrico de DOE RUN con un total de 1,76 MW. A las 16:53 h, el operador Statkraft conectó la línea y se procedió a recuperar a carga interrumpida.</t>
  </si>
  <si>
    <t>L. MOROCOCHA - CARLOS FRANCISCO - LINEA L-6533</t>
  </si>
  <si>
    <t>Se produjo la desconexión de la línea L-6533 (Nueva Morococha - Carlos Francisco) de 50 kV por falla monofásica en la fase “T”, debido a nevadas en la zona de Ticlio y Morococha, ubicada a 4,1 km de la S.E. Carlos Francisco, según lo informado por Statkraft, titular de la línea. Como consecuencia se interrumpió el suministro de la S.E. Ticlio con un total de 4,16 MW. A las 21:39 h, se conectó la línea y se inició la normalización del suministro interrumpido.</t>
  </si>
  <si>
    <t>L. MOROCOCHA - CARLOS FRANCISCO - LINEA L-6532</t>
  </si>
  <si>
    <t>Se produjo la desconexión de la línea L-6533 (Nueva Morococha - Carlos Francisco) de 50 kV por falla bifásica a tierra entre las fases “R y T”, debido a nevadas en la zona de Ticlio y Morococha, ubicada a 8,1 km de la S.E. Nueva Morococha, según lo informado por Statkraft, titular de la línea. Como consecuencia se interrumpió el suministro de la S.E. Casapalca Norte con 0,4 MW. A las 22:54 h, se conectó la línea y se inició la normalización del suministro interrumpido.</t>
  </si>
  <si>
    <t>S.E. QUENCORO - CELDA CL-10.5kV</t>
  </si>
  <si>
    <t>Desconectó la barra de 10 kV de la S.E. Quencoro, por fallas consecutivas en las radiales de 10 kV L-1057 y L-0132, según lo informado por RED DE ENERGÍA DEL PERU S.A. titular de la barra.  Durante el evento, la radial L-1057 desconectó por actuación de su protección de tierra; sin embargo, instantes después se registró arranque de la protección de la radial L-0132 de 10 kV, titularidad de Electro Sur Este. En el transcurso de esta falla, se produce la apertura del interruptor de 10 kV del transformador T80 por actuación de la función de sobrecorriente del zig-zag.  El transformador T47 quedó asumiendo la demanda de la barra de 10 kV, y, se produjo su desconexión en el lado de 10 kV por actuación de sus protección de sobrecorriente de fases. Como consecuencia se interrumpió una carga total de 15.3 MW en la barra de 10 kV de la S.E. Quencoro. A las 17:45 h, se energizó la barra de 10 kV y se inició la normalización de la carga interrumpida. La radial L-0157 quedó fuera de servicio para su inspección y mantenimiento correctivo por parte de Electro Sur Este.</t>
  </si>
  <si>
    <t>Desconectó la línea en 66 kV L-6015 (Callalli - Caylloma) por falla trifásica cuya causa no fue informada por Minera Ares, titular de la línea. Como consecuencia se interrumpió el suministro de la S.E. Caylloma en 5.07 MW. Asimismo, desconectaron las CC.HH. Huayllacho, San Antonio y San Ignacio cuando generaban un total de 1.13 MW. A las 14:35 h, se puso en servicio la línea y se procedió a normalizar el suministro interrumpido. A las 15:24 h, las CC.HH. Huayllacho, San Antonio y San Ignacio se pusieron en servicio.</t>
  </si>
  <si>
    <t>L. AZÁNGARO - SAN RAFAEL - LINEA L-1009</t>
  </si>
  <si>
    <t>Desconectaron las líneas L-1010 (Azángaro - San Gaban) y L-1009 (Azángaro - San Rafael) de 138 kV, según lo informado por San Gabán, titular de las líneas, la desconexión de la L-1010 fue por falla monofásica en la fase "R" debido a descargas atmosféricas; sin embargo, no indicó el motivo de desconexión de la línea L-1009. Simultáneamente desconectaron las líneas L-1013 (El Ángel – San Gabán) y L-1051 (El Ángel -San Rafel) de 138 kV así como también la C.H. El Ángel cuando generaba 60 MW. Asimismo, la línea L-1015 (Puerto Maldonado – San Gabán) de 138 kV desconectó en la S.E. Mazuko por actuación de su protección de sobretensión, ocasionando la interrupción de suministros en la S.E. Puerto Maldonado con un total de 13.88 MW. Como consecuencia, la C.H. San Gabán quedó operando en sistema aislado con la S.E. Mazuco. A las 17:12 h se coordinó cerrar el interruptor de la línea L-1010 en la SE Azángaro con resultado negativo. A las 17:12 h se energizó la línea L-1015 y se procedió a normalizar el suministro interrumpido en la S.E. Puerto Maldonado. A las 17:21 h se conectó la línea L-1013 (El Angel – San Gabán) de 138 kV y a las 17:22 h se conectó la línea L-1051 (El Angel – San Rafael) de 138 kV energizando la S.E. San Rafael en sistema aislado y se procedió a normalizar el suministro interrumpido. A las 19:41 h se conectó la línea L-1010 sincronizando el sistema aislado con el SEIN. La línea L-1009 quedó indisponible por falla en el interruptor de la S.E. Azángaro.</t>
  </si>
  <si>
    <t>COMPAÑIA TRANSMISORA SUR ANDINO S.A.C.</t>
  </si>
  <si>
    <t>L. INGENIO - CAUDALOSA - LINEA L-6644</t>
  </si>
  <si>
    <t>Desconectó la línea L-6444 (Ingenio – Caudalosa) de 60 kV por falla bifásica a tierra entre las fases "S" y "T" a 43.5 km desde la S.E. Ingenio, cuya causa no ha sido informada por CONELSUR, titular de la línea. Como consecuencia se interrumpió el suministro de Castrovirreyna con un total de 0.49 MW y de Minera Kolpa con 3.9 MW. A las 07:49 h, se conectó la línea y se procedió a normalizar el suministro interrumpido.</t>
  </si>
  <si>
    <t>L. SAN CRISTÓBAL - ANDAYCHAGUA ELC - LINEA L-527 E</t>
  </si>
  <si>
    <t>Desconectó la línea L-6527E (San Cristóbal – Andaychagua) de 50 kV por falla bifásica entre las fases "R" y "S" debido a descarga atmosférica en la zona de Pomacocha, según lo informado por Statkraft, titular de la línea. Como consecuencia desconectó la línea L-6539B (Kingsmill – San Cristóbal) de 50 kV y se interrumpió los suministros de Compañía minera Volcan y Electrocentro con un total de 18.2 MW. A las 15:33 h, se energizó la línea y se iniciaron las maniobras para restablecer el suministro interrumpido.</t>
  </si>
  <si>
    <t>L. TRUJILLO NORTE - CHIMBOTE 1 - LINEA L-2233</t>
  </si>
  <si>
    <t>Se produjo recierre exitoso en la fase "S" de la línea L-2233 (Chimbote – Trujillo Norte) de 220 kV por falla monofásica a 16 km desde la S.E. Trujillo Norte, debido a quema de caña en la zona, según lo informado por REP, titular de la línea. Como consecuencia el usuario libre Cementos Norte Pacasmayo disminuyó su carga de 24.32 MW a 22.51 MW. A las 16:40 h, se coordinó con el CC-CNP, normalizar su carga interrumpida.</t>
  </si>
  <si>
    <t>Desconectó la línea L-2233 (Chimbote – Trujillo Norte) de 220 kV por falla bifásica entre las fases "R" y "T", debido a quema de caña en la zona de Virú, según lo informado por REP, titular de la línea. Como consecuencia el usuario libre minera Yanacocha disminuyó su carga de 16.62 a 5.79 MW por actuación de sus protecciones propias. A las 16:39 h, se coordinó con el CC-YAN, normalizar su carga interrumpida. A las 19:43 h, se conectó la línea L-2233.</t>
  </si>
  <si>
    <t>L. TRUJILLO NORTE - CHIMBOTE 1 - LINEA L-2232</t>
  </si>
  <si>
    <t>Desconectó la línea L-2232 (Chimbote – Trujillo Norte) de 220 kV por falla monofásica en la fase "R" a 16 km de la S.E. Trujillo Norte, debido a quema de caña en la zona, según lo informado por REP, titular de la línea. Como consecuencia el usuario libre Sider Perú disminuyó su carga de 41.5 a 35.5 MW por actuación de sus protecciones propias. A las 16:45 h, se coordinó con el CC-SID, normalizar su carga interrumpida. A las 17:09 h, se conectó la línea L-2232.</t>
  </si>
  <si>
    <t>Desconectó la línea L-6024 (Azángaro – Putina – Ananea - Huancané) de 60 kV, por falla debido a descargas atmosféricas, según lo informado por ELECTRO PUNO, titular de la línea. Como consecuencia se interrumpió el suministro en las subestaciones Putina, Ananea y Huancané con un total de 4.53 MW. A las 13:24 h, se conectó la línea L-6024 y se inició la normalización de la carga interrumpida.</t>
  </si>
  <si>
    <t xml:space="preserve">ELECTRO DUNAS </t>
  </si>
  <si>
    <t>L. INDEPENDENCIA - PISCO - LINEA L-6605</t>
  </si>
  <si>
    <t>Desconectó la línea L-6605 (Independencia - Pisco) de 60 kV por falla monofásica en la fase "R" a 23.78 km desde la S.E. Independencia, debido a causa que investiga ELECTRO DUNAS, titular de la línea. Como consecuencia se interrumpió la carga de las subestaciones Pisco , Alto La Luna y Creditex con un total de 19.09 MW. A las 16:54 h, la línea L-6605 se puso en servicio.</t>
  </si>
  <si>
    <t>Desconectó la línea L-6007 (Puno - Tucari) de 60 kV por falla, debido a a causas no informadas por MINERA ARUNTANI, titular dela línea. Como consecuencia se interrumpe la carga de Minera Aruntani con un total de 2.41 MW. La línea quedó indisponible por inspección. A las 17:40 h, se pone en servicio la línea.</t>
  </si>
  <si>
    <t>Desconectó la línea L-1014 (San Gabán – Mazuko) de 138 kV por falla bifásica a tierra entre las fases "R" y "T" a 23.06 km desde la S.E. San Gabán, debido a descargas atmosféricas, según lo informado por Electro Sur Este, titular de la línea. Como consecuencia se interrumpió el suministro de Mazuko (1.98 MW) y Puerto Maldonado (8.47 MW) y desconectó la C.H. El Ángel con 49.5 MW. A las 04:30 h, se energizó la L-1014 y se iniciaron las maniobras para normalizar el suministro interrumpido. A las 04:50 h, sincronizó la C.H. El Ángel con el SEIN.</t>
  </si>
  <si>
    <t>Desconexión de las líneas L-6533/6532 (Morococha-Carlos Francisco) de 50 kV por falla debido a descargas atmosféricas según lo informado por Statkraft, propietario de las líneas. Como consecuencia, se interrumpió el suministro en las subestaciones Casapalca Norte, Carlos Francisco, Antuquito, San Mateo, Rosaura, Bellavista y Ticlio con un total de 27.089 MW, asimismo salió fuera de servicio la C.H. Huanchor con 15.836 MW. A las 17:40 h, se energizó la línea L-6533. A las 18:09 h , se sincronizó el grupo G1 y a las 18:37 h se sincronizó el grupo G2 de la C.H.Huanchor.</t>
  </si>
  <si>
    <t>L. CERRO VERDE - REPARTICIÓN - LINEA L-1029</t>
  </si>
  <si>
    <t>Desconectó la línea L-1029 (Cerro Verde - Repartición) de 138 kV por falla monofásica en la fase "S", debido a causa que investiga RED DE ENERGIA DEL PERU S.A. titular de la línea. Como consecuencia se interrumpió el suministro de las subestaciones Repartición, Mollendo, Majes, Pedregal y Camaná con un total de 47.7 MW. Minera Cerro Verde redujo su carga en 15 MW. La línea quedó indisponible por inspección. A las 20:19 h, se coordinó recupera toda la carga de minera Cerro Verde. A las 20:36 h, CC-REP declaró disponible la línea L-1029. A las 20:40 h, se puso en servicio la línea L-1029. A las 20:42 h, se conectó la línea L-1030 (Repartición – Mollendo) de 138 kV y se inició la recuperación de carga de la S.E. Mollendo. A las 20:43 h, se conectó la línea L-1031 (Repartición – Majes) de 138 kV y se inició a recuperación de carga interrumpida de Majes Pedregal y Camaná. A las 20:54 h, CC-SEA informó que recuperó toda su carga interrumpida.</t>
  </si>
  <si>
    <t>Desconectó la línea L-6089 (CH La Virgen – Puntayacu) de 60 kV por falla monofásica a tierra en la fase "R" a 12 km desde la S.E. La Virgen, debido a descarga atmosférica, según lo informado por Empresa de Generación Santa Ana y Electrocentro, titulares de la línea. Como consecuencia se interrumpió el suministro eléctrico en la S.E. Chanchamayo con un total de 3.5 MW y desconectó la C.H. Renovandes con 20.41 MW. A las 05:07 h, se conectó la línea L-6089 y se procedió a normalizar el suministro interrumpido. A las 05:24 h,la C.H. Renovandes sincronizó con el SEIN.</t>
  </si>
  <si>
    <t>Desconectó la línea L-6024 (Azángaro - Putina) de 60 kV por falla debido a descargas atmosféricas, según lo informado por Electro Puno, titular de la línea. Como consecuencia se interrumpió el suministro en las SS.EE. Putina, Ananea, Huancané con un total de 7.70 MW. A las 12:04 h se energizó la línea L-6024 y se procedió a normalizar el suministro interrumpido.</t>
  </si>
  <si>
    <t>COMPAÑIA TRANSMISORA ANDINA S.A.</t>
  </si>
  <si>
    <t>S.E. ALTO CHICAMA - CELDA CL1136</t>
  </si>
  <si>
    <t>Desconectó la línea L-1136 (Trujillo Norte - Alto Chicama) de 138 kV en la S.E. Trujillo Norte, por falla bifásica a tierra entre las fases "R" y "T" a 76.9 km desde la S.E. Trujillo Norte, cuya causa se encuentra en investigación por parte de Compañía Transmisora Andina, titular de la línea. Como consecuencia se interrumpió la carga del cliente libre minera BarrickMisquichilca con un total de 10.61 MW. A las 13:21 h entró en servicio la línea y se procedió a normalizar la carga interrumpida.</t>
  </si>
  <si>
    <t>L. MANTARO - COTARUSE - LINEA L-2051</t>
  </si>
  <si>
    <t>Recierre exitoso de la línea L-2051 (Mantaro - Cotause) de 220 kV, por falla monofásica en la fase "T" a una distancia de 294 km desde la Cotaruse, provocado por descargas atmosféricas, segun lo informado por Transmantaro, titular de la línea. Como consecuencia el cliente libre minera las Bambas redujo su carga en 83.05 MW . A las 14:42 h se coordinó recuperar toda la carga reducida del cliente Libre Las Bambas.</t>
  </si>
  <si>
    <t>Se produjo un recierre monofásico exitoso en la fase "R" de la línea L-5031 (Colcabamba - Poroma) de 500 kV, provocado por descargas atmosféricas, según lo informado por TRANSMANTARO, titular de la línea. Como consecuencia el usuario libre Minera Cerro Verde redujo su carga en un total de 100,4 MW. A las 16:12 h, se coordinó normalizar el total de sus suministros reducidos.</t>
  </si>
  <si>
    <t>Se produjo un recierre monofásico exitoso en la fase "S" de las líneas L-2055 y L-2056 (Cotaruse - Las Bambas) de 220 kV, provocado por fenómenos atmosféricos, según lo informado por ATN2, titular de las líneas. Como consecuencia el usuario libre Minera Las Bambas redujo su carga en un total de 106.2 MW. A las 18:13 h, se coordinó normalizar el total de sus suministros reducidos. Cabe resaltar que el interruptor IN-2790 de la línea L-2056 en la S.E. Cotaruse quedó fuera de servicio luego de la falla.</t>
  </si>
  <si>
    <t>Desconectó la línea L-6024 / L-6025 (Azángaro – Putina – Ananea) de 60 kV por falla debido a descarga atmosférica en la zona de Putina. Como consecuencia se interrumpió el suministro de Huancané y Ananea en total 9.55 MW. A las 13:04 h, se conectó la línea L-6024/L-6025 y se procedió a normalizar el suministro interrumpido.</t>
  </si>
  <si>
    <t>Desconectó la línea L-6024 / L-6025 (Azángaro – Putina – Ananea) de 60 kV por falla debido a descarga atmosférica en la zona de Putina. Como consecuencia se interrumpió el suministro de Huancané y Ananea en total 8.1 MW. A las 13:08 h, se conectó la línea L-6024/L-6025 y se procedió a normalizar el suministro interrumpido.</t>
  </si>
  <si>
    <t>Desconectó la línea L-6024 / L-6025 (Azángaro – Putina – Ananea) de 60 kV por falla debido a descarga atmosférica. Como consecuencia se interrumpió el suministro de Huancané y Ananea en total 10.2 MW. A las 13:32 h, se conectó la línea L-6024/L-6025 y se procedió a normalizar el suministro interrumpido.</t>
  </si>
  <si>
    <t>L. HUARAZ - TICAPAMPA - LINEA L-6681</t>
  </si>
  <si>
    <t>Desconectó la línea L-6681 (Huaraz - Ticapampa) de 66 kV por falla en la fase "T" a 13.2 km desde la SE Huaraz debido a descarga atmosférica, según lo informado por HIDRANDINA, titular de la línea. Como consecuencia se interrumpió el suministro de la SE Ticapampa (1.88 MW) y desconectó la CH Pariac con 2.629 MW. A las 14:46 h se conectó la línea L-6681 y se inició la normalización del suministro interrumpido. A las 16:20 h, sincronizó la CH Pariac con el SEIN.</t>
  </si>
  <si>
    <t>SOUTHERN PERU CC</t>
  </si>
  <si>
    <t>S.E. PLAZA TOQUEPALA - TRAFO3D PT1</t>
  </si>
  <si>
    <t>Desconectó el transformador PT1 de la SE Plaza durante trabajos del relé diferencial de barras de la S.E. Plaza 138 kV, según lo informado por SPCC. Como consecuencia se interrumpió el suministro de Quebrada Honda (2.5 MW) y Concentradora 2 (46.4 MW) ambos de la SE Toquepala. El transformador PT1 quedó indisponible para su revisión.</t>
  </si>
  <si>
    <t>Desconectó la línea L-6644 (Ingenio – Caudalosa) de 60 kV por falla bifásica a tierra entre las fases "S" y "T" a 44.32 km desde la S.E. Ingenio, debido a intensa nevada en la zona, según lo indicado por Kolpa. Como consecuencia se interrumpió el suministro de Caudalosa Grande y de la minera Kolpa con un total de 3.7 MW. A las 07:10 h, se energizó la línea L-6644 y se procedió a normalizar la carga interrumpida.</t>
  </si>
  <si>
    <t>L. CARHUAMAYO - SHELBY - LINEA L-6515</t>
  </si>
  <si>
    <t>Desconectaron las líneas L-6515/L-6517 (Carhuamayo - Shelby - Excelsior) de 50 kV, por falla monofásica en la fase “R”, ubicada a 15,94 km de la S.E. Excelsior, debido a descargas atmosféricas en la zona de Carhuamayo, según lo informado por Statkraft, titular de la línea. Como consecuencia se interrumpieron las cargas de las SSE La Fundición, Shelby y San Juan con un total de 1,72 MW. A las 16:12 h se energizaron las dos líneas y se recuperó la carga interrumpida.</t>
  </si>
  <si>
    <t>Desconectaron las líneas L-6515/L-6517 (Carhuamayo - Shelby - Excelsior) de 50 kV, por falla bifásica entre las fases “R y T”, ubicada a 41,1 km de la S.E. Excelsior, debido a descargas atmosféricas en la zona de Carhuamayo, según lo informado por Statkraft, titular de la línea. Como consecuencia se interrumpieron las cargas de las SSE La Fundición, Shelby y San Juan con un total de 1,72 MW. A las 17:32 h se energizaron las dos líneas y se recuperó la carga interrumpida.</t>
  </si>
  <si>
    <t>Desconectó la línea L-6027 (Puno – Ilave - Pomata) de 60 kV, por falla monofásica en la fase “S”, debido a descargas atmosféricas en la zona de Pomata, según lo informado por Electro Puno, titular de la línea. Como consecuencia se interrumpió la carga de las SS.EE. Ilave y Pomata con un total de 6,06 MW. A las 18:33 h entró en servicio la línea y se recuperó la carga interrumpida.</t>
  </si>
  <si>
    <t>Desconectaron las líneas en 50 kV L-6515 (Carhuamayo - Shelby) y L-6517 (Shelby - Excelsior) por falla bifásica entre las fases “R y S”, debido a fuertes vientos y lluvia presentados en la zona de Carhuamayo, ubicada a 34,4 km de la S.E. Excelsior, según lo informado por Statkraft, titular de las líneas. Como consecuencia se interrumpió el suministro en las SS.EE. La Fundición, Shelby y San Juan con un total de 1,72 MW. A las 08:36 h, se pusieron en servicio las líneas y se procedió a recuperar el suministro interrumpido.</t>
  </si>
  <si>
    <t>L. ICA - SANTA MARGARITA - LINEA L-6624</t>
  </si>
  <si>
    <t>Desconectó la línea en 60 kV L-6624 (Ica - Santa Margarita) por arco eléctrico en el aislador del seccionador de línea al momento de realizar hidrolavado en el patio de llaves en la SET Santa Margarita, según lo informado por Electrodunas, titular de la línea. Como consecuencia se interrumpió el suministro de la S.E. Santa Margarita en 16,11 MW. A las 11:42 h, se supo en servicio la línea y se procedió a recuperar el suministro interrumpido.</t>
  </si>
  <si>
    <t>Desconectó la línea L-6655 (Paramonga - 09 de octubre) de 66 kV por falla monofásica en la fase "T" a 44,2 km desde la S.E. Paramonga, debido a caída de conductor de la fase “T” en la estructura N° 153, según lo informado por Hidrandina, titular de la línea. Como consecuencia, se interrumpió el suministro en la S.E. Huarmey con un total de 2,43 MW. A las 00:18 h, se realizó una energización de la línea L-6655 con resultado negativo. A las 03:51 h, se conectó la línea L-6655 y se procedió a recuperar el suministro interrumpido.</t>
  </si>
  <si>
    <t>Desconectó la línea L-6017 (Ares - Huancarama) de 60 kV, por falla monofásica en la fase "T" a 8,09 km desde la S.E. Ares, debido a descargas atmosféricas en la zona, según lo informado por Conenhua, titular de la línea. Como consecuencia se interrumpió el suministro de las SS.EE. Huancarama, Chipmo y Orcopampa con un total de 7,72 MW. A las 14:31 h, se puso en servicio la línea y se procedió a normalizar el suministro interrumpido.</t>
  </si>
  <si>
    <t>L. PARAGSHA II - UCHUCCHACUA - LINEA L-1123</t>
  </si>
  <si>
    <t>Desconectó la línea L-1123 (Paragsha II - Uchucchacua) de 138 kV por falla monofásica en la fase "T" a 34,5 km desde la S.E. Paragsha 2, debido a descargas atmosféricas en la zona, según lo informado por Conenhua, titular de la línea. En la S.E. Paragsha 2 se registró recierre monofásico, y en la S.E. Uchucchacua se produjo apertura trifásica; por lo tanto, la línea quedó tensionada en vació desde Paragsha 2. Como consecuencia se interrumpió los suministros de los clientes libres Buenventura, Iscaycruz y Raura con un total de 23,9 MW. A las 15:29 h se conectó la línea en la S.E. Uchucchacua y se procedió a normalizar el suministro interrumpido.</t>
  </si>
  <si>
    <t>Desconectó la línea L-6027 (Puno - Pomata/Ilave) de 60 kV, por falla debido a descargas atmosféricas en la zona de Pomata, según lo informado por Electropuno, titular de la línea. Como consecuencia se interrumpió el suministro de las SS.EE. Pomata e Ilave con un total de 5,54 MW. A las 20:52 h entró en servicio la línea y se procedió a recuperar la carga interrumpida.</t>
  </si>
  <si>
    <t>Desconectó la línea L-6021 (Azángaro - Antauta) de 60 kV, por falla debido a descargas atmosféricas en la zona de Azángaro, según lo informado por Electro Puno, titular de la línea. Como consecuencia se interrumpió la carga de Antauta con 1,22 MW. A las 16:41 h se conectó la línea y se recuperó la carga interrumpida.</t>
  </si>
  <si>
    <t>Se produjo recierre exitoso en la línea L-5031 (Colcabamba - Poroma) de 500 kV, por falla monofásica en la fase “S”, debido a descargas atmosféricas en la zona, ubicada a 35,5 km de la S.E. Poroma, según lo informado por TRANSMANTARO, titular de la línea. Como consecuencia redujeron carga los clientes libres, Minera Cerro Verde en 64,4 MW, Southern Copper en 8,4 MW y Marcobre. A las 11:48 h se coordinó recuperar toda la carga de Southern y Marcobre y a las 11:49 h se coordinó recuperar toda la carga de Minera Cerro Verde.</t>
  </si>
  <si>
    <t>L. MARCONA - NAZCA - LINEA L-6630</t>
  </si>
  <si>
    <t>Desconectó la línea L-6630 (Marcona - Nazca) de 60 kV, por falla monofásica en la fase “T”, cuya causa no fue informada por ELECTRO DUNAS, titular de la línea. Como consecuencia se interrumpió el suministro de las SS.EE. Nazca, Llipata, Puquio y Cora cora con un total de 28,25 MW. A las 12:28 h, se conectó la línea y se inició la normalización del suministro interrumpido.</t>
  </si>
  <si>
    <t>Desconectaron las líneas L-6024 / L-6025 / L-6026 (Azángaro – Putina – Ananea - Huancané) de 60 kV, por falla debido a descarga atmosférica en la línea L-6024, según lo informado por Electro Puno, titular de la línea. Como consecuencia se interrumpió el suministro de Huancané y Ananea en total 11,11 M. A las 14:59 h, se conectó la línea L-6024 / L-6025 / L-6026 y se procedió a normalizar el suministro interrumpido.</t>
  </si>
  <si>
    <t>L. EL CARMEN - PEDREGAL - LINEA L-6619_Proyecto</t>
  </si>
  <si>
    <t>Desconectó la línea L-6619 (El Carmen - Pedregal) de 60 kV, por falla monofásica fase T, debido a acercamiento de maquinaria pesada con la línea, según lo informado por Electro Dunas, titular de la línea. Como consecuencia se interrumpió la carga de SE Tambo de Mora con 3.5 MW. A las 17:08 h se conectó la línea y se procedió a recuperar la carga interrumpida.</t>
  </si>
  <si>
    <t>ATN S.A.</t>
  </si>
  <si>
    <t>L. PARAGSHA II - CONOCOCHA - LINEA L-2264</t>
  </si>
  <si>
    <t>Desconectó la línea L-2264 (Conococha - Paragsha II) de 220 kV, por falla bifásica entre las fases “R y T”, debido a descargas atmosféricas en la zona, según lo informado por ATN titular de la línea. Como consecuencia la Minera Antamina redujo 27,71 MW de carga. A las 14:00 h, se coordinó recuperar la carga interrumpida. A las 14:16 h, entro en servicio la línea.</t>
  </si>
  <si>
    <t>Desconectó la línea L-6021 (Azángaro – Antauta) de 60 kV por falla, originada por descarga atmosférica en la zona de Azángaro. Como consecuencia se interrumpió el suministro de Antauta con 0,76 MW. A las 15:21 h, se conectó la línea y se procedió a normalizar el suministro interrumpido.</t>
  </si>
  <si>
    <t>Desconectó la línea L-6021 (Azángaro – Antauta) de 60 kV por falla originada por descarga atmosférica en la zona. Como consecuencia se interrumpió el suministro de Antauta con 0,75 MW. A las 15:22 h, se conectó la línea y se normalizó el suministro interrumpido.</t>
  </si>
  <si>
    <t>L. COMBAPATA - SICUANI - LINEA L-6001</t>
  </si>
  <si>
    <t>Desconectó la línea L-6001 (Combapata – Sicuani) de 66 kV, por causas no informadas por Electro Sur Este, titular de la línea. Como consecuencia se interrumpió el suministro de Sicuani con un total de 3,26 MW. A las 17:36 h, se energizó la línea y se procedió a normalizar el suministro interrumpido.</t>
  </si>
  <si>
    <t>L. ARICOTA 1 - ARICOTA 2 - LINEA L-6617</t>
  </si>
  <si>
    <t>Desconectó la línea L-6617 (Aricota 2 – Aricota 1) de 66 kV por falla en el equipo de protecció, segun lo informado por Egesur, titular de la línea. Como consecuencia desconectaron la línea L-6667 (Aricota 1 – Sarita) de 66 kV y los generadores G1 (6.96 MW) y G2 (7.24 MW) de la C.H. Aricota 1. Se interrumpió el suministro de Candarave, Tarata, Caserío Aricota y El Ayro en total 0.8 MW A las 16:44 h, se conectaron las líneas L-6617, L-6667 y se procedió a normalizar el suministro interrumpido.  A las 16:51 h y 16:59 h, sincronizaron los generadores G1 y G2 de la CH Aricota 1 con el SEIN respectivamente.</t>
  </si>
  <si>
    <t>Desconectaron las líneas L-2216 (Paramonga Nueva - Chimbote 1) de 220 KV por falla monofásica en la fase “S” y L-1103 (Chimbote 1 - Huallanca) de 138 KV por falla monofásica en la fase “R”, de propiedad de REP e ISA, respectivamente, la falla fue debido a un posible acercamiento entre conductores de ambas líneas. Como consecuencia el usuario libre Sider Perú redujo 15 MW de carga, a las 10:15h se le dio pase para recuperar carga interrumpida. Las líneas quedaron fuera de servicio para su inspección. A las 15:57 h, se conectó la línea L-1103. A las 15:59 h, se conectó la línea L-2216.</t>
  </si>
  <si>
    <t>Se produjo la desconexión de la línea L-6601 (Oroya Nueva - Canchayllo) de 66 KV por falla, debido a descargas atmosféricas en la zona, según lo informado por Statkraft, titular de la línea. Como consecuencia se interrumpieron los suministros de las SS.EE.Pachacayo, Azulcocha y Chumpe con un total de 10,7 MW, así mismo desconectó la C.H. Canchayllo con 2.5 MW. La línea quedó indisponible para su inspección. A las 16:09 h, se conectó la línea con lo cual se inició el restablecimiento del suministro interrumpido. A las 16:25 h, la C.H. Canchayllo sincronizó con el SEIN.</t>
  </si>
  <si>
    <t>Se produjo la desconexión de la línea L-6021 (Azángaro - Antauta) de 60 KV por falla debido a descargas atmosféricas en la de Azángaro, según lo informado por Electro Puno, titular de la línea. Como consecuencia se interrumpió el suministro de la S.E. Antauta con 0,74 MW. A las 16:01 h, se conectó la línea y se inició el restablecimiento del suministro interrumpido.</t>
  </si>
  <si>
    <t>Desconectó la línea L-1132 (Kimanayllu - Sihuas) de 138 kV, por falla monofásica en la fase “R”, debido a posibles descargas atmosféricas en la zona, según lo informado por Hidrandina, titular de la línea. Como consecuencia desconectaron las líneas L-1133(Sihuas-Tayabamba), L-1134 (Tayabamba-Llacuabamba), L-1140 (Llacuabamba-Pías) y la C.H. Pías con 10,49 MW, produciendo la interrupción de carga del cliente libre, minera Horizonte con 12,87 MW y las cargas reguladas de las SS.EE Sihuas con 3,48 MW, Pomabamba con 0,7MW, Huari con 1,76 MW y Tayabamba con 1,67 MW. A las 02:18 h entró en servicio la línea y se procedió a recuperar la carga interrumpida.</t>
  </si>
  <si>
    <t>Se produjo la desconexión de la línea L-2251 (Aguaytía - Tingo María) de 220 KV por falla monofásica en la fase “S”, debido a descargas atmosféricas en la zona, según lo informado por ISA Perú, titular de la línea. Como consecuencia se interrumpieron los suministros de las SS.EE. Pucallpa y Aguaytía Pueblo con un total de 28 MW. A las 04:14 h, el CC-ISA declaró disponible la línea L-2251. A las 04:16 h, se conectó la línea L-2251. A las 04:17 h se energizó el autotransformador AT38-211 de la S.E. Aguaytía desde el lado 220 kV. A las 04:18 h, se conectó la línea L-1125. A las 04:19 h, se conectó el transformador T39-161 de la S.E. Pucallpa desde el lado de 138 KV.A las 04:20 h se recuperó la carga de Pueblo Aguaytía. A las 04:25 h, se energizó el Atransformador T111-161 de la S.E. Pucallpa desde el lado 138 kV, seguidamente se energizó la barra de la 60 KV de la S.E. Pucallpa con lo cual se inició el restablecimiento del suministro interrumpido.</t>
  </si>
  <si>
    <t xml:space="preserve">Se produjo la desconexión de las líneas L-6532/6533 (Morococha - Carlos Francisco) de 50 KV, por falla debido a descargas atmosféricas en la zona de Ticlio, según lo informado por Statkraft, titular de las líneas. Como consecuencia se interrumpieron los suministros de las SS.EE. Carlos Francisco, Casapalca, Antuquito, Rosaura, Bellavista, San Mateo y Huanchor con un total de 21,90 MW; asimismo, desconectó la C.H. Huanchor con 16.033 MW.A las 12:41 h se conectó la línea y se procedió a recuperar el suministro interrumpido. </t>
  </si>
  <si>
    <t>CELDA</t>
  </si>
  <si>
    <t>L-2241</t>
  </si>
  <si>
    <t>LA NIÑA - PIURA OESTE</t>
  </si>
  <si>
    <t>L-1105</t>
  </si>
  <si>
    <t>CHIMBOTE 1 - HUALLANCA</t>
  </si>
  <si>
    <t>L-2222  L-2223</t>
  </si>
  <si>
    <t>PACHACHACA - CALLAHUANCA (REP)</t>
  </si>
  <si>
    <t>L-2226</t>
  </si>
  <si>
    <t>PACHACHACA - POMACOCHA</t>
  </si>
  <si>
    <t>L-2201  L-2202</t>
  </si>
  <si>
    <t>CAMPO ARMIÑO - POMACOCHA</t>
  </si>
  <si>
    <t>L-2203  L-2204</t>
  </si>
  <si>
    <t>CAMPO ARMIÑO - HUANCAVELICA</t>
  </si>
  <si>
    <t>L-2294</t>
  </si>
  <si>
    <t>POMACOCHA - CARHUAMAYO</t>
  </si>
  <si>
    <t>L-2051 L-2052  L-5034  L-5036</t>
  </si>
  <si>
    <t>ENLACE CENTRO - SUR</t>
  </si>
  <si>
    <t>L-1010</t>
  </si>
  <si>
    <t>AZÁNGARO - SAN GABÁN II</t>
  </si>
  <si>
    <t>NORTE</t>
  </si>
  <si>
    <t>SUR</t>
  </si>
  <si>
    <t>Var. (2021/2020)</t>
  </si>
  <si>
    <t>VOLUMEN ÚTIL
31-01-2021</t>
  </si>
  <si>
    <t>VOLUMEN ÚTIL
31-01-2020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</si>
  <si>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</si>
  <si>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</si>
  <si>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</si>
  <si>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</si>
  <si>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</si>
  <si>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</si>
  <si>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</si>
  <si>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Retiro de Comercial</t>
  </si>
  <si>
    <t>22.01.2021</t>
  </si>
  <si>
    <t>2.3. POTENCIA INSTALADA EN EL SEIN</t>
  </si>
  <si>
    <t>Aerogenerador</t>
  </si>
  <si>
    <t xml:space="preserve">          No se presentaron inicios de operación comercial en enero de 2021.</t>
  </si>
  <si>
    <t>2.3.  SUSPENSIÓN DE OPERACIÓN COMERCIAL EN EL SEIN</t>
  </si>
  <si>
    <t>(2) Supensión de la Operación Comercial de la C.E. Dunas, propiedad de GR TARUCA S.A.C., a partir del 22.01.2021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</si>
</sst>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sz val="8"/>
      <color theme="3"/>
      <name val="Arial"/>
      <family val="2"/>
    </font>
    <font>
      <sz val="9"/>
      <color theme="3"/>
      <name val="Arial"/>
      <family val="2"/>
    </font>
    <font>
      <b/>
      <sz val="11"/>
      <color theme="1"/>
      <name val="Arial"/>
      <family val="2"/>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
      <sz val="6"/>
      <color theme="0" tint="-0.34998626667073579"/>
      <name val="Calibri"/>
      <family val="2"/>
      <scheme val="minor"/>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5">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style="hair">
        <color theme="4"/>
      </left>
      <right style="hair">
        <color theme="4"/>
      </right>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36">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2" fillId="0" borderId="0" xfId="0" applyFont="1" applyAlignment="1">
      <alignment vertical="center"/>
    </xf>
    <xf numFmtId="0" fontId="43" fillId="0" borderId="0" xfId="0" applyFont="1" applyAlignment="1">
      <alignment vertical="center"/>
    </xf>
    <xf numFmtId="0" fontId="41" fillId="0" borderId="0" xfId="0" applyFont="1" applyAlignment="1">
      <alignment horizontal="center" vertical="center"/>
    </xf>
    <xf numFmtId="0" fontId="43" fillId="0" borderId="0" xfId="0" applyFont="1" applyAlignment="1">
      <alignment horizontal="justify" vertical="center"/>
    </xf>
    <xf numFmtId="0" fontId="44" fillId="0" borderId="0" xfId="0" applyFont="1" applyAlignment="1">
      <alignment vertical="center"/>
    </xf>
    <xf numFmtId="0" fontId="42"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5"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7" fillId="0" borderId="0" xfId="0" applyFont="1" applyAlignment="1">
      <alignment vertical="center"/>
    </xf>
    <xf numFmtId="0" fontId="46" fillId="0" borderId="0" xfId="0" applyFont="1" applyAlignment="1">
      <alignment vertical="center"/>
    </xf>
    <xf numFmtId="1" fontId="48" fillId="0" borderId="0" xfId="0" applyNumberFormat="1" applyFont="1" applyAlignment="1">
      <alignment horizontal="center" vertical="center"/>
    </xf>
    <xf numFmtId="0" fontId="47" fillId="0" borderId="0" xfId="0" applyFont="1"/>
    <xf numFmtId="165" fontId="48" fillId="0" borderId="0" xfId="0" applyNumberFormat="1" applyFont="1" applyAlignment="1">
      <alignment horizontal="right" vertical="center"/>
    </xf>
    <xf numFmtId="166" fontId="48" fillId="0" borderId="0" xfId="0" applyNumberFormat="1" applyFont="1" applyAlignment="1">
      <alignment horizontal="right" vertical="center"/>
    </xf>
    <xf numFmtId="167" fontId="48" fillId="0" borderId="0" xfId="2" applyNumberFormat="1" applyFont="1" applyAlignment="1">
      <alignment horizontal="right" vertical="center"/>
    </xf>
    <xf numFmtId="0" fontId="48" fillId="0" borderId="0" xfId="0" applyFont="1" applyAlignment="1">
      <alignment vertical="center"/>
    </xf>
    <xf numFmtId="0" fontId="49" fillId="0" borderId="0" xfId="0" applyFont="1" applyAlignment="1">
      <alignment vertical="center"/>
    </xf>
    <xf numFmtId="0" fontId="30" fillId="0" borderId="0" xfId="0" applyFont="1"/>
    <xf numFmtId="1" fontId="0" fillId="0" borderId="0" xfId="0" applyNumberFormat="1"/>
    <xf numFmtId="165" fontId="0" fillId="0" borderId="0" xfId="0" applyNumberForma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0" fontId="5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54" fillId="0" borderId="0" xfId="0" applyFont="1"/>
    <xf numFmtId="0" fontId="55" fillId="0" borderId="0" xfId="0" applyFont="1"/>
    <xf numFmtId="0" fontId="55" fillId="0" borderId="0" xfId="0" applyFont="1" applyAlignment="1">
      <alignment vertical="center"/>
    </xf>
    <xf numFmtId="0" fontId="30" fillId="0" borderId="86" xfId="0" applyFont="1" applyBorder="1"/>
    <xf numFmtId="43" fontId="30" fillId="0" borderId="86" xfId="1" applyFont="1" applyBorder="1"/>
    <xf numFmtId="0" fontId="51" fillId="0" borderId="0" xfId="0" applyFont="1" applyAlignment="1">
      <alignment vertical="center"/>
    </xf>
    <xf numFmtId="0" fontId="51" fillId="0" borderId="0" xfId="0" applyFont="1" applyAlignment="1">
      <alignment horizontal="center"/>
    </xf>
    <xf numFmtId="0" fontId="51" fillId="0" borderId="0" xfId="0" applyFont="1" applyAlignment="1">
      <alignment vertical="center" wrapText="1"/>
    </xf>
    <xf numFmtId="0" fontId="51" fillId="0" borderId="0" xfId="0" applyFont="1" applyAlignment="1">
      <alignment horizontal="left" vertical="center" wrapText="1"/>
    </xf>
    <xf numFmtId="49" fontId="52" fillId="0" borderId="0" xfId="0" applyNumberFormat="1" applyFont="1" applyAlignment="1">
      <alignment horizontal="right"/>
    </xf>
    <xf numFmtId="1" fontId="52" fillId="0" borderId="0" xfId="0" applyNumberFormat="1" applyFont="1" applyAlignment="1">
      <alignment horizontal="right"/>
    </xf>
    <xf numFmtId="49" fontId="52" fillId="0" borderId="0" xfId="0" applyNumberFormat="1" applyFont="1" applyAlignment="1">
      <alignment horizontal="center"/>
    </xf>
    <xf numFmtId="1" fontId="52" fillId="0" borderId="0" xfId="0" applyNumberFormat="1" applyFont="1" applyAlignment="1">
      <alignment horizontal="center"/>
    </xf>
    <xf numFmtId="165" fontId="52" fillId="0" borderId="0" xfId="0" applyNumberFormat="1" applyFont="1" applyAlignment="1">
      <alignment horizontal="center"/>
    </xf>
    <xf numFmtId="0" fontId="30" fillId="0" borderId="0" xfId="0" applyFont="1" applyAlignment="1">
      <alignment horizontal="center"/>
    </xf>
    <xf numFmtId="0" fontId="52" fillId="0" borderId="0" xfId="0" applyFont="1" applyAlignment="1">
      <alignment vertical="center"/>
    </xf>
    <xf numFmtId="0" fontId="52"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52"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52"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52"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52" fillId="2" borderId="34" xfId="0" applyNumberFormat="1" applyFont="1" applyFill="1" applyBorder="1" applyAlignment="1">
      <alignment horizontal="center" vertical="center"/>
    </xf>
    <xf numFmtId="170" fontId="56" fillId="5" borderId="23" xfId="0" applyNumberFormat="1" applyFont="1" applyFill="1" applyBorder="1" applyAlignment="1">
      <alignment horizontal="center" vertical="center"/>
    </xf>
    <xf numFmtId="170" fontId="56" fillId="5" borderId="40" xfId="0" applyNumberFormat="1" applyFont="1" applyFill="1" applyBorder="1" applyAlignment="1">
      <alignment horizontal="center" vertical="center"/>
    </xf>
    <xf numFmtId="0" fontId="58"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57"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57"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56" fillId="4" borderId="87" xfId="0" applyFont="1" applyFill="1" applyBorder="1"/>
    <xf numFmtId="43" fontId="56"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0" fontId="0" fillId="2" borderId="0" xfId="0" applyFill="1" applyAlignment="1">
      <alignment horizontal="right"/>
    </xf>
    <xf numFmtId="0" fontId="0" fillId="2" borderId="0" xfId="0" applyFill="1"/>
    <xf numFmtId="0" fontId="56"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60" fillId="0" borderId="0" xfId="0" applyFont="1"/>
    <xf numFmtId="0" fontId="61" fillId="0" borderId="0" xfId="0" applyFont="1" applyAlignment="1">
      <alignment vertical="center"/>
    </xf>
    <xf numFmtId="49" fontId="60" fillId="0" borderId="0" xfId="0" applyNumberFormat="1" applyFont="1" applyAlignment="1">
      <alignment horizontal="center"/>
    </xf>
    <xf numFmtId="1" fontId="60" fillId="0" borderId="0" xfId="0" applyNumberFormat="1" applyFont="1" applyAlignment="1">
      <alignment horizontal="center"/>
    </xf>
    <xf numFmtId="49" fontId="60" fillId="0" borderId="0" xfId="0" applyNumberFormat="1" applyFont="1" applyAlignment="1">
      <alignment horizontal="left"/>
    </xf>
    <xf numFmtId="1" fontId="60" fillId="0" borderId="0" xfId="0" applyNumberFormat="1" applyFont="1" applyAlignment="1">
      <alignment horizontal="left"/>
    </xf>
    <xf numFmtId="165" fontId="60" fillId="0" borderId="0" xfId="0" applyNumberFormat="1" applyFont="1" applyAlignment="1">
      <alignment horizontal="center"/>
    </xf>
    <xf numFmtId="10" fontId="60"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57"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57" fillId="8" borderId="120" xfId="2" applyNumberFormat="1" applyFont="1" applyFill="1" applyBorder="1" applyAlignment="1">
      <alignment vertical="center"/>
    </xf>
    <xf numFmtId="0" fontId="57"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2" fillId="0" borderId="0" xfId="0" applyFont="1" applyAlignment="1">
      <alignment horizontal="center" vertical="center"/>
    </xf>
    <xf numFmtId="0" fontId="62" fillId="2" borderId="0" xfId="0" applyFont="1" applyFill="1" applyAlignment="1">
      <alignment horizontal="left" vertical="center" wrapText="1"/>
    </xf>
    <xf numFmtId="0" fontId="56" fillId="0" borderId="30" xfId="0" applyFont="1" applyBorder="1"/>
    <xf numFmtId="0" fontId="56" fillId="4" borderId="133" xfId="0" applyFont="1" applyFill="1" applyBorder="1"/>
    <xf numFmtId="43" fontId="30" fillId="0" borderId="31" xfId="1" applyFont="1" applyBorder="1"/>
    <xf numFmtId="43" fontId="56" fillId="4" borderId="134" xfId="1" applyFont="1" applyFill="1" applyBorder="1"/>
    <xf numFmtId="0" fontId="56" fillId="0" borderId="30" xfId="0" applyFont="1" applyBorder="1" applyAlignment="1">
      <alignment wrapText="1"/>
    </xf>
    <xf numFmtId="43" fontId="30" fillId="0" borderId="136" xfId="1" applyFont="1" applyBorder="1"/>
    <xf numFmtId="0" fontId="56"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51" fillId="4" borderId="141" xfId="0" applyFont="1" applyFill="1" applyBorder="1" applyAlignment="1">
      <alignment horizontal="center" vertical="center"/>
    </xf>
    <xf numFmtId="4" fontId="51" fillId="4" borderId="142" xfId="0" applyNumberFormat="1" applyFont="1" applyFill="1" applyBorder="1" applyAlignment="1">
      <alignment horizontal="center" vertical="center"/>
    </xf>
    <xf numFmtId="0" fontId="30" fillId="0" borderId="0" xfId="0" applyFont="1" applyAlignment="1">
      <alignment vertical="center"/>
    </xf>
    <xf numFmtId="0" fontId="63" fillId="0" borderId="0" xfId="0" applyFont="1"/>
    <xf numFmtId="0" fontId="63" fillId="0" borderId="0" xfId="0" applyFont="1" applyAlignment="1">
      <alignment horizontal="right"/>
    </xf>
    <xf numFmtId="0" fontId="64" fillId="4" borderId="140" xfId="0" applyFont="1" applyFill="1" applyBorder="1" applyAlignment="1">
      <alignment vertical="center"/>
    </xf>
    <xf numFmtId="0" fontId="64" fillId="0" borderId="140" xfId="0" applyFont="1" applyFill="1" applyBorder="1" applyAlignment="1">
      <alignment vertical="center" wrapText="1"/>
    </xf>
    <xf numFmtId="0" fontId="52" fillId="0" borderId="141" xfId="0" applyFont="1" applyFill="1" applyBorder="1" applyAlignment="1">
      <alignment horizontal="center" vertical="center"/>
    </xf>
    <xf numFmtId="0" fontId="51" fillId="0" borderId="141" xfId="0" applyFont="1" applyFill="1" applyBorder="1" applyAlignment="1">
      <alignment horizontal="center" vertical="center"/>
    </xf>
    <xf numFmtId="4" fontId="52"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56" fillId="4" borderId="133" xfId="0" applyFont="1" applyFill="1" applyBorder="1" applyAlignment="1">
      <alignment wrapText="1"/>
    </xf>
    <xf numFmtId="0" fontId="65" fillId="0" borderId="0" xfId="0" applyFont="1" applyAlignment="1">
      <alignment vertical="center"/>
    </xf>
    <xf numFmtId="49" fontId="54" fillId="0" borderId="0" xfId="0" applyNumberFormat="1" applyFont="1" applyAlignment="1">
      <alignment horizontal="right"/>
    </xf>
    <xf numFmtId="1" fontId="54" fillId="0" borderId="0" xfId="0" applyNumberFormat="1" applyFont="1" applyAlignment="1">
      <alignment horizontal="right"/>
    </xf>
    <xf numFmtId="0" fontId="54"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175" fontId="66" fillId="0" borderId="0" xfId="0" applyNumberFormat="1" applyFont="1"/>
    <xf numFmtId="1" fontId="54" fillId="0" borderId="0" xfId="0" applyNumberFormat="1" applyFont="1"/>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7" fillId="0" borderId="0" xfId="0" applyFont="1"/>
    <xf numFmtId="0" fontId="68" fillId="0" borderId="0" xfId="0" applyFont="1" applyAlignment="1">
      <alignment vertical="center"/>
    </xf>
    <xf numFmtId="0" fontId="68" fillId="0" borderId="0" xfId="0" applyFont="1"/>
    <xf numFmtId="0" fontId="50"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50"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50"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52" fillId="0" borderId="78" xfId="1" applyFont="1" applyBorder="1" applyAlignment="1">
      <alignment vertical="center" wrapText="1"/>
    </xf>
    <xf numFmtId="0" fontId="52"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3" fontId="55" fillId="0" borderId="0" xfId="1" applyFont="1" applyAlignment="1">
      <alignment vertical="center"/>
    </xf>
    <xf numFmtId="49" fontId="42" fillId="0" borderId="0" xfId="0" applyNumberFormat="1" applyFont="1" applyAlignment="1">
      <alignment horizontal="center"/>
    </xf>
    <xf numFmtId="0" fontId="42" fillId="0" borderId="0" xfId="0" applyFont="1" applyAlignment="1">
      <alignment horizontal="center"/>
    </xf>
    <xf numFmtId="2" fontId="42" fillId="0" borderId="0" xfId="0" applyNumberFormat="1" applyFont="1"/>
    <xf numFmtId="10" fontId="42" fillId="0" borderId="0" xfId="2" applyNumberFormat="1" applyFont="1"/>
    <xf numFmtId="0" fontId="55" fillId="0" borderId="0" xfId="0" applyFont="1" applyAlignment="1">
      <alignment horizontal="center" vertical="center"/>
    </xf>
    <xf numFmtId="166" fontId="55" fillId="0" borderId="0" xfId="0" applyNumberFormat="1" applyFont="1" applyAlignment="1">
      <alignment vertical="center"/>
    </xf>
    <xf numFmtId="166" fontId="55" fillId="0" borderId="0" xfId="0" applyNumberFormat="1" applyFont="1" applyAlignment="1">
      <alignment horizontal="right" vertical="center"/>
    </xf>
    <xf numFmtId="166" fontId="55" fillId="0" borderId="0" xfId="7" applyNumberFormat="1" applyFont="1" applyAlignment="1">
      <alignment vertical="center"/>
    </xf>
    <xf numFmtId="0" fontId="0" fillId="0" borderId="0" xfId="0" applyFont="1" applyAlignment="1">
      <alignment horizontal="center" vertical="center"/>
    </xf>
    <xf numFmtId="0" fontId="64" fillId="0" borderId="143" xfId="0" applyFont="1" applyFill="1" applyBorder="1" applyAlignment="1">
      <alignment vertical="center" wrapText="1"/>
    </xf>
    <xf numFmtId="0" fontId="52" fillId="0" borderId="144" xfId="0" applyFont="1" applyFill="1" applyBorder="1" applyAlignment="1">
      <alignment horizontal="center" vertical="center"/>
    </xf>
    <xf numFmtId="4" fontId="52"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4" fontId="35" fillId="8" borderId="151" xfId="0"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4" fillId="0" borderId="0" xfId="0" applyFont="1" applyAlignment="1">
      <alignment horizontal="center" vertical="center" wrapText="1"/>
    </xf>
    <xf numFmtId="174" fontId="0" fillId="0" borderId="0" xfId="0" applyNumberFormat="1" applyFont="1"/>
    <xf numFmtId="0" fontId="52" fillId="2" borderId="0" xfId="0" applyFont="1" applyFill="1" applyAlignment="1">
      <alignment vertical="center"/>
    </xf>
    <xf numFmtId="43" fontId="52" fillId="2" borderId="46" xfId="1" applyFont="1" applyFill="1" applyBorder="1" applyAlignment="1">
      <alignment vertical="center"/>
    </xf>
    <xf numFmtId="43" fontId="52" fillId="2" borderId="46" xfId="0" applyNumberFormat="1" applyFont="1" applyFill="1" applyBorder="1" applyAlignment="1">
      <alignment vertical="center"/>
    </xf>
    <xf numFmtId="167" fontId="51" fillId="2" borderId="47" xfId="2" applyNumberFormat="1" applyFont="1" applyFill="1" applyBorder="1" applyAlignment="1">
      <alignment vertical="center"/>
    </xf>
    <xf numFmtId="0" fontId="52" fillId="4" borderId="0" xfId="0" applyFont="1" applyFill="1" applyAlignment="1">
      <alignment vertical="center"/>
    </xf>
    <xf numFmtId="43" fontId="52" fillId="4" borderId="46" xfId="0" applyNumberFormat="1" applyFont="1" applyFill="1" applyBorder="1" applyAlignment="1">
      <alignment vertical="center"/>
    </xf>
    <xf numFmtId="167" fontId="51" fillId="4" borderId="47" xfId="2" applyNumberFormat="1" applyFont="1" applyFill="1" applyBorder="1" applyAlignment="1">
      <alignment vertical="center"/>
    </xf>
    <xf numFmtId="167" fontId="56" fillId="4" borderId="47" xfId="2" applyNumberFormat="1" applyFont="1" applyFill="1" applyBorder="1" applyAlignment="1">
      <alignment vertical="center"/>
    </xf>
    <xf numFmtId="0" fontId="52" fillId="2" borderId="48" xfId="0" applyFont="1" applyFill="1" applyBorder="1" applyAlignment="1">
      <alignment vertical="center"/>
    </xf>
    <xf numFmtId="0" fontId="52" fillId="4" borderId="49" xfId="0" applyFont="1" applyFill="1" applyBorder="1" applyAlignment="1">
      <alignment vertical="center"/>
    </xf>
    <xf numFmtId="0" fontId="52" fillId="2" borderId="49" xfId="0" applyFont="1" applyFill="1" applyBorder="1" applyAlignment="1">
      <alignment vertical="center"/>
    </xf>
    <xf numFmtId="0" fontId="52" fillId="4" borderId="49" xfId="0" applyFont="1" applyFill="1" applyBorder="1" applyAlignment="1">
      <alignment vertical="center" wrapText="1"/>
    </xf>
    <xf numFmtId="0" fontId="52" fillId="2" borderId="49" xfId="0" applyFont="1" applyFill="1" applyBorder="1" applyAlignment="1">
      <alignment vertical="center" wrapText="1"/>
    </xf>
    <xf numFmtId="43" fontId="52" fillId="2" borderId="50" xfId="0" applyNumberFormat="1" applyFont="1" applyFill="1" applyBorder="1" applyAlignment="1">
      <alignment vertical="center"/>
    </xf>
    <xf numFmtId="167" fontId="51" fillId="2" borderId="51" xfId="2" applyNumberFormat="1" applyFont="1" applyFill="1" applyBorder="1" applyAlignment="1">
      <alignment vertical="center"/>
    </xf>
    <xf numFmtId="0" fontId="52" fillId="4" borderId="52" xfId="0" applyFont="1" applyFill="1" applyBorder="1" applyAlignment="1">
      <alignment vertical="center"/>
    </xf>
    <xf numFmtId="0" fontId="52" fillId="2" borderId="0" xfId="0" applyFont="1" applyFill="1" applyBorder="1" applyAlignment="1">
      <alignment vertical="center"/>
    </xf>
    <xf numFmtId="43" fontId="52" fillId="2" borderId="0" xfId="0" applyNumberFormat="1" applyFont="1" applyFill="1" applyBorder="1" applyAlignment="1">
      <alignment vertical="center"/>
    </xf>
    <xf numFmtId="167" fontId="51" fillId="2" borderId="0" xfId="2" applyNumberFormat="1"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52" fillId="2" borderId="61" xfId="0" applyFont="1" applyFill="1" applyBorder="1" applyAlignment="1">
      <alignment vertical="center"/>
    </xf>
    <xf numFmtId="170" fontId="52" fillId="2" borderId="61" xfId="0" applyNumberFormat="1" applyFont="1" applyFill="1" applyBorder="1" applyAlignment="1">
      <alignment vertical="center"/>
    </xf>
    <xf numFmtId="167" fontId="51" fillId="2" borderId="61" xfId="2" applyNumberFormat="1" applyFont="1" applyFill="1" applyBorder="1" applyAlignment="1">
      <alignment vertical="center"/>
    </xf>
    <xf numFmtId="0" fontId="52" fillId="4" borderId="62" xfId="0" applyFont="1" applyFill="1" applyBorder="1" applyAlignment="1">
      <alignment vertical="center"/>
    </xf>
    <xf numFmtId="170" fontId="52" fillId="4" borderId="62" xfId="0" applyNumberFormat="1" applyFont="1" applyFill="1" applyBorder="1" applyAlignment="1">
      <alignment vertical="center"/>
    </xf>
    <xf numFmtId="167" fontId="51" fillId="4" borderId="62" xfId="2" applyNumberFormat="1" applyFont="1" applyFill="1" applyBorder="1" applyAlignment="1">
      <alignment vertical="center"/>
    </xf>
    <xf numFmtId="0" fontId="52" fillId="2" borderId="62" xfId="0" applyFont="1" applyFill="1" applyBorder="1" applyAlignment="1">
      <alignment vertical="center"/>
    </xf>
    <xf numFmtId="170" fontId="52" fillId="2" borderId="62" xfId="0" applyNumberFormat="1" applyFont="1" applyFill="1" applyBorder="1" applyAlignment="1">
      <alignment vertical="center"/>
    </xf>
    <xf numFmtId="167" fontId="51" fillId="2" borderId="62" xfId="2" applyNumberFormat="1" applyFont="1" applyFill="1" applyBorder="1" applyAlignment="1">
      <alignment vertical="center"/>
    </xf>
    <xf numFmtId="0" fontId="52" fillId="2" borderId="63" xfId="0" applyFont="1" applyFill="1" applyBorder="1" applyAlignment="1">
      <alignment vertical="center"/>
    </xf>
    <xf numFmtId="170" fontId="52" fillId="2" borderId="63" xfId="0" applyNumberFormat="1" applyFont="1" applyFill="1" applyBorder="1" applyAlignment="1">
      <alignment vertical="center"/>
    </xf>
    <xf numFmtId="167" fontId="51" fillId="2" borderId="63" xfId="2" applyNumberFormat="1" applyFont="1" applyFill="1" applyBorder="1" applyAlignment="1">
      <alignment vertical="center"/>
    </xf>
    <xf numFmtId="0" fontId="52" fillId="4" borderId="64" xfId="0" applyFont="1" applyFill="1" applyBorder="1" applyAlignment="1">
      <alignment vertical="center"/>
    </xf>
    <xf numFmtId="170" fontId="52" fillId="4" borderId="64" xfId="0" applyNumberFormat="1" applyFont="1" applyFill="1" applyBorder="1" applyAlignment="1">
      <alignment vertical="center"/>
    </xf>
    <xf numFmtId="167" fontId="51" fillId="4" borderId="64" xfId="2" applyNumberFormat="1" applyFont="1" applyFill="1" applyBorder="1" applyAlignment="1">
      <alignment vertical="center"/>
    </xf>
    <xf numFmtId="0" fontId="52" fillId="2" borderId="64" xfId="0" applyFont="1" applyFill="1" applyBorder="1" applyAlignment="1">
      <alignment vertical="center"/>
    </xf>
    <xf numFmtId="170" fontId="52" fillId="2" borderId="64" xfId="0" applyNumberFormat="1" applyFont="1" applyFill="1" applyBorder="1" applyAlignment="1">
      <alignment vertical="center"/>
    </xf>
    <xf numFmtId="167" fontId="51" fillId="2" borderId="64" xfId="2" applyNumberFormat="1" applyFont="1" applyFill="1" applyBorder="1" applyAlignment="1">
      <alignment vertical="center"/>
    </xf>
    <xf numFmtId="0" fontId="52" fillId="2" borderId="64" xfId="0" applyFont="1" applyFill="1" applyBorder="1" applyAlignment="1">
      <alignment vertical="center" wrapText="1"/>
    </xf>
    <xf numFmtId="0" fontId="52" fillId="4" borderId="64" xfId="0" applyFont="1" applyFill="1" applyBorder="1" applyAlignment="1">
      <alignment vertical="center" wrapText="1"/>
    </xf>
    <xf numFmtId="2" fontId="52" fillId="4" borderId="64" xfId="0" applyNumberFormat="1" applyFont="1" applyFill="1" applyBorder="1" applyAlignment="1">
      <alignment vertical="center" wrapText="1"/>
    </xf>
    <xf numFmtId="0" fontId="52" fillId="0" borderId="62" xfId="0" applyFont="1" applyBorder="1" applyAlignment="1">
      <alignment vertical="center"/>
    </xf>
    <xf numFmtId="166" fontId="52" fillId="0" borderId="62" xfId="0" applyNumberFormat="1" applyFont="1" applyBorder="1" applyAlignment="1">
      <alignment vertical="center"/>
    </xf>
    <xf numFmtId="0" fontId="52" fillId="4" borderId="94" xfId="0" applyFont="1" applyFill="1" applyBorder="1" applyAlignment="1">
      <alignment vertical="center"/>
    </xf>
    <xf numFmtId="170" fontId="52" fillId="4" borderId="94" xfId="0" applyNumberFormat="1" applyFont="1" applyFill="1" applyBorder="1" applyAlignment="1">
      <alignment vertical="center"/>
    </xf>
    <xf numFmtId="167" fontId="51"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0" fontId="43" fillId="0" borderId="0" xfId="0" applyFont="1" applyAlignment="1">
      <alignment horizontal="right" vertical="center"/>
    </xf>
    <xf numFmtId="14" fontId="41" fillId="0" borderId="0" xfId="0" applyNumberFormat="1" applyFont="1" applyAlignment="1">
      <alignment vertical="center"/>
    </xf>
    <xf numFmtId="0" fontId="70" fillId="0" borderId="0" xfId="0" applyFont="1" applyAlignment="1">
      <alignment vertical="center"/>
    </xf>
    <xf numFmtId="17" fontId="70" fillId="0" borderId="0" xfId="0" applyNumberFormat="1" applyFont="1" applyAlignment="1">
      <alignment horizontal="center" vertical="center"/>
    </xf>
    <xf numFmtId="2" fontId="70" fillId="0" borderId="0" xfId="0" applyNumberFormat="1" applyFont="1" applyAlignment="1">
      <alignment horizontal="center" vertical="center"/>
    </xf>
    <xf numFmtId="0" fontId="70" fillId="0" borderId="0" xfId="0" quotePrefix="1" applyFont="1" applyAlignment="1">
      <alignment vertical="center" wrapText="1"/>
    </xf>
    <xf numFmtId="2" fontId="70" fillId="0" borderId="0" xfId="0" quotePrefix="1" applyNumberFormat="1" applyFont="1" applyAlignment="1">
      <alignment horizontal="center" vertical="center" wrapText="1"/>
    </xf>
    <xf numFmtId="2" fontId="70" fillId="0" borderId="0" xfId="0" applyNumberFormat="1" applyFont="1" applyAlignment="1">
      <alignment vertical="center"/>
    </xf>
    <xf numFmtId="2" fontId="42" fillId="0" borderId="0" xfId="0" applyNumberFormat="1" applyFont="1" applyAlignment="1">
      <alignment vertical="center"/>
    </xf>
    <xf numFmtId="2" fontId="43" fillId="0" borderId="0" xfId="0" applyNumberFormat="1" applyFont="1" applyAlignment="1">
      <alignment vertical="center"/>
    </xf>
    <xf numFmtId="0" fontId="71" fillId="0" borderId="0" xfId="0" applyFont="1" applyAlignment="1">
      <alignment vertical="center"/>
    </xf>
    <xf numFmtId="49" fontId="72" fillId="0" borderId="0" xfId="0" applyNumberFormat="1" applyFont="1" applyAlignment="1">
      <alignment horizontal="center"/>
    </xf>
    <xf numFmtId="0" fontId="72" fillId="0" borderId="0" xfId="0" applyFont="1"/>
    <xf numFmtId="49" fontId="72" fillId="0" borderId="0" xfId="0" applyNumberFormat="1" applyFont="1" applyAlignment="1">
      <alignment horizontal="right"/>
    </xf>
    <xf numFmtId="0" fontId="72" fillId="0" borderId="0" xfId="0" applyFont="1" applyAlignment="1">
      <alignment horizontal="right"/>
    </xf>
    <xf numFmtId="165" fontId="72" fillId="0" borderId="0" xfId="0" applyNumberFormat="1" applyFont="1" applyAlignment="1">
      <alignment horizontal="right"/>
    </xf>
    <xf numFmtId="1" fontId="72"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56"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0" fontId="13" fillId="0" borderId="93" xfId="5" applyNumberFormat="1" applyFont="1" applyBorder="1" applyProtection="1"/>
    <xf numFmtId="174" fontId="13" fillId="0" borderId="93" xfId="5" applyNumberFormat="1" applyFont="1" applyBorder="1" applyProtection="1"/>
    <xf numFmtId="174" fontId="13" fillId="11" borderId="93" xfId="5" applyNumberFormat="1" applyFont="1" applyFill="1" applyBorder="1" applyProtection="1"/>
    <xf numFmtId="171" fontId="73" fillId="6" borderId="0" xfId="3" applyFont="1" applyFill="1"/>
    <xf numFmtId="172" fontId="73" fillId="6" borderId="0" xfId="3" applyNumberFormat="1" applyFont="1" applyFill="1"/>
    <xf numFmtId="1" fontId="74" fillId="0" borderId="0" xfId="3" applyNumberFormat="1" applyFont="1" applyAlignment="1">
      <alignment horizontal="center"/>
    </xf>
    <xf numFmtId="172" fontId="74" fillId="0" borderId="0" xfId="3" applyNumberFormat="1" applyFont="1" applyAlignment="1">
      <alignment horizontal="center"/>
    </xf>
    <xf numFmtId="2" fontId="75" fillId="0" borderId="0" xfId="3" applyNumberFormat="1" applyFont="1"/>
    <xf numFmtId="2" fontId="75" fillId="0" borderId="0" xfId="3" applyNumberFormat="1" applyFont="1" applyAlignment="1">
      <alignment horizontal="center"/>
    </xf>
    <xf numFmtId="43" fontId="42" fillId="0" borderId="0" xfId="1" applyFont="1"/>
    <xf numFmtId="43" fontId="42" fillId="0" borderId="0" xfId="1" applyFont="1" applyAlignment="1">
      <alignment vertical="center"/>
    </xf>
    <xf numFmtId="172" fontId="74" fillId="7" borderId="0" xfId="3" applyNumberFormat="1" applyFont="1" applyFill="1" applyAlignment="1">
      <alignment horizontal="center"/>
    </xf>
    <xf numFmtId="0" fontId="76" fillId="0" borderId="0" xfId="0" applyFont="1"/>
    <xf numFmtId="175" fontId="42" fillId="0" borderId="0" xfId="0" applyNumberFormat="1" applyFont="1" applyAlignment="1">
      <alignment vertical="center"/>
    </xf>
    <xf numFmtId="2" fontId="75" fillId="2" borderId="0" xfId="3" applyNumberFormat="1" applyFont="1" applyFill="1"/>
    <xf numFmtId="2" fontId="77" fillId="0" borderId="0" xfId="0" applyNumberFormat="1" applyFont="1"/>
    <xf numFmtId="2" fontId="78" fillId="0" borderId="0" xfId="4" applyNumberFormat="1" applyFont="1"/>
    <xf numFmtId="166" fontId="42" fillId="0" borderId="0" xfId="0" applyNumberFormat="1" applyFont="1" applyAlignment="1">
      <alignment vertical="center"/>
    </xf>
    <xf numFmtId="2" fontId="75" fillId="0" borderId="0" xfId="3" applyNumberFormat="1" applyFont="1" applyAlignment="1">
      <alignment horizontal="right"/>
    </xf>
    <xf numFmtId="166" fontId="42" fillId="0" borderId="0" xfId="0" applyNumberFormat="1" applyFont="1"/>
    <xf numFmtId="0" fontId="42" fillId="0" borderId="0" xfId="0" applyFont="1" applyAlignment="1">
      <alignment horizontal="right"/>
    </xf>
    <xf numFmtId="166" fontId="42" fillId="7" borderId="0" xfId="0" applyNumberFormat="1" applyFont="1" applyFill="1"/>
    <xf numFmtId="2" fontId="68" fillId="0" borderId="0" xfId="0" applyNumberFormat="1" applyFont="1" applyAlignment="1">
      <alignment horizontal="center" vertical="center" wrapText="1"/>
    </xf>
    <xf numFmtId="2" fontId="68" fillId="0" borderId="0" xfId="0" quotePrefix="1" applyNumberFormat="1" applyFont="1" applyAlignment="1">
      <alignment horizontal="center" vertical="center" wrapText="1"/>
    </xf>
    <xf numFmtId="17" fontId="68" fillId="0" borderId="0" xfId="0" quotePrefix="1" applyNumberFormat="1" applyFont="1" applyAlignment="1">
      <alignment horizontal="center" vertical="center" wrapText="1"/>
    </xf>
    <xf numFmtId="0" fontId="68" fillId="0" borderId="0" xfId="0" quotePrefix="1" applyFont="1" applyAlignment="1">
      <alignment horizontal="center" vertical="center" wrapText="1"/>
    </xf>
    <xf numFmtId="0" fontId="68" fillId="0" borderId="0" xfId="0" applyFont="1" applyAlignment="1">
      <alignment horizontal="center"/>
    </xf>
    <xf numFmtId="2" fontId="68" fillId="0" borderId="0" xfId="0" applyNumberFormat="1" applyFont="1" applyAlignment="1">
      <alignment horizontal="left"/>
    </xf>
    <xf numFmtId="2" fontId="62" fillId="0" borderId="0" xfId="0" applyNumberFormat="1" applyFont="1" applyAlignment="1">
      <alignment horizontal="center"/>
    </xf>
    <xf numFmtId="2" fontId="68" fillId="0" borderId="0" xfId="0" applyNumberFormat="1" applyFont="1" applyAlignment="1">
      <alignment horizontal="center"/>
    </xf>
    <xf numFmtId="175" fontId="68" fillId="0" borderId="0" xfId="0" applyNumberFormat="1" applyFont="1"/>
    <xf numFmtId="175" fontId="68" fillId="0" borderId="0" xfId="0" applyNumberFormat="1" applyFont="1" applyAlignment="1">
      <alignment horizontal="center"/>
    </xf>
    <xf numFmtId="43" fontId="68" fillId="0" borderId="0" xfId="1" applyFont="1" applyAlignment="1">
      <alignment horizontal="left"/>
    </xf>
    <xf numFmtId="0" fontId="68"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52" fillId="5" borderId="24" xfId="2" applyNumberFormat="1" applyFont="1" applyFill="1" applyBorder="1" applyAlignment="1">
      <alignment horizontal="center" vertical="center"/>
    </xf>
    <xf numFmtId="176" fontId="52" fillId="2" borderId="25" xfId="2" applyNumberFormat="1" applyFont="1" applyFill="1" applyBorder="1" applyAlignment="1">
      <alignment horizontal="center" vertical="center"/>
    </xf>
    <xf numFmtId="176" fontId="52" fillId="5" borderId="25" xfId="2" applyNumberFormat="1" applyFont="1" applyFill="1" applyBorder="1" applyAlignment="1">
      <alignment horizontal="center" vertical="center"/>
    </xf>
    <xf numFmtId="176" fontId="52" fillId="2" borderId="26" xfId="2" applyNumberFormat="1" applyFont="1" applyFill="1" applyBorder="1" applyAlignment="1">
      <alignment horizontal="center" vertical="center"/>
    </xf>
    <xf numFmtId="176" fontId="51"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0" fontId="56" fillId="4" borderId="133" xfId="0" applyFont="1" applyFill="1" applyBorder="1" applyAlignment="1"/>
    <xf numFmtId="0" fontId="12" fillId="0" borderId="0" xfId="0" applyFont="1" applyAlignment="1">
      <alignment horizontal="center" vertical="center"/>
    </xf>
    <xf numFmtId="0" fontId="69"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51" fillId="5" borderId="38" xfId="0" applyFont="1" applyFill="1" applyBorder="1" applyAlignment="1">
      <alignment horizontal="left" vertical="center"/>
    </xf>
    <xf numFmtId="0" fontId="51"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51" fillId="5" borderId="27" xfId="0" applyFont="1" applyFill="1" applyBorder="1" applyAlignment="1">
      <alignment horizontal="left" vertical="center"/>
    </xf>
    <xf numFmtId="0" fontId="51" fillId="5" borderId="29" xfId="0" applyFont="1" applyFill="1" applyBorder="1" applyAlignment="1">
      <alignment horizontal="left" vertical="center"/>
    </xf>
    <xf numFmtId="0" fontId="51" fillId="2" borderId="30" xfId="0" applyFont="1" applyFill="1" applyBorder="1" applyAlignment="1">
      <alignment horizontal="left" vertical="center"/>
    </xf>
    <xf numFmtId="0" fontId="51" fillId="2" borderId="31" xfId="0" applyFont="1" applyFill="1" applyBorder="1" applyAlignment="1">
      <alignment horizontal="left" vertical="center"/>
    </xf>
    <xf numFmtId="0" fontId="51" fillId="5" borderId="30" xfId="0" applyFont="1" applyFill="1" applyBorder="1" applyAlignment="1">
      <alignment horizontal="left" vertical="center"/>
    </xf>
    <xf numFmtId="0" fontId="51" fillId="5" borderId="31" xfId="0" applyFont="1" applyFill="1" applyBorder="1" applyAlignment="1">
      <alignment horizontal="left" vertical="center"/>
    </xf>
    <xf numFmtId="0" fontId="51" fillId="2" borderId="32" xfId="0" applyFont="1" applyFill="1" applyBorder="1" applyAlignment="1">
      <alignment horizontal="left" vertical="center"/>
    </xf>
    <xf numFmtId="0" fontId="51"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9" fillId="2" borderId="0" xfId="0" applyFont="1" applyFill="1" applyAlignment="1">
      <alignment horizontal="left" vertical="center"/>
    </xf>
    <xf numFmtId="43" fontId="52" fillId="0" borderId="152" xfId="1" applyFont="1" applyBorder="1" applyAlignment="1">
      <alignment horizontal="center" vertical="center" wrapText="1"/>
    </xf>
    <xf numFmtId="43" fontId="52" fillId="0" borderId="153" xfId="1" applyFont="1" applyBorder="1" applyAlignment="1">
      <alignment horizontal="center" vertical="center" wrapText="1"/>
    </xf>
    <xf numFmtId="43" fontId="52" fillId="0" borderId="154"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93" xfId="0" applyFont="1" applyFill="1" applyBorder="1" applyAlignment="1">
      <alignment horizontal="center" vertical="center"/>
    </xf>
    <xf numFmtId="174" fontId="39" fillId="8" borderId="93" xfId="0" applyNumberFormat="1" applyFont="1" applyFill="1" applyBorder="1" applyAlignment="1">
      <alignment horizontal="center"/>
    </xf>
  </cellXfs>
  <cellStyles count="12">
    <cellStyle name="Comma" xfId="11" xr:uid="{9BCC24FE-5DE2-45CE-B0FE-4BFB8519D0F5}"/>
    <cellStyle name="Millares" xfId="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3326.6138492225004</c:v>
                </c:pt>
                <c:pt idx="1">
                  <c:v>971.22811921750008</c:v>
                </c:pt>
                <c:pt idx="2">
                  <c:v>0</c:v>
                </c:pt>
                <c:pt idx="3">
                  <c:v>1.2889819600000001</c:v>
                </c:pt>
                <c:pt idx="4">
                  <c:v>26.295059415000001</c:v>
                </c:pt>
                <c:pt idx="5">
                  <c:v>159.07100367750002</c:v>
                </c:pt>
                <c:pt idx="6">
                  <c:v>72.941591460000012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971.22811921750008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1.2889819600000001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26.295059415000001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159.07100367750002</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72.941591460000012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RER'!$O$43:$O$49</c:f>
              <c:numCache>
                <c:formatCode>0.00</c:formatCode>
                <c:ptCount val="7"/>
                <c:pt idx="0">
                  <c:v>41.403814890000007</c:v>
                </c:pt>
                <c:pt idx="1">
                  <c:v>9.0910523649999995</c:v>
                </c:pt>
                <c:pt idx="2">
                  <c:v>5.4851325825000004</c:v>
                </c:pt>
                <c:pt idx="3">
                  <c:v>5.4691903625</c:v>
                </c:pt>
                <c:pt idx="4">
                  <c:v>4.5176643775000001</c:v>
                </c:pt>
                <c:pt idx="5">
                  <c:v>3.5188223999999999</c:v>
                </c:pt>
                <c:pt idx="6">
                  <c:v>3.4559144824999999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RER'!$P$43:$P$49</c:f>
              <c:numCache>
                <c:formatCode>0.00</c:formatCode>
                <c:ptCount val="7"/>
                <c:pt idx="0">
                  <c:v>0.38517641770933819</c:v>
                </c:pt>
                <c:pt idx="1">
                  <c:v>0.27434118555388171</c:v>
                </c:pt>
                <c:pt idx="2">
                  <c:v>0.3686245015120968</c:v>
                </c:pt>
                <c:pt idx="3">
                  <c:v>0.36755311575940863</c:v>
                </c:pt>
                <c:pt idx="4">
                  <c:v>0.37950809622815862</c:v>
                </c:pt>
                <c:pt idx="5">
                  <c:v>0.23648</c:v>
                </c:pt>
                <c:pt idx="6">
                  <c:v>0.23225231737231181</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48522762634167638"/>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LA GRINGA</c:v>
                </c:pt>
                <c:pt idx="3">
                  <c:v>C.T. CALLAO</c:v>
                </c:pt>
                <c:pt idx="4">
                  <c:v>C.T. DOÑA CATALINA</c:v>
                </c:pt>
              </c:strCache>
            </c:strRef>
          </c:cat>
          <c:val>
            <c:numRef>
              <c:f>'6. FP RER'!$O$50:$O$54</c:f>
              <c:numCache>
                <c:formatCode>0.00</c:formatCode>
                <c:ptCount val="5"/>
                <c:pt idx="0">
                  <c:v>8.8415323050000012</c:v>
                </c:pt>
                <c:pt idx="1">
                  <c:v>2.9363544675000002</c:v>
                </c:pt>
                <c:pt idx="2">
                  <c:v>1.9834555725</c:v>
                </c:pt>
                <c:pt idx="3">
                  <c:v>1.4595317300000001</c:v>
                </c:pt>
                <c:pt idx="4">
                  <c:v>1.4138110925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LA GRINGA</c:v>
                </c:pt>
                <c:pt idx="3">
                  <c:v>C.T. CALLAO</c:v>
                </c:pt>
              </c:strCache>
            </c:strRef>
          </c:cat>
          <c:val>
            <c:numRef>
              <c:f>'6. FP RER'!$P$50:$P$54</c:f>
              <c:numCache>
                <c:formatCode>0.00</c:formatCode>
                <c:ptCount val="5"/>
                <c:pt idx="0">
                  <c:v>0.93271590487744038</c:v>
                </c:pt>
                <c:pt idx="1">
                  <c:v>0.9259150718948066</c:v>
                </c:pt>
                <c:pt idx="2">
                  <c:v>0.90257470605484436</c:v>
                </c:pt>
                <c:pt idx="3">
                  <c:v>0.81739008176523309</c:v>
                </c:pt>
                <c:pt idx="4">
                  <c:v>0.79178488603270614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RER'!$S$6:$T$52</c:f>
              <c:multiLvlStrCache>
                <c:ptCount val="47"/>
                <c:lvl>
                  <c:pt idx="0">
                    <c:v>C.H. RUNATULLO III</c:v>
                  </c:pt>
                  <c:pt idx="1">
                    <c:v>C.H. CHANCAY</c:v>
                  </c:pt>
                  <c:pt idx="2">
                    <c:v>C.H. POTRERO</c:v>
                  </c:pt>
                  <c:pt idx="3">
                    <c:v>C.H. RENOVANDES H1</c:v>
                  </c:pt>
                  <c:pt idx="4">
                    <c:v>C.H. RUCUY</c:v>
                  </c:pt>
                  <c:pt idx="5">
                    <c:v>C.H. ÁNGEL I</c:v>
                  </c:pt>
                  <c:pt idx="6">
                    <c:v>C.H. ÁNGEL II</c:v>
                  </c:pt>
                  <c:pt idx="7">
                    <c:v>C.H. CARHUAC</c:v>
                  </c:pt>
                  <c:pt idx="8">
                    <c:v>C.H. ÁNGEL III</c:v>
                  </c:pt>
                  <c:pt idx="9">
                    <c:v>C.H. LAS PIZARRAS</c:v>
                  </c:pt>
                  <c:pt idx="10">
                    <c:v>C.H. RUNATULLO II</c:v>
                  </c:pt>
                  <c:pt idx="11">
                    <c:v>C.H. YARUCAYA</c:v>
                  </c:pt>
                  <c:pt idx="12">
                    <c:v>C.H. 8 DE AGOSTO</c:v>
                  </c:pt>
                  <c:pt idx="13">
                    <c:v>C.H. ZAÑA</c:v>
                  </c:pt>
                  <c:pt idx="14">
                    <c:v>C.H. MANTA I</c:v>
                  </c:pt>
                  <c:pt idx="15">
                    <c:v>C.H. HUASAHUASI II</c:v>
                  </c:pt>
                  <c:pt idx="16">
                    <c:v>C.H. CARHUAQUERO IV</c:v>
                  </c:pt>
                  <c:pt idx="17">
                    <c:v>C.H. HUASAHUASI I</c:v>
                  </c:pt>
                  <c:pt idx="18">
                    <c:v>C.H. EL CARMEN</c:v>
                  </c:pt>
                  <c:pt idx="19">
                    <c:v>C.H. LA JOYA</c:v>
                  </c:pt>
                  <c:pt idx="20">
                    <c:v>C.H. SANTA CRUZ II</c:v>
                  </c:pt>
                  <c:pt idx="21">
                    <c:v>C.H. SANTA CRUZ I</c:v>
                  </c:pt>
                  <c:pt idx="22">
                    <c:v>C.H. CAÑA BRAVA</c:v>
                  </c:pt>
                  <c:pt idx="23">
                    <c:v>C.H. POECHOS II</c:v>
                  </c:pt>
                  <c:pt idx="24">
                    <c:v>C.H. YANAPAMPA</c:v>
                  </c:pt>
                  <c:pt idx="25">
                    <c:v>C.H. IMPERIAL</c:v>
                  </c:pt>
                  <c:pt idx="26">
                    <c:v>C.H. CANCHAYLLO</c:v>
                  </c:pt>
                  <c:pt idx="27">
                    <c:v>C.H. RONCADOR</c:v>
                  </c:pt>
                  <c:pt idx="28">
                    <c:v>C.H. HER 1</c:v>
                  </c:pt>
                  <c:pt idx="29">
                    <c:v>C.H. PURMACANA</c:v>
                  </c:pt>
                  <c:pt idx="30">
                    <c:v>C.E. WAYRA I</c:v>
                  </c:pt>
                  <c:pt idx="31">
                    <c:v>C.E. TRES HERMANAS</c:v>
                  </c:pt>
                  <c:pt idx="32">
                    <c:v>C.E. CUPISNIQUE</c:v>
                  </c:pt>
                  <c:pt idx="33">
                    <c:v>C.E. MARCONA</c:v>
                  </c:pt>
                  <c:pt idx="34">
                    <c:v>C.E. TALARA</c:v>
                  </c:pt>
                  <c:pt idx="35">
                    <c:v>C.E. DUNA</c:v>
                  </c:pt>
                  <c:pt idx="36">
                    <c:v>C.E. HUAMBOS</c:v>
                  </c:pt>
                  <c:pt idx="37">
                    <c:v>C.S. RUBI</c:v>
                  </c:pt>
                  <c:pt idx="38">
                    <c:v>C.S. INTIPAMPA</c:v>
                  </c:pt>
                  <c:pt idx="39">
                    <c:v>C.S. TACNA SOLAR</c:v>
                  </c:pt>
                  <c:pt idx="40">
                    <c:v>C.S. PANAMERICANA SOLAR</c:v>
                  </c:pt>
                  <c:pt idx="41">
                    <c:v>C.S. MOQUEGUA FV</c:v>
                  </c:pt>
                  <c:pt idx="42">
                    <c:v>C.S. MAJES SOLAR</c:v>
                  </c:pt>
                  <c:pt idx="43">
                    <c:v>C.S. REPARTICION</c:v>
                  </c:pt>
                  <c:pt idx="44">
                    <c:v>C.T. PARAMONGA</c:v>
                  </c:pt>
                  <c:pt idx="45">
                    <c:v>C.T. HUAYCOLORO</c:v>
                  </c:pt>
                  <c:pt idx="46">
                    <c:v>C.T. LA GRINGA</c:v>
                  </c:pt>
                </c:lvl>
                <c:lvl>
                  <c:pt idx="0">
                    <c:v>HIDROELÉCTRICAS</c:v>
                  </c:pt>
                  <c:pt idx="30">
                    <c:v>EÓLICAS</c:v>
                  </c:pt>
                  <c:pt idx="35">
                    <c:v>SOLARES</c:v>
                  </c:pt>
                  <c:pt idx="42">
                    <c:v>TERMOELÉCTRICAS</c:v>
                  </c:pt>
                </c:lvl>
              </c:multiLvlStrCache>
            </c:multiLvlStrRef>
          </c:cat>
          <c:val>
            <c:numRef>
              <c:f>'6. FP RER'!$U$6:$U$52</c:f>
              <c:numCache>
                <c:formatCode>0.000</c:formatCode>
                <c:ptCount val="47"/>
                <c:pt idx="0">
                  <c:v>1</c:v>
                </c:pt>
                <c:pt idx="1">
                  <c:v>0.99139930376344076</c:v>
                </c:pt>
                <c:pt idx="2">
                  <c:v>0.99541623895688125</c:v>
                </c:pt>
                <c:pt idx="3">
                  <c:v>1</c:v>
                </c:pt>
                <c:pt idx="4">
                  <c:v>0.98108134492607535</c:v>
                </c:pt>
                <c:pt idx="5">
                  <c:v>0.92903844846070138</c:v>
                </c:pt>
                <c:pt idx="6">
                  <c:v>0.92004272923467101</c:v>
                </c:pt>
                <c:pt idx="7">
                  <c:v>0.92070520984543003</c:v>
                </c:pt>
                <c:pt idx="8">
                  <c:v>0.91251585201452889</c:v>
                </c:pt>
                <c:pt idx="9">
                  <c:v>0.9450752469752377</c:v>
                </c:pt>
                <c:pt idx="10">
                  <c:v>0.86736387115353253</c:v>
                </c:pt>
                <c:pt idx="11">
                  <c:v>1</c:v>
                </c:pt>
                <c:pt idx="12">
                  <c:v>0.81455623938879451</c:v>
                </c:pt>
                <c:pt idx="13">
                  <c:v>0.90374292878380602</c:v>
                </c:pt>
                <c:pt idx="14">
                  <c:v>0.51520449579973115</c:v>
                </c:pt>
                <c:pt idx="15">
                  <c:v>0.95848898078254163</c:v>
                </c:pt>
                <c:pt idx="16">
                  <c:v>0.95946072974594432</c:v>
                </c:pt>
                <c:pt idx="17">
                  <c:v>0.96526290459036079</c:v>
                </c:pt>
                <c:pt idx="18">
                  <c:v>0.97196932763696886</c:v>
                </c:pt>
                <c:pt idx="19">
                  <c:v>0.85692169288892606</c:v>
                </c:pt>
                <c:pt idx="20">
                  <c:v>0.89067928621138648</c:v>
                </c:pt>
                <c:pt idx="21">
                  <c:v>0.9268283554050879</c:v>
                </c:pt>
                <c:pt idx="22">
                  <c:v>0.96753788923972628</c:v>
                </c:pt>
                <c:pt idx="23">
                  <c:v>0.40886441662226652</c:v>
                </c:pt>
                <c:pt idx="24">
                  <c:v>0.89006421438485916</c:v>
                </c:pt>
                <c:pt idx="25">
                  <c:v>0.80224710567147339</c:v>
                </c:pt>
                <c:pt idx="26">
                  <c:v>0.4822686003995218</c:v>
                </c:pt>
                <c:pt idx="27">
                  <c:v>0.71510877537541717</c:v>
                </c:pt>
                <c:pt idx="28">
                  <c:v>0.45310967261904761</c:v>
                </c:pt>
                <c:pt idx="29">
                  <c:v>0.15040793285215998</c:v>
                </c:pt>
                <c:pt idx="30">
                  <c:v>0.54604136178366203</c:v>
                </c:pt>
                <c:pt idx="31">
                  <c:v>0.6363625800364141</c:v>
                </c:pt>
                <c:pt idx="32">
                  <c:v>0.50509676736400722</c:v>
                </c:pt>
                <c:pt idx="33">
                  <c:v>0.68166218981014792</c:v>
                </c:pt>
                <c:pt idx="34">
                  <c:v>0.42139822969149615</c:v>
                </c:pt>
                <c:pt idx="35">
                  <c:v>8.7127904747689375E-2</c:v>
                </c:pt>
                <c:pt idx="36">
                  <c:v>7.2092563772747753E-2</c:v>
                </c:pt>
                <c:pt idx="37">
                  <c:v>0.38517641770933819</c:v>
                </c:pt>
                <c:pt idx="38">
                  <c:v>0.27434118555388171</c:v>
                </c:pt>
                <c:pt idx="39">
                  <c:v>0.3686245015120968</c:v>
                </c:pt>
                <c:pt idx="40">
                  <c:v>0.36755311575940863</c:v>
                </c:pt>
                <c:pt idx="41">
                  <c:v>0.37950809622815862</c:v>
                </c:pt>
                <c:pt idx="42">
                  <c:v>0.23648</c:v>
                </c:pt>
                <c:pt idx="43">
                  <c:v>0.23225231737231181</c:v>
                </c:pt>
                <c:pt idx="44">
                  <c:v>0.93271590487744038</c:v>
                </c:pt>
                <c:pt idx="45">
                  <c:v>0.9259150718948066</c:v>
                </c:pt>
                <c:pt idx="46">
                  <c:v>0.90257470605484436</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RER'!$S$6:$T$52</c:f>
              <c:multiLvlStrCache>
                <c:ptCount val="47"/>
                <c:lvl>
                  <c:pt idx="0">
                    <c:v>C.H. RUNATULLO III</c:v>
                  </c:pt>
                  <c:pt idx="1">
                    <c:v>C.H. CHANCAY</c:v>
                  </c:pt>
                  <c:pt idx="2">
                    <c:v>C.H. POTRERO</c:v>
                  </c:pt>
                  <c:pt idx="3">
                    <c:v>C.H. RENOVANDES H1</c:v>
                  </c:pt>
                  <c:pt idx="4">
                    <c:v>C.H. RUCUY</c:v>
                  </c:pt>
                  <c:pt idx="5">
                    <c:v>C.H. ÁNGEL I</c:v>
                  </c:pt>
                  <c:pt idx="6">
                    <c:v>C.H. ÁNGEL II</c:v>
                  </c:pt>
                  <c:pt idx="7">
                    <c:v>C.H. CARHUAC</c:v>
                  </c:pt>
                  <c:pt idx="8">
                    <c:v>C.H. ÁNGEL III</c:v>
                  </c:pt>
                  <c:pt idx="9">
                    <c:v>C.H. LAS PIZARRAS</c:v>
                  </c:pt>
                  <c:pt idx="10">
                    <c:v>C.H. RUNATULLO II</c:v>
                  </c:pt>
                  <c:pt idx="11">
                    <c:v>C.H. YARUCAYA</c:v>
                  </c:pt>
                  <c:pt idx="12">
                    <c:v>C.H. 8 DE AGOSTO</c:v>
                  </c:pt>
                  <c:pt idx="13">
                    <c:v>C.H. ZAÑA</c:v>
                  </c:pt>
                  <c:pt idx="14">
                    <c:v>C.H. MANTA I</c:v>
                  </c:pt>
                  <c:pt idx="15">
                    <c:v>C.H. HUASAHUASI II</c:v>
                  </c:pt>
                  <c:pt idx="16">
                    <c:v>C.H. CARHUAQUERO IV</c:v>
                  </c:pt>
                  <c:pt idx="17">
                    <c:v>C.H. HUASAHUASI I</c:v>
                  </c:pt>
                  <c:pt idx="18">
                    <c:v>C.H. EL CARMEN</c:v>
                  </c:pt>
                  <c:pt idx="19">
                    <c:v>C.H. LA JOYA</c:v>
                  </c:pt>
                  <c:pt idx="20">
                    <c:v>C.H. SANTA CRUZ II</c:v>
                  </c:pt>
                  <c:pt idx="21">
                    <c:v>C.H. SANTA CRUZ I</c:v>
                  </c:pt>
                  <c:pt idx="22">
                    <c:v>C.H. CAÑA BRAVA</c:v>
                  </c:pt>
                  <c:pt idx="23">
                    <c:v>C.H. POECHOS II</c:v>
                  </c:pt>
                  <c:pt idx="24">
                    <c:v>C.H. YANAPAMPA</c:v>
                  </c:pt>
                  <c:pt idx="25">
                    <c:v>C.H. IMPERIAL</c:v>
                  </c:pt>
                  <c:pt idx="26">
                    <c:v>C.H. CANCHAYLLO</c:v>
                  </c:pt>
                  <c:pt idx="27">
                    <c:v>C.H. RONCADOR</c:v>
                  </c:pt>
                  <c:pt idx="28">
                    <c:v>C.H. HER 1</c:v>
                  </c:pt>
                  <c:pt idx="29">
                    <c:v>C.H. PURMACANA</c:v>
                  </c:pt>
                  <c:pt idx="30">
                    <c:v>C.E. WAYRA I</c:v>
                  </c:pt>
                  <c:pt idx="31">
                    <c:v>C.E. TRES HERMANAS</c:v>
                  </c:pt>
                  <c:pt idx="32">
                    <c:v>C.E. CUPISNIQUE</c:v>
                  </c:pt>
                  <c:pt idx="33">
                    <c:v>C.E. MARCONA</c:v>
                  </c:pt>
                  <c:pt idx="34">
                    <c:v>C.E. TALARA</c:v>
                  </c:pt>
                  <c:pt idx="35">
                    <c:v>C.E. DUNA</c:v>
                  </c:pt>
                  <c:pt idx="36">
                    <c:v>C.E. HUAMBOS</c:v>
                  </c:pt>
                  <c:pt idx="37">
                    <c:v>C.S. RUBI</c:v>
                  </c:pt>
                  <c:pt idx="38">
                    <c:v>C.S. INTIPAMPA</c:v>
                  </c:pt>
                  <c:pt idx="39">
                    <c:v>C.S. TACNA SOLAR</c:v>
                  </c:pt>
                  <c:pt idx="40">
                    <c:v>C.S. PANAMERICANA SOLAR</c:v>
                  </c:pt>
                  <c:pt idx="41">
                    <c:v>C.S. MOQUEGUA FV</c:v>
                  </c:pt>
                  <c:pt idx="42">
                    <c:v>C.S. MAJES SOLAR</c:v>
                  </c:pt>
                  <c:pt idx="43">
                    <c:v>C.S. REPARTICION</c:v>
                  </c:pt>
                  <c:pt idx="44">
                    <c:v>C.T. PARAMONGA</c:v>
                  </c:pt>
                  <c:pt idx="45">
                    <c:v>C.T. HUAYCOLORO</c:v>
                  </c:pt>
                  <c:pt idx="46">
                    <c:v>C.T. LA GRINGA</c:v>
                  </c:pt>
                </c:lvl>
                <c:lvl>
                  <c:pt idx="0">
                    <c:v>HIDROELÉCTRICAS</c:v>
                  </c:pt>
                  <c:pt idx="30">
                    <c:v>EÓLICAS</c:v>
                  </c:pt>
                  <c:pt idx="35">
                    <c:v>SOLARES</c:v>
                  </c:pt>
                  <c:pt idx="42">
                    <c:v>TERMOELÉCTRICAS</c:v>
                  </c:pt>
                </c:lvl>
              </c:multiLvlStrCache>
            </c:multiLvlStrRef>
          </c:cat>
          <c:val>
            <c:numRef>
              <c:f>'6. FP RER'!$V$6:$V$52</c:f>
              <c:numCache>
                <c:formatCode>0.000</c:formatCode>
                <c:ptCount val="47"/>
                <c:pt idx="0">
                  <c:v>0.99620242331991249</c:v>
                </c:pt>
                <c:pt idx="1">
                  <c:v>0.94917577671370967</c:v>
                </c:pt>
                <c:pt idx="2">
                  <c:v>0.90615452430161558</c:v>
                </c:pt>
                <c:pt idx="3">
                  <c:v>1</c:v>
                </c:pt>
                <c:pt idx="4">
                  <c:v>0.84003518514784947</c:v>
                </c:pt>
                <c:pt idx="5">
                  <c:v>1</c:v>
                </c:pt>
                <c:pt idx="6">
                  <c:v>0.99713057552350015</c:v>
                </c:pt>
                <c:pt idx="7">
                  <c:v>0.56189610786290323</c:v>
                </c:pt>
                <c:pt idx="8">
                  <c:v>0.97802085183451737</c:v>
                </c:pt>
                <c:pt idx="9">
                  <c:v>0.67467301280807324</c:v>
                </c:pt>
                <c:pt idx="10">
                  <c:v>0.86024758627272635</c:v>
                </c:pt>
                <c:pt idx="11">
                  <c:v>1</c:v>
                </c:pt>
                <c:pt idx="12">
                  <c:v>0.59318820971278996</c:v>
                </c:pt>
                <c:pt idx="13">
                  <c:v>0.78513274249551979</c:v>
                </c:pt>
                <c:pt idx="14">
                  <c:v>#N/A</c:v>
                </c:pt>
                <c:pt idx="15">
                  <c:v>0.92649776934579231</c:v>
                </c:pt>
                <c:pt idx="16">
                  <c:v>0.99394092235025344</c:v>
                </c:pt>
                <c:pt idx="17">
                  <c:v>0.93630552576278592</c:v>
                </c:pt>
                <c:pt idx="18">
                  <c:v>0.87733111039106504</c:v>
                </c:pt>
                <c:pt idx="19">
                  <c:v>0.77495932599595996</c:v>
                </c:pt>
                <c:pt idx="20">
                  <c:v>0.79482222905369393</c:v>
                </c:pt>
                <c:pt idx="21">
                  <c:v>0.7592289673138678</c:v>
                </c:pt>
                <c:pt idx="22">
                  <c:v>0.85838584810168594</c:v>
                </c:pt>
                <c:pt idx="23">
                  <c:v>0.35247517564728575</c:v>
                </c:pt>
                <c:pt idx="24">
                  <c:v>0.86553271221492878</c:v>
                </c:pt>
                <c:pt idx="25">
                  <c:v>0.83045799290387678</c:v>
                </c:pt>
                <c:pt idx="26">
                  <c:v>0.62405420469168649</c:v>
                </c:pt>
                <c:pt idx="27">
                  <c:v>0.76589557069583492</c:v>
                </c:pt>
                <c:pt idx="28">
                  <c:v>0.88906023905529963</c:v>
                </c:pt>
                <c:pt idx="29">
                  <c:v>0.36535680817994759</c:v>
                </c:pt>
                <c:pt idx="30">
                  <c:v>0.3962661927823698</c:v>
                </c:pt>
                <c:pt idx="31">
                  <c:v>0.35544931173526134</c:v>
                </c:pt>
                <c:pt idx="32">
                  <c:v>0.47724401825144347</c:v>
                </c:pt>
                <c:pt idx="33">
                  <c:v>0.3686096620883737</c:v>
                </c:pt>
                <c:pt idx="34">
                  <c:v>0.4267438034193618</c:v>
                </c:pt>
                <c:pt idx="37">
                  <c:v>0.29459264169651045</c:v>
                </c:pt>
                <c:pt idx="38">
                  <c:v>0.23177494012872324</c:v>
                </c:pt>
                <c:pt idx="39">
                  <c:v>0.281076328125</c:v>
                </c:pt>
                <c:pt idx="40">
                  <c:v>0.26936278797043012</c:v>
                </c:pt>
                <c:pt idx="41">
                  <c:v>0.31162342804939519</c:v>
                </c:pt>
                <c:pt idx="42">
                  <c:v>0.22445485887096775</c:v>
                </c:pt>
                <c:pt idx="43">
                  <c:v>0.20990417305107528</c:v>
                </c:pt>
                <c:pt idx="44">
                  <c:v>0.79770413475569391</c:v>
                </c:pt>
                <c:pt idx="45">
                  <c:v>0.8319406867845992</c:v>
                </c:pt>
                <c:pt idx="46">
                  <c:v>0.3673033703672558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empresa'!$L$4:$L$64</c:f>
              <c:strCache>
                <c:ptCount val="61"/>
                <c:pt idx="0">
                  <c:v>TERMOCHILCA</c:v>
                </c:pt>
                <c:pt idx="1">
                  <c:v>SAMAY I</c:v>
                </c:pt>
                <c:pt idx="2">
                  <c:v>IYEPSA</c:v>
                </c:pt>
                <c:pt idx="3">
                  <c:v>SDF ENERGIA</c:v>
                </c:pt>
                <c:pt idx="4">
                  <c:v>AGROAURORA</c:v>
                </c:pt>
                <c:pt idx="5">
                  <c:v>ATRIA</c:v>
                </c:pt>
                <c:pt idx="6">
                  <c:v>PLANTA  ETEN</c:v>
                </c:pt>
                <c:pt idx="7">
                  <c:v>CERRO VERDE</c:v>
                </c:pt>
                <c:pt idx="8">
                  <c:v>HYDRO PATAPO</c:v>
                </c:pt>
                <c:pt idx="9">
                  <c:v>SHOUGESA</c:v>
                </c:pt>
                <c:pt idx="10">
                  <c:v>GR PAINO</c:v>
                </c:pt>
                <c:pt idx="11">
                  <c:v>GR TARUCA</c:v>
                </c:pt>
                <c:pt idx="12">
                  <c:v>MAJA ENERGIA</c:v>
                </c:pt>
                <c:pt idx="13">
                  <c:v>EGECSAC</c:v>
                </c:pt>
                <c:pt idx="14">
                  <c:v>HIDROCAÑETE</c:v>
                </c:pt>
                <c:pt idx="15">
                  <c:v>ELECTRICA YANAPAMPA</c:v>
                </c:pt>
                <c:pt idx="16">
                  <c:v>REPARTICION</c:v>
                </c:pt>
                <c:pt idx="17">
                  <c:v>MAJES</c:v>
                </c:pt>
                <c:pt idx="18">
                  <c:v>SAN JACINTO</c:v>
                </c:pt>
                <c:pt idx="19">
                  <c:v>TERMOSELVA</c:v>
                </c:pt>
                <c:pt idx="20">
                  <c:v>MOQUEGUA FV</c:v>
                </c:pt>
                <c:pt idx="21">
                  <c:v>PANAMERICANA SOLAR</c:v>
                </c:pt>
                <c:pt idx="22">
                  <c:v>TACNA SOLAR</c:v>
                </c:pt>
                <c:pt idx="23">
                  <c:v>BIOENERGIA</c:v>
                </c:pt>
                <c:pt idx="24">
                  <c:v>INVERSION DE ENERGÍA RENOVABLES</c:v>
                </c:pt>
                <c:pt idx="25">
                  <c:v>PETRAMAS</c:v>
                </c:pt>
                <c:pt idx="26">
                  <c:v>AIPSA</c:v>
                </c:pt>
                <c:pt idx="27">
                  <c:v>ELECTRO ZAÑA</c:v>
                </c:pt>
                <c:pt idx="28">
                  <c:v>HIDROELECTRICA HUANCHOR</c:v>
                </c:pt>
                <c:pt idx="29">
                  <c:v>HUAURA POWER</c:v>
                </c:pt>
                <c:pt idx="30">
                  <c:v>EGESUR</c:v>
                </c:pt>
                <c:pt idx="31">
                  <c:v>CELEPSA RENOVABLES</c:v>
                </c:pt>
                <c:pt idx="32">
                  <c:v>RIO DOBLE</c:v>
                </c:pt>
                <c:pt idx="33">
                  <c:v>ANDEAN POWER</c:v>
                </c:pt>
                <c:pt idx="34">
                  <c:v>RIO BAÑOS</c:v>
                </c:pt>
                <c:pt idx="35">
                  <c:v>SANTA ANA</c:v>
                </c:pt>
                <c:pt idx="36">
                  <c:v>AGUA AZUL</c:v>
                </c:pt>
                <c:pt idx="37">
                  <c:v>P.E. MARCONA</c:v>
                </c:pt>
                <c:pt idx="38">
                  <c:v>GENERACIÓN ANDINA</c:v>
                </c:pt>
                <c:pt idx="39">
                  <c:v>SINERSA</c:v>
                </c:pt>
                <c:pt idx="40">
                  <c:v>EMGE HUANZA</c:v>
                </c:pt>
                <c:pt idx="41">
                  <c:v>ENERGÍA EÓLICA</c:v>
                </c:pt>
                <c:pt idx="42">
                  <c:v>P.E. TRES HERMANAS</c:v>
                </c:pt>
                <c:pt idx="43">
                  <c:v>GEPSA</c:v>
                </c:pt>
                <c:pt idx="44">
                  <c:v>EMGE JUNÍN</c:v>
                </c:pt>
                <c:pt idx="45">
                  <c:v>ENEL GENERACION PIURA</c:v>
                </c:pt>
                <c:pt idx="46">
                  <c:v>INLAND</c:v>
                </c:pt>
                <c:pt idx="47">
                  <c:v>SAN GABAN</c:v>
                </c:pt>
                <c:pt idx="48">
                  <c:v>ENEL GREEN POWER PERU</c:v>
                </c:pt>
                <c:pt idx="49">
                  <c:v>EGASA</c:v>
                </c:pt>
                <c:pt idx="50">
                  <c:v>FENIX POWER</c:v>
                </c:pt>
                <c:pt idx="51">
                  <c:v>EGEMSA</c:v>
                </c:pt>
                <c:pt idx="52">
                  <c:v>CHINANGO</c:v>
                </c:pt>
                <c:pt idx="53">
                  <c:v>CELEPSA</c:v>
                </c:pt>
                <c:pt idx="54">
                  <c:v>ORAZUL ENERGY PERÚ</c:v>
                </c:pt>
                <c:pt idx="55">
                  <c:v>STATKRAFT</c:v>
                </c:pt>
                <c:pt idx="56">
                  <c:v>ENGIE</c:v>
                </c:pt>
                <c:pt idx="57">
                  <c:v>EMGE HUALLAGA</c:v>
                </c:pt>
                <c:pt idx="58">
                  <c:v>ELECTROPERU</c:v>
                </c:pt>
                <c:pt idx="59">
                  <c:v>ENEL GENERACION PERU</c:v>
                </c:pt>
                <c:pt idx="60">
                  <c:v>KALLPA</c:v>
                </c:pt>
              </c:strCache>
            </c:strRef>
          </c:cat>
          <c:val>
            <c:numRef>
              <c:f>'7. Generacion empresa'!$M$4:$M$64</c:f>
              <c:numCache>
                <c:formatCode>General</c:formatCode>
                <c:ptCount val="61"/>
                <c:pt idx="0">
                  <c:v>0</c:v>
                </c:pt>
                <c:pt idx="1">
                  <c:v>0</c:v>
                </c:pt>
                <c:pt idx="2">
                  <c:v>2.1483507500000002E-2</c:v>
                </c:pt>
                <c:pt idx="3">
                  <c:v>7.1470162500000003E-2</c:v>
                </c:pt>
                <c:pt idx="4">
                  <c:v>9.4973550000000004E-2</c:v>
                </c:pt>
                <c:pt idx="5">
                  <c:v>0.1918026025</c:v>
                </c:pt>
                <c:pt idx="6">
                  <c:v>0.33336389</c:v>
                </c:pt>
                <c:pt idx="7">
                  <c:v>0.38257469</c:v>
                </c:pt>
                <c:pt idx="8">
                  <c:v>0.44014800000000004</c:v>
                </c:pt>
                <c:pt idx="9">
                  <c:v>0.54783606250000005</c:v>
                </c:pt>
                <c:pt idx="10">
                  <c:v>0.98530925499999999</c:v>
                </c:pt>
                <c:pt idx="11">
                  <c:v>1.19080147</c:v>
                </c:pt>
                <c:pt idx="12">
                  <c:v>1.8515024325000002</c:v>
                </c:pt>
                <c:pt idx="13">
                  <c:v>1.8618538750000002</c:v>
                </c:pt>
                <c:pt idx="14">
                  <c:v>2.3660000000000001</c:v>
                </c:pt>
                <c:pt idx="15">
                  <c:v>2.5933447125000004</c:v>
                </c:pt>
                <c:pt idx="16">
                  <c:v>3.4559144824999999</c:v>
                </c:pt>
                <c:pt idx="17">
                  <c:v>3.5188223999999999</c:v>
                </c:pt>
                <c:pt idx="18">
                  <c:v>4.0068069375000004</c:v>
                </c:pt>
                <c:pt idx="19">
                  <c:v>4.4965459074999998</c:v>
                </c:pt>
                <c:pt idx="20">
                  <c:v>4.5176643775000001</c:v>
                </c:pt>
                <c:pt idx="21">
                  <c:v>5.4691903625</c:v>
                </c:pt>
                <c:pt idx="22">
                  <c:v>5.4851325825000004</c:v>
                </c:pt>
                <c:pt idx="23">
                  <c:v>5.5585937599999999</c:v>
                </c:pt>
                <c:pt idx="24">
                  <c:v>7.6662428975000001</c:v>
                </c:pt>
                <c:pt idx="25">
                  <c:v>7.7931528624999995</c:v>
                </c:pt>
                <c:pt idx="26">
                  <c:v>8.8415323050000012</c:v>
                </c:pt>
                <c:pt idx="27">
                  <c:v>8.8754785550000008</c:v>
                </c:pt>
                <c:pt idx="28">
                  <c:v>11.76186826</c:v>
                </c:pt>
                <c:pt idx="29">
                  <c:v>11.941666740000001</c:v>
                </c:pt>
                <c:pt idx="30">
                  <c:v>12.671376562500001</c:v>
                </c:pt>
                <c:pt idx="31">
                  <c:v>13.2886087575</c:v>
                </c:pt>
                <c:pt idx="32">
                  <c:v>13.499859320000001</c:v>
                </c:pt>
                <c:pt idx="33">
                  <c:v>13.7000935225</c:v>
                </c:pt>
                <c:pt idx="34">
                  <c:v>14.5984904125</c:v>
                </c:pt>
                <c:pt idx="35">
                  <c:v>14.708457537500001</c:v>
                </c:pt>
                <c:pt idx="36">
                  <c:v>14.7377346675</c:v>
                </c:pt>
                <c:pt idx="37">
                  <c:v>16.229013415000001</c:v>
                </c:pt>
                <c:pt idx="38">
                  <c:v>17.588986509999998</c:v>
                </c:pt>
                <c:pt idx="39">
                  <c:v>17.661952214999999</c:v>
                </c:pt>
                <c:pt idx="40">
                  <c:v>39.350211767499999</c:v>
                </c:pt>
                <c:pt idx="41">
                  <c:v>40.922340307500001</c:v>
                </c:pt>
                <c:pt idx="42">
                  <c:v>45.996032740000004</c:v>
                </c:pt>
                <c:pt idx="43">
                  <c:v>46.359127045000001</c:v>
                </c:pt>
                <c:pt idx="44">
                  <c:v>51.880037360000003</c:v>
                </c:pt>
                <c:pt idx="45">
                  <c:v>52.232765660000005</c:v>
                </c:pt>
                <c:pt idx="46">
                  <c:v>66.189807239999993</c:v>
                </c:pt>
                <c:pt idx="47">
                  <c:v>78.913463842499993</c:v>
                </c:pt>
                <c:pt idx="48">
                  <c:v>95.151321380000013</c:v>
                </c:pt>
                <c:pt idx="49">
                  <c:v>103.73442551000001</c:v>
                </c:pt>
                <c:pt idx="50">
                  <c:v>118.61519201500001</c:v>
                </c:pt>
                <c:pt idx="51">
                  <c:v>121.60270070749999</c:v>
                </c:pt>
                <c:pt idx="52">
                  <c:v>124.25939812499999</c:v>
                </c:pt>
                <c:pt idx="53">
                  <c:v>137.38341464500002</c:v>
                </c:pt>
                <c:pt idx="54">
                  <c:v>246.13445468500001</c:v>
                </c:pt>
                <c:pt idx="55">
                  <c:v>268.61958958500003</c:v>
                </c:pt>
                <c:pt idx="56">
                  <c:v>298.60253707749996</c:v>
                </c:pt>
                <c:pt idx="57">
                  <c:v>319.85137370500001</c:v>
                </c:pt>
                <c:pt idx="58">
                  <c:v>627.16523831999996</c:v>
                </c:pt>
                <c:pt idx="59">
                  <c:v>643.22068201499997</c:v>
                </c:pt>
                <c:pt idx="60">
                  <c:v>776.24884166000004</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empresa'!$L$4:$L$64</c:f>
              <c:strCache>
                <c:ptCount val="61"/>
                <c:pt idx="0">
                  <c:v>TERMOCHILCA</c:v>
                </c:pt>
                <c:pt idx="1">
                  <c:v>SAMAY I</c:v>
                </c:pt>
                <c:pt idx="2">
                  <c:v>IYEPSA</c:v>
                </c:pt>
                <c:pt idx="3">
                  <c:v>SDF ENERGIA</c:v>
                </c:pt>
                <c:pt idx="4">
                  <c:v>AGROAURORA</c:v>
                </c:pt>
                <c:pt idx="5">
                  <c:v>ATRIA</c:v>
                </c:pt>
                <c:pt idx="6">
                  <c:v>PLANTA  ETEN</c:v>
                </c:pt>
                <c:pt idx="7">
                  <c:v>CERRO VERDE</c:v>
                </c:pt>
                <c:pt idx="8">
                  <c:v>HYDRO PATAPO</c:v>
                </c:pt>
                <c:pt idx="9">
                  <c:v>SHOUGESA</c:v>
                </c:pt>
                <c:pt idx="10">
                  <c:v>GR PAINO</c:v>
                </c:pt>
                <c:pt idx="11">
                  <c:v>GR TARUCA</c:v>
                </c:pt>
                <c:pt idx="12">
                  <c:v>MAJA ENERGIA</c:v>
                </c:pt>
                <c:pt idx="13">
                  <c:v>EGECSAC</c:v>
                </c:pt>
                <c:pt idx="14">
                  <c:v>HIDROCAÑETE</c:v>
                </c:pt>
                <c:pt idx="15">
                  <c:v>ELECTRICA YANAPAMPA</c:v>
                </c:pt>
                <c:pt idx="16">
                  <c:v>REPARTICION</c:v>
                </c:pt>
                <c:pt idx="17">
                  <c:v>MAJES</c:v>
                </c:pt>
                <c:pt idx="18">
                  <c:v>SAN JACINTO</c:v>
                </c:pt>
                <c:pt idx="19">
                  <c:v>TERMOSELVA</c:v>
                </c:pt>
                <c:pt idx="20">
                  <c:v>MOQUEGUA FV</c:v>
                </c:pt>
                <c:pt idx="21">
                  <c:v>PANAMERICANA SOLAR</c:v>
                </c:pt>
                <c:pt idx="22">
                  <c:v>TACNA SOLAR</c:v>
                </c:pt>
                <c:pt idx="23">
                  <c:v>BIOENERGIA</c:v>
                </c:pt>
                <c:pt idx="24">
                  <c:v>INVERSION DE ENERGÍA RENOVABLES</c:v>
                </c:pt>
                <c:pt idx="25">
                  <c:v>PETRAMAS</c:v>
                </c:pt>
                <c:pt idx="26">
                  <c:v>AIPSA</c:v>
                </c:pt>
                <c:pt idx="27">
                  <c:v>ELECTRO ZAÑA</c:v>
                </c:pt>
                <c:pt idx="28">
                  <c:v>HIDROELECTRICA HUANCHOR</c:v>
                </c:pt>
                <c:pt idx="29">
                  <c:v>HUAURA POWER</c:v>
                </c:pt>
                <c:pt idx="30">
                  <c:v>EGESUR</c:v>
                </c:pt>
                <c:pt idx="31">
                  <c:v>CELEPSA RENOVABLES</c:v>
                </c:pt>
                <c:pt idx="32">
                  <c:v>RIO DOBLE</c:v>
                </c:pt>
                <c:pt idx="33">
                  <c:v>ANDEAN POWER</c:v>
                </c:pt>
                <c:pt idx="34">
                  <c:v>RIO BAÑOS</c:v>
                </c:pt>
                <c:pt idx="35">
                  <c:v>SANTA ANA</c:v>
                </c:pt>
                <c:pt idx="36">
                  <c:v>AGUA AZUL</c:v>
                </c:pt>
                <c:pt idx="37">
                  <c:v>P.E. MARCONA</c:v>
                </c:pt>
                <c:pt idx="38">
                  <c:v>GENERACIÓN ANDINA</c:v>
                </c:pt>
                <c:pt idx="39">
                  <c:v>SINERSA</c:v>
                </c:pt>
                <c:pt idx="40">
                  <c:v>EMGE HUANZA</c:v>
                </c:pt>
                <c:pt idx="41">
                  <c:v>ENERGÍA EÓLICA</c:v>
                </c:pt>
                <c:pt idx="42">
                  <c:v>P.E. TRES HERMANAS</c:v>
                </c:pt>
                <c:pt idx="43">
                  <c:v>GEPSA</c:v>
                </c:pt>
                <c:pt idx="44">
                  <c:v>EMGE JUNÍN</c:v>
                </c:pt>
                <c:pt idx="45">
                  <c:v>ENEL GENERACION PIURA</c:v>
                </c:pt>
                <c:pt idx="46">
                  <c:v>INLAND</c:v>
                </c:pt>
                <c:pt idx="47">
                  <c:v>SAN GABAN</c:v>
                </c:pt>
                <c:pt idx="48">
                  <c:v>ENEL GREEN POWER PERU</c:v>
                </c:pt>
                <c:pt idx="49">
                  <c:v>EGASA</c:v>
                </c:pt>
                <c:pt idx="50">
                  <c:v>FENIX POWER</c:v>
                </c:pt>
                <c:pt idx="51">
                  <c:v>EGEMSA</c:v>
                </c:pt>
                <c:pt idx="52">
                  <c:v>CHINANGO</c:v>
                </c:pt>
                <c:pt idx="53">
                  <c:v>CELEPSA</c:v>
                </c:pt>
                <c:pt idx="54">
                  <c:v>ORAZUL ENERGY PERÚ</c:v>
                </c:pt>
                <c:pt idx="55">
                  <c:v>STATKRAFT</c:v>
                </c:pt>
                <c:pt idx="56">
                  <c:v>ENGIE</c:v>
                </c:pt>
                <c:pt idx="57">
                  <c:v>EMGE HUALLAGA</c:v>
                </c:pt>
                <c:pt idx="58">
                  <c:v>ELECTROPERU</c:v>
                </c:pt>
                <c:pt idx="59">
                  <c:v>ENEL GENERACION PERU</c:v>
                </c:pt>
                <c:pt idx="60">
                  <c:v>KALLPA</c:v>
                </c:pt>
              </c:strCache>
            </c:strRef>
          </c:cat>
          <c:val>
            <c:numRef>
              <c:f>'7. Generacion empresa'!$N$4:$N$64</c:f>
              <c:numCache>
                <c:formatCode>General</c:formatCode>
                <c:ptCount val="61"/>
                <c:pt idx="0">
                  <c:v>129.705170025</c:v>
                </c:pt>
                <c:pt idx="1">
                  <c:v>0.20006380000000001</c:v>
                </c:pt>
                <c:pt idx="2">
                  <c:v>0.1051561325</c:v>
                </c:pt>
                <c:pt idx="3">
                  <c:v>19.350334005000001</c:v>
                </c:pt>
                <c:pt idx="4">
                  <c:v>0</c:v>
                </c:pt>
                <c:pt idx="5">
                  <c:v>0.4659088475</c:v>
                </c:pt>
                <c:pt idx="6">
                  <c:v>1.610865E-3</c:v>
                </c:pt>
                <c:pt idx="7">
                  <c:v>0.37828250250000001</c:v>
                </c:pt>
                <c:pt idx="8">
                  <c:v>0.58029274999999991</c:v>
                </c:pt>
                <c:pt idx="9">
                  <c:v>5.3339749999999995E-3</c:v>
                </c:pt>
                <c:pt idx="12">
                  <c:v>1.9829955400000001</c:v>
                </c:pt>
                <c:pt idx="13">
                  <c:v>2.4092336474999998</c:v>
                </c:pt>
                <c:pt idx="14">
                  <c:v>2.4491999999999998</c:v>
                </c:pt>
                <c:pt idx="15">
                  <c:v>2.5218682500000003</c:v>
                </c:pt>
                <c:pt idx="16">
                  <c:v>3.123374095</c:v>
                </c:pt>
                <c:pt idx="17">
                  <c:v>3.3398883000000001</c:v>
                </c:pt>
                <c:pt idx="18">
                  <c:v>5.3216757449999994</c:v>
                </c:pt>
                <c:pt idx="19">
                  <c:v>7.2127218224999998</c:v>
                </c:pt>
                <c:pt idx="20">
                  <c:v>3.7095652875000003</c:v>
                </c:pt>
                <c:pt idx="21">
                  <c:v>4.0081182850000001</c:v>
                </c:pt>
                <c:pt idx="22">
                  <c:v>4.1824157624999998</c:v>
                </c:pt>
                <c:pt idx="23">
                  <c:v>6.1118906275000002</c:v>
                </c:pt>
                <c:pt idx="25">
                  <c:v>5.0390937000000005</c:v>
                </c:pt>
                <c:pt idx="26">
                  <c:v>7.5617096699999999</c:v>
                </c:pt>
                <c:pt idx="27">
                  <c:v>7.7106316375000006</c:v>
                </c:pt>
                <c:pt idx="28">
                  <c:v>14.402719490000001</c:v>
                </c:pt>
                <c:pt idx="29">
                  <c:v>14.1152501175</c:v>
                </c:pt>
                <c:pt idx="30">
                  <c:v>12.247144702499998</c:v>
                </c:pt>
                <c:pt idx="31">
                  <c:v>14.034885325000001</c:v>
                </c:pt>
                <c:pt idx="32">
                  <c:v>9.6373180749999996</c:v>
                </c:pt>
                <c:pt idx="33">
                  <c:v>8.3610140850000008</c:v>
                </c:pt>
                <c:pt idx="34">
                  <c:v>12.499723555000001</c:v>
                </c:pt>
                <c:pt idx="35">
                  <c:v>14.664494017499999</c:v>
                </c:pt>
                <c:pt idx="36">
                  <c:v>13.416161424999999</c:v>
                </c:pt>
                <c:pt idx="37">
                  <c:v>8.7758588350000011</c:v>
                </c:pt>
                <c:pt idx="38">
                  <c:v>13.868277039999999</c:v>
                </c:pt>
                <c:pt idx="39">
                  <c:v>16.63233804</c:v>
                </c:pt>
                <c:pt idx="40">
                  <c:v>28.523541332499999</c:v>
                </c:pt>
                <c:pt idx="41">
                  <c:v>39.322002495</c:v>
                </c:pt>
                <c:pt idx="42">
                  <c:v>25.691734072500001</c:v>
                </c:pt>
                <c:pt idx="43">
                  <c:v>49.1408929125</c:v>
                </c:pt>
                <c:pt idx="44">
                  <c:v>49.805953695000007</c:v>
                </c:pt>
                <c:pt idx="45">
                  <c:v>54.747452270000004</c:v>
                </c:pt>
                <c:pt idx="46">
                  <c:v>63.607033157499998</c:v>
                </c:pt>
                <c:pt idx="47">
                  <c:v>80.038945152499991</c:v>
                </c:pt>
                <c:pt idx="48">
                  <c:v>70.671639060000004</c:v>
                </c:pt>
                <c:pt idx="49">
                  <c:v>92.857776629999989</c:v>
                </c:pt>
                <c:pt idx="50">
                  <c:v>58.898253132500002</c:v>
                </c:pt>
                <c:pt idx="51">
                  <c:v>119.16723963499999</c:v>
                </c:pt>
                <c:pt idx="52">
                  <c:v>139.15979503</c:v>
                </c:pt>
                <c:pt idx="53">
                  <c:v>142.41563111249999</c:v>
                </c:pt>
                <c:pt idx="54">
                  <c:v>239.27404858999995</c:v>
                </c:pt>
                <c:pt idx="55">
                  <c:v>253.48836488750007</c:v>
                </c:pt>
                <c:pt idx="56">
                  <c:v>608.22090282749991</c:v>
                </c:pt>
                <c:pt idx="57">
                  <c:v>336.79004070500002</c:v>
                </c:pt>
                <c:pt idx="58">
                  <c:v>631.95832608000001</c:v>
                </c:pt>
                <c:pt idx="59">
                  <c:v>486.53379905999998</c:v>
                </c:pt>
                <c:pt idx="60">
                  <c:v>663.37696624500006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4594.55105</c:v>
                </c:pt>
                <c:pt idx="1">
                  <c:v>4614.2048799999993</c:v>
                </c:pt>
                <c:pt idx="2">
                  <c:v>4587.9101300000002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2012.4400399999995</c:v>
                </c:pt>
                <c:pt idx="1">
                  <c:v>2307.6013599999997</c:v>
                </c:pt>
                <c:pt idx="2">
                  <c:v>2159.8880899999999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302.64609999999999</c:v>
                </c:pt>
                <c:pt idx="1">
                  <c:v>148.82196999999999</c:v>
                </c:pt>
                <c:pt idx="2">
                  <c:v>128.49421999999998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Empresa'!$L$7:$L$67</c:f>
              <c:strCache>
                <c:ptCount val="61"/>
                <c:pt idx="0">
                  <c:v>GR TARUCA</c:v>
                </c:pt>
                <c:pt idx="1">
                  <c:v>GR PAINO</c:v>
                </c:pt>
                <c:pt idx="2">
                  <c:v>REPARTICION</c:v>
                </c:pt>
                <c:pt idx="3">
                  <c:v>MAJES</c:v>
                </c:pt>
                <c:pt idx="4">
                  <c:v>TERMOCHILCA</c:v>
                </c:pt>
                <c:pt idx="5">
                  <c:v>TACNA SOLAR</c:v>
                </c:pt>
                <c:pt idx="6">
                  <c:v>SHOUGESA</c:v>
                </c:pt>
                <c:pt idx="7">
                  <c:v>SDF ENERGIA</c:v>
                </c:pt>
                <c:pt idx="8">
                  <c:v>SAMAY I</c:v>
                </c:pt>
                <c:pt idx="9">
                  <c:v>PLANTA  ETEN</c:v>
                </c:pt>
                <c:pt idx="10">
                  <c:v>PANAMERICANA SOLAR</c:v>
                </c:pt>
                <c:pt idx="11">
                  <c:v>MOQUEGUA FV</c:v>
                </c:pt>
                <c:pt idx="12">
                  <c:v>IYEPSA</c:v>
                </c:pt>
                <c:pt idx="13">
                  <c:v>FENIX POWER</c:v>
                </c:pt>
                <c:pt idx="14">
                  <c:v>CERRO VERDE</c:v>
                </c:pt>
                <c:pt idx="15">
                  <c:v>AGROAURORA</c:v>
                </c:pt>
                <c:pt idx="16">
                  <c:v>ATRIA</c:v>
                </c:pt>
                <c:pt idx="17">
                  <c:v>HYDRO PATAPO</c:v>
                </c:pt>
                <c:pt idx="18">
                  <c:v>EGECSAC</c:v>
                </c:pt>
                <c:pt idx="19">
                  <c:v>MAJA ENERGIA</c:v>
                </c:pt>
                <c:pt idx="20">
                  <c:v>HIDROCAÑETE</c:v>
                </c:pt>
                <c:pt idx="21">
                  <c:v>ELECTRICA YANAPAMPA</c:v>
                </c:pt>
                <c:pt idx="22">
                  <c:v>SAN JACINTO</c:v>
                </c:pt>
                <c:pt idx="23">
                  <c:v>HUAURA POWER</c:v>
                </c:pt>
                <c:pt idx="24">
                  <c:v>ELECTRO ZAÑA</c:v>
                </c:pt>
                <c:pt idx="25">
                  <c:v>BIOENERGIA</c:v>
                </c:pt>
                <c:pt idx="26">
                  <c:v>INVERSION DE ENERGÍA RENOVABLES</c:v>
                </c:pt>
                <c:pt idx="27">
                  <c:v>PETRAMAS</c:v>
                </c:pt>
                <c:pt idx="28">
                  <c:v>GENERACIÓN ANDINA</c:v>
                </c:pt>
                <c:pt idx="29">
                  <c:v>AIPSA</c:v>
                </c:pt>
                <c:pt idx="30">
                  <c:v>HIDROELECTRICA HUANCHOR</c:v>
                </c:pt>
                <c:pt idx="31">
                  <c:v>RIO DOBLE</c:v>
                </c:pt>
                <c:pt idx="32">
                  <c:v>CELEPSA RENOVABLES</c:v>
                </c:pt>
                <c:pt idx="33">
                  <c:v>AGUA AZUL</c:v>
                </c:pt>
                <c:pt idx="34">
                  <c:v>RIO BAÑOS</c:v>
                </c:pt>
                <c:pt idx="35">
                  <c:v>SANTA ANA</c:v>
                </c:pt>
                <c:pt idx="36">
                  <c:v>ANDEAN POWER</c:v>
                </c:pt>
                <c:pt idx="37">
                  <c:v>SINERSA</c:v>
                </c:pt>
                <c:pt idx="38">
                  <c:v>P.E. MARCONA</c:v>
                </c:pt>
                <c:pt idx="39">
                  <c:v>CHINANGO</c:v>
                </c:pt>
                <c:pt idx="40">
                  <c:v>EGESUR</c:v>
                </c:pt>
                <c:pt idx="41">
                  <c:v>GEPSA</c:v>
                </c:pt>
                <c:pt idx="42">
                  <c:v>EMGE JUNÍN</c:v>
                </c:pt>
                <c:pt idx="43">
                  <c:v>ENERGÍA EÓLICA</c:v>
                </c:pt>
                <c:pt idx="44">
                  <c:v>P.E. TRES HERMANAS</c:v>
                </c:pt>
                <c:pt idx="45">
                  <c:v>TERMOSELVA</c:v>
                </c:pt>
                <c:pt idx="46">
                  <c:v>INLAND</c:v>
                </c:pt>
                <c:pt idx="47">
                  <c:v>ENEL GENERACION PIURA</c:v>
                </c:pt>
                <c:pt idx="48">
                  <c:v>EMGE HUANZA</c:v>
                </c:pt>
                <c:pt idx="49">
                  <c:v>SAN GABAN</c:v>
                </c:pt>
                <c:pt idx="50">
                  <c:v>ENEL GREEN POWER PERU</c:v>
                </c:pt>
                <c:pt idx="51">
                  <c:v>EGASA</c:v>
                </c:pt>
                <c:pt idx="52">
                  <c:v>EGEMSA</c:v>
                </c:pt>
                <c:pt idx="53">
                  <c:v>CELEPSA</c:v>
                </c:pt>
                <c:pt idx="54">
                  <c:v>ORAZUL ENERGY PERÚ</c:v>
                </c:pt>
                <c:pt idx="55">
                  <c:v>STATKRAFT</c:v>
                </c:pt>
                <c:pt idx="56">
                  <c:v>EMGE HUALLAGA</c:v>
                </c:pt>
                <c:pt idx="57">
                  <c:v>ENGIE</c:v>
                </c:pt>
                <c:pt idx="58">
                  <c:v>ELECTROPERU</c:v>
                </c:pt>
                <c:pt idx="59">
                  <c:v>ENEL GENERACION PERU</c:v>
                </c:pt>
                <c:pt idx="60">
                  <c:v>KALLPA</c:v>
                </c:pt>
              </c:strCache>
            </c:strRef>
          </c:cat>
          <c:val>
            <c:numRef>
              <c:f>'9. Pot. Empresa'!$M$7:$M$67</c:f>
              <c:numCache>
                <c:formatCode>0</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0.89524000000000004</c:v>
                </c:pt>
                <c:pt idx="17">
                  <c:v>0.90400000000000003</c:v>
                </c:pt>
                <c:pt idx="18">
                  <c:v>2.53803</c:v>
                </c:pt>
                <c:pt idx="19">
                  <c:v>2.9035199999999999</c:v>
                </c:pt>
                <c:pt idx="20">
                  <c:v>3.2</c:v>
                </c:pt>
                <c:pt idx="21">
                  <c:v>3.5196800000000001</c:v>
                </c:pt>
                <c:pt idx="22">
                  <c:v>6.7641600000000004</c:v>
                </c:pt>
                <c:pt idx="23">
                  <c:v>7.4131999999999998</c:v>
                </c:pt>
                <c:pt idx="24">
                  <c:v>8.6528799999999997</c:v>
                </c:pt>
                <c:pt idx="25">
                  <c:v>9.21875</c:v>
                </c:pt>
                <c:pt idx="26">
                  <c:v>10.40391</c:v>
                </c:pt>
                <c:pt idx="27">
                  <c:v>11.965819999999999</c:v>
                </c:pt>
                <c:pt idx="28">
                  <c:v>12.488199999999999</c:v>
                </c:pt>
                <c:pt idx="29">
                  <c:v>14.8032</c:v>
                </c:pt>
                <c:pt idx="30">
                  <c:v>16.027529999999999</c:v>
                </c:pt>
                <c:pt idx="31">
                  <c:v>18.21508</c:v>
                </c:pt>
                <c:pt idx="32">
                  <c:v>18.80396</c:v>
                </c:pt>
                <c:pt idx="33">
                  <c:v>19.876760000000001</c:v>
                </c:pt>
                <c:pt idx="34">
                  <c:v>19.997630000000001</c:v>
                </c:pt>
                <c:pt idx="35">
                  <c:v>20.4907</c:v>
                </c:pt>
                <c:pt idx="36">
                  <c:v>20.57124</c:v>
                </c:pt>
                <c:pt idx="37">
                  <c:v>23.376750000000001</c:v>
                </c:pt>
                <c:pt idx="38">
                  <c:v>26.21172</c:v>
                </c:pt>
                <c:pt idx="39">
                  <c:v>42.658540000000002</c:v>
                </c:pt>
                <c:pt idx="40">
                  <c:v>48.691050000000004</c:v>
                </c:pt>
                <c:pt idx="41">
                  <c:v>56.502039999999994</c:v>
                </c:pt>
                <c:pt idx="42">
                  <c:v>70.537320000000008</c:v>
                </c:pt>
                <c:pt idx="43">
                  <c:v>78.561070000000001</c:v>
                </c:pt>
                <c:pt idx="44">
                  <c:v>78.827539999999999</c:v>
                </c:pt>
                <c:pt idx="45">
                  <c:v>80.662229999999994</c:v>
                </c:pt>
                <c:pt idx="46">
                  <c:v>89.74315</c:v>
                </c:pt>
                <c:pt idx="47">
                  <c:v>91.417310000000001</c:v>
                </c:pt>
                <c:pt idx="48">
                  <c:v>94.774990000000003</c:v>
                </c:pt>
                <c:pt idx="49">
                  <c:v>109.55790999999999</c:v>
                </c:pt>
                <c:pt idx="50">
                  <c:v>119.04577</c:v>
                </c:pt>
                <c:pt idx="51">
                  <c:v>124.42140999999999</c:v>
                </c:pt>
                <c:pt idx="52">
                  <c:v>166.58982</c:v>
                </c:pt>
                <c:pt idx="53">
                  <c:v>215.75957</c:v>
                </c:pt>
                <c:pt idx="54">
                  <c:v>345.77258</c:v>
                </c:pt>
                <c:pt idx="55">
                  <c:v>371.53904</c:v>
                </c:pt>
                <c:pt idx="56">
                  <c:v>461.25288999999998</c:v>
                </c:pt>
                <c:pt idx="57">
                  <c:v>674.19157999999993</c:v>
                </c:pt>
                <c:pt idx="58">
                  <c:v>852.90624000000003</c:v>
                </c:pt>
                <c:pt idx="59">
                  <c:v>1116.3922600000003</c:v>
                </c:pt>
                <c:pt idx="60">
                  <c:v>1340.5909200000003</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Empresa'!$L$7:$L$67</c:f>
              <c:strCache>
                <c:ptCount val="61"/>
                <c:pt idx="0">
                  <c:v>GR TARUCA</c:v>
                </c:pt>
                <c:pt idx="1">
                  <c:v>GR PAINO</c:v>
                </c:pt>
                <c:pt idx="2">
                  <c:v>REPARTICION</c:v>
                </c:pt>
                <c:pt idx="3">
                  <c:v>MAJES</c:v>
                </c:pt>
                <c:pt idx="4">
                  <c:v>TERMOCHILCA</c:v>
                </c:pt>
                <c:pt idx="5">
                  <c:v>TACNA SOLAR</c:v>
                </c:pt>
                <c:pt idx="6">
                  <c:v>SHOUGESA</c:v>
                </c:pt>
                <c:pt idx="7">
                  <c:v>SDF ENERGIA</c:v>
                </c:pt>
                <c:pt idx="8">
                  <c:v>SAMAY I</c:v>
                </c:pt>
                <c:pt idx="9">
                  <c:v>PLANTA  ETEN</c:v>
                </c:pt>
                <c:pt idx="10">
                  <c:v>PANAMERICANA SOLAR</c:v>
                </c:pt>
                <c:pt idx="11">
                  <c:v>MOQUEGUA FV</c:v>
                </c:pt>
                <c:pt idx="12">
                  <c:v>IYEPSA</c:v>
                </c:pt>
                <c:pt idx="13">
                  <c:v>FENIX POWER</c:v>
                </c:pt>
                <c:pt idx="14">
                  <c:v>CERRO VERDE</c:v>
                </c:pt>
                <c:pt idx="15">
                  <c:v>AGROAURORA</c:v>
                </c:pt>
                <c:pt idx="16">
                  <c:v>ATRIA</c:v>
                </c:pt>
                <c:pt idx="17">
                  <c:v>HYDRO PATAPO</c:v>
                </c:pt>
                <c:pt idx="18">
                  <c:v>EGECSAC</c:v>
                </c:pt>
                <c:pt idx="19">
                  <c:v>MAJA ENERGIA</c:v>
                </c:pt>
                <c:pt idx="20">
                  <c:v>HIDROCAÑETE</c:v>
                </c:pt>
                <c:pt idx="21">
                  <c:v>ELECTRICA YANAPAMPA</c:v>
                </c:pt>
                <c:pt idx="22">
                  <c:v>SAN JACINTO</c:v>
                </c:pt>
                <c:pt idx="23">
                  <c:v>HUAURA POWER</c:v>
                </c:pt>
                <c:pt idx="24">
                  <c:v>ELECTRO ZAÑA</c:v>
                </c:pt>
                <c:pt idx="25">
                  <c:v>BIOENERGIA</c:v>
                </c:pt>
                <c:pt idx="26">
                  <c:v>INVERSION DE ENERGÍA RENOVABLES</c:v>
                </c:pt>
                <c:pt idx="27">
                  <c:v>PETRAMAS</c:v>
                </c:pt>
                <c:pt idx="28">
                  <c:v>GENERACIÓN ANDINA</c:v>
                </c:pt>
                <c:pt idx="29">
                  <c:v>AIPSA</c:v>
                </c:pt>
                <c:pt idx="30">
                  <c:v>HIDROELECTRICA HUANCHOR</c:v>
                </c:pt>
                <c:pt idx="31">
                  <c:v>RIO DOBLE</c:v>
                </c:pt>
                <c:pt idx="32">
                  <c:v>CELEPSA RENOVABLES</c:v>
                </c:pt>
                <c:pt idx="33">
                  <c:v>AGUA AZUL</c:v>
                </c:pt>
                <c:pt idx="34">
                  <c:v>RIO BAÑOS</c:v>
                </c:pt>
                <c:pt idx="35">
                  <c:v>SANTA ANA</c:v>
                </c:pt>
                <c:pt idx="36">
                  <c:v>ANDEAN POWER</c:v>
                </c:pt>
                <c:pt idx="37">
                  <c:v>SINERSA</c:v>
                </c:pt>
                <c:pt idx="38">
                  <c:v>P.E. MARCONA</c:v>
                </c:pt>
                <c:pt idx="39">
                  <c:v>CHINANGO</c:v>
                </c:pt>
                <c:pt idx="40">
                  <c:v>EGESUR</c:v>
                </c:pt>
                <c:pt idx="41">
                  <c:v>GEPSA</c:v>
                </c:pt>
                <c:pt idx="42">
                  <c:v>EMGE JUNÍN</c:v>
                </c:pt>
                <c:pt idx="43">
                  <c:v>ENERGÍA EÓLICA</c:v>
                </c:pt>
                <c:pt idx="44">
                  <c:v>P.E. TRES HERMANAS</c:v>
                </c:pt>
                <c:pt idx="45">
                  <c:v>TERMOSELVA</c:v>
                </c:pt>
                <c:pt idx="46">
                  <c:v>INLAND</c:v>
                </c:pt>
                <c:pt idx="47">
                  <c:v>ENEL GENERACION PIURA</c:v>
                </c:pt>
                <c:pt idx="48">
                  <c:v>EMGE HUANZA</c:v>
                </c:pt>
                <c:pt idx="49">
                  <c:v>SAN GABAN</c:v>
                </c:pt>
                <c:pt idx="50">
                  <c:v>ENEL GREEN POWER PERU</c:v>
                </c:pt>
                <c:pt idx="51">
                  <c:v>EGASA</c:v>
                </c:pt>
                <c:pt idx="52">
                  <c:v>EGEMSA</c:v>
                </c:pt>
                <c:pt idx="53">
                  <c:v>CELEPSA</c:v>
                </c:pt>
                <c:pt idx="54">
                  <c:v>ORAZUL ENERGY PERÚ</c:v>
                </c:pt>
                <c:pt idx="55">
                  <c:v>STATKRAFT</c:v>
                </c:pt>
                <c:pt idx="56">
                  <c:v>EMGE HUALLAGA</c:v>
                </c:pt>
                <c:pt idx="57">
                  <c:v>ENGIE</c:v>
                </c:pt>
                <c:pt idx="58">
                  <c:v>ELECTROPERU</c:v>
                </c:pt>
                <c:pt idx="59">
                  <c:v>ENEL GENERACION PERU</c:v>
                </c:pt>
                <c:pt idx="60">
                  <c:v>KALLPA</c:v>
                </c:pt>
              </c:strCache>
            </c:strRef>
          </c:cat>
          <c:val>
            <c:numRef>
              <c:f>'9. Pot. Empresa'!$N$7:$N$67</c:f>
              <c:numCache>
                <c:formatCode>0</c:formatCode>
                <c:ptCount val="61"/>
                <c:pt idx="2">
                  <c:v>0</c:v>
                </c:pt>
                <c:pt idx="3">
                  <c:v>0</c:v>
                </c:pt>
                <c:pt idx="4">
                  <c:v>283.67838</c:v>
                </c:pt>
                <c:pt idx="5">
                  <c:v>0</c:v>
                </c:pt>
                <c:pt idx="6">
                  <c:v>0</c:v>
                </c:pt>
                <c:pt idx="7">
                  <c:v>26.1267</c:v>
                </c:pt>
                <c:pt idx="8">
                  <c:v>0</c:v>
                </c:pt>
                <c:pt idx="9">
                  <c:v>0</c:v>
                </c:pt>
                <c:pt idx="10">
                  <c:v>0</c:v>
                </c:pt>
                <c:pt idx="11">
                  <c:v>0</c:v>
                </c:pt>
                <c:pt idx="12">
                  <c:v>0</c:v>
                </c:pt>
                <c:pt idx="13">
                  <c:v>0</c:v>
                </c:pt>
                <c:pt idx="14">
                  <c:v>0</c:v>
                </c:pt>
                <c:pt idx="15">
                  <c:v>0</c:v>
                </c:pt>
                <c:pt idx="16">
                  <c:v>1.1613800000000001</c:v>
                </c:pt>
                <c:pt idx="17">
                  <c:v>0.27900000000000003</c:v>
                </c:pt>
                <c:pt idx="18">
                  <c:v>4.2692199999999998</c:v>
                </c:pt>
                <c:pt idx="19">
                  <c:v>3.3507799999999999</c:v>
                </c:pt>
                <c:pt idx="20">
                  <c:v>3.6</c:v>
                </c:pt>
                <c:pt idx="21">
                  <c:v>3.4600599999999995</c:v>
                </c:pt>
                <c:pt idx="22">
                  <c:v>8.5399999999999991</c:v>
                </c:pt>
                <c:pt idx="23">
                  <c:v>18.977820000000001</c:v>
                </c:pt>
                <c:pt idx="24">
                  <c:v>6.9954700000000001</c:v>
                </c:pt>
                <c:pt idx="25">
                  <c:v>8.25</c:v>
                </c:pt>
                <c:pt idx="27">
                  <c:v>7.8144999999999998</c:v>
                </c:pt>
                <c:pt idx="28">
                  <c:v>18.451510000000003</c:v>
                </c:pt>
                <c:pt idx="29">
                  <c:v>15.36608</c:v>
                </c:pt>
                <c:pt idx="30">
                  <c:v>19.237130000000001</c:v>
                </c:pt>
                <c:pt idx="31">
                  <c:v>9.8271099999999993</c:v>
                </c:pt>
                <c:pt idx="32">
                  <c:v>19.085319999999999</c:v>
                </c:pt>
                <c:pt idx="33">
                  <c:v>12.75592</c:v>
                </c:pt>
                <c:pt idx="34">
                  <c:v>20.027450000000002</c:v>
                </c:pt>
                <c:pt idx="35">
                  <c:v>20.112200000000001</c:v>
                </c:pt>
                <c:pt idx="36">
                  <c:v>16.092680000000001</c:v>
                </c:pt>
                <c:pt idx="37">
                  <c:v>26.250830000000001</c:v>
                </c:pt>
                <c:pt idx="38">
                  <c:v>18.936229999999998</c:v>
                </c:pt>
                <c:pt idx="39">
                  <c:v>195.91816</c:v>
                </c:pt>
                <c:pt idx="40">
                  <c:v>26.753999999999998</c:v>
                </c:pt>
                <c:pt idx="41">
                  <c:v>60.552509999999998</c:v>
                </c:pt>
                <c:pt idx="42">
                  <c:v>66.876999999999995</c:v>
                </c:pt>
                <c:pt idx="43">
                  <c:v>22.37951</c:v>
                </c:pt>
                <c:pt idx="44">
                  <c:v>51.313720000000004</c:v>
                </c:pt>
                <c:pt idx="45">
                  <c:v>75.428049999999999</c:v>
                </c:pt>
                <c:pt idx="46">
                  <c:v>91.179059999999993</c:v>
                </c:pt>
                <c:pt idx="47">
                  <c:v>47.426479999999998</c:v>
                </c:pt>
                <c:pt idx="48">
                  <c:v>43.917070000000002</c:v>
                </c:pt>
                <c:pt idx="49">
                  <c:v>109.80475</c:v>
                </c:pt>
                <c:pt idx="50">
                  <c:v>56.192509999999999</c:v>
                </c:pt>
                <c:pt idx="51">
                  <c:v>170.73018000000002</c:v>
                </c:pt>
                <c:pt idx="52">
                  <c:v>164.42846</c:v>
                </c:pt>
                <c:pt idx="53">
                  <c:v>208.65701999999999</c:v>
                </c:pt>
                <c:pt idx="54">
                  <c:v>306.15764999999999</c:v>
                </c:pt>
                <c:pt idx="55">
                  <c:v>382.23784000000006</c:v>
                </c:pt>
                <c:pt idx="56">
                  <c:v>463.21735000000001</c:v>
                </c:pt>
                <c:pt idx="57">
                  <c:v>995.63318000000004</c:v>
                </c:pt>
                <c:pt idx="58">
                  <c:v>877.60272000000009</c:v>
                </c:pt>
                <c:pt idx="59">
                  <c:v>854.1810499999998</c:v>
                </c:pt>
                <c:pt idx="60">
                  <c:v>1227.3941699999998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'12.Caudales'!$J$4:$K$165</c:f>
              <c:multiLvlStrCache>
                <c:ptCount val="162"/>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'12.Caudales'!$N$4:$N$165</c:f>
              <c:numCache>
                <c:formatCode>0.0</c:formatCode>
                <c:ptCount val="162"/>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'12.Caudales'!$J$4:$K$165</c:f>
              <c:multiLvlStrCache>
                <c:ptCount val="162"/>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'12.Caudales'!$O$4:$O$165</c:f>
              <c:numCache>
                <c:formatCode>0.0</c:formatCode>
                <c:ptCount val="162"/>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25400">
              <a:solidFill>
                <a:schemeClr val="accent1">
                  <a:lumMod val="75000"/>
                </a:schemeClr>
              </a:solidFill>
            </a:ln>
          </c:spPr>
          <c:cat>
            <c:multiLvlStrRef>
              <c:f>'12.Caudales'!$J$4:$K$165</c:f>
              <c:multiLvlStrCache>
                <c:ptCount val="162"/>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'12.Caudales'!$M$4:$M$165</c:f>
              <c:numCache>
                <c:formatCode>0.0</c:formatCode>
                <c:ptCount val="162"/>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3224.7240291725007</c:v>
                </c:pt>
                <c:pt idx="1">
                  <c:v>1183.8381960599997</c:v>
                </c:pt>
                <c:pt idx="2">
                  <c:v>0</c:v>
                </c:pt>
                <c:pt idx="3">
                  <c:v>0.72036455499999996</c:v>
                </c:pt>
                <c:pt idx="4">
                  <c:v>24.034369742499997</c:v>
                </c:pt>
                <c:pt idx="5">
                  <c:v>112.79455227750002</c:v>
                </c:pt>
                <c:pt idx="6">
                  <c:v>57.710546254999997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971.22811921750008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1.2889819600000001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26.295059415000001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159.07100367750002</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72.941591460000012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'13.Caudales'!$N$4:$O$165</c:f>
              <c:multiLvlStrCache>
                <c:ptCount val="16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'13.Caudales'!$Q$4:$Q$165</c:f>
              <c:numCache>
                <c:formatCode>0.0</c:formatCode>
                <c:ptCount val="162"/>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'13.Caudales'!$N$4:$O$165</c:f>
              <c:multiLvlStrCache>
                <c:ptCount val="16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'13.Caudales'!$R$4:$R$165</c:f>
              <c:numCache>
                <c:formatCode>0.0</c:formatCode>
                <c:ptCount val="162"/>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midCat"/>
      </c:valAx>
    </c:plotArea>
    <c:legend>
      <c:legendPos val="t"/>
      <c:layout>
        <c:manualLayout>
          <c:xMode val="edge"/>
          <c:yMode val="edge"/>
          <c:x val="0.34111515197232239"/>
          <c:y val="0.1710458958743877"/>
          <c:w val="0.27556210517433377"/>
          <c:h val="9.445908944519326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'13.Caudales'!$N$4:$O$1772</c:f>
              <c:multiLvlStrCache>
                <c:ptCount val="16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'13.Caudales'!$S$4:$S$165</c:f>
              <c:numCache>
                <c:formatCode>0.0</c:formatCode>
                <c:ptCount val="162"/>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'13.Caudales'!$N$4:$O$1772</c:f>
              <c:multiLvlStrCache>
                <c:ptCount val="16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'13.Caudales'!$T$4:$T$165</c:f>
              <c:numCache>
                <c:formatCode>0.0</c:formatCode>
                <c:ptCount val="162"/>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'13.Caudales'!$U$4:$U$165</c:f>
              <c:numCache>
                <c:formatCode>0.0</c:formatCode>
                <c:ptCount val="162"/>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midCat"/>
      </c:valAx>
    </c:plotArea>
    <c:legend>
      <c:legendPos val="t"/>
      <c:layout>
        <c:manualLayout>
          <c:xMode val="edge"/>
          <c:yMode val="edge"/>
          <c:x val="0.52348384361815492"/>
          <c:y val="0.11450845005374818"/>
          <c:w val="0.33267347813702164"/>
          <c:h val="6.840111987746215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9177940934877804"/>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'13.Caudales'!$N$4:$O$165</c:f>
              <c:multiLvlStrCache>
                <c:ptCount val="16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'13.Caudales'!$V$4:$V$165</c:f>
              <c:numCache>
                <c:formatCode>0.0</c:formatCode>
                <c:ptCount val="162"/>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'13.Caudales'!$N$4:$O$165</c:f>
              <c:multiLvlStrCache>
                <c:ptCount val="162"/>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lvl>
                <c:lvl>
                  <c:pt idx="0">
                    <c:v>2018</c:v>
                  </c:pt>
                  <c:pt idx="52">
                    <c:v>2019</c:v>
                  </c:pt>
                  <c:pt idx="105">
                    <c:v>2020</c:v>
                  </c:pt>
                  <c:pt idx="157">
                    <c:v>2021</c:v>
                  </c:pt>
                </c:lvl>
              </c:multiLvlStrCache>
            </c:multiLvlStrRef>
          </c:cat>
          <c:val>
            <c:numRef>
              <c:f>'13.Caudales'!$W$4:$W$165</c:f>
              <c:numCache>
                <c:formatCode>0.0</c:formatCode>
                <c:ptCount val="162"/>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'13.Caudales'!$Y$4:$Y$165</c:f>
              <c:numCache>
                <c:formatCode>0.0</c:formatCode>
                <c:ptCount val="162"/>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'13.Caudales'!$X$4:$X$165</c:f>
              <c:numCache>
                <c:formatCode>0.0</c:formatCode>
                <c:ptCount val="162"/>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93.616000575714295</c:v>
                </c:pt>
                <c:pt idx="158">
                  <c:v>109.19371577142856</c:v>
                </c:pt>
                <c:pt idx="159">
                  <c:v>111.32100131428571</c:v>
                </c:pt>
                <c:pt idx="160">
                  <c:v>111.11885721428568</c:v>
                </c:pt>
                <c:pt idx="161">
                  <c:v>108.66071318571429</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625393880"/>
        <c:scaling>
          <c:orientation val="minMax"/>
        </c:scaling>
        <c:delete val="0"/>
        <c:axPos val="r"/>
        <c:numFmt formatCode="0.0" sourceLinked="1"/>
        <c:majorTickMark val="out"/>
        <c:minorTickMark val="none"/>
        <c:tickLblPos val="nextTo"/>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7.4282128616697765E-2"/>
          <c:y val="0.12071755064387545"/>
          <c:w val="0.86657836712676428"/>
          <c:h val="6.3582727286523422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7.5740809656826231</c:v>
                </c:pt>
                <c:pt idx="1">
                  <c:v>7.4087397529125667</c:v>
                </c:pt>
                <c:pt idx="2">
                  <c:v>7.3356990706911125</c:v>
                </c:pt>
                <c:pt idx="3">
                  <c:v>7.2830298409608734</c:v>
                </c:pt>
                <c:pt idx="4">
                  <c:v>7.186841170513647</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7.184337240298361</c:v>
                </c:pt>
                <c:pt idx="1">
                  <c:v>7.1768880109150963</c:v>
                </c:pt>
                <c:pt idx="2">
                  <c:v>7.1910741417335506</c:v>
                </c:pt>
                <c:pt idx="3">
                  <c:v>7.14494612565914</c:v>
                </c:pt>
                <c:pt idx="4">
                  <c:v>7.1396147160073671</c:v>
                </c:pt>
                <c:pt idx="5">
                  <c:v>6.8876504468477018</c:v>
                </c:pt>
                <c:pt idx="6">
                  <c:v>6.7563337071826259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7.6428010237861175</c:v>
                </c:pt>
                <c:pt idx="1">
                  <c:v>7.4290442610996239</c:v>
                </c:pt>
                <c:pt idx="2">
                  <c:v>7.4060803456759077</c:v>
                </c:pt>
                <c:pt idx="3">
                  <c:v>7.3585361242493219</c:v>
                </c:pt>
                <c:pt idx="4">
                  <c:v>7.1241274770745431</c:v>
                </c:pt>
                <c:pt idx="5">
                  <c:v>7.1046678867513409</c:v>
                </c:pt>
                <c:pt idx="6">
                  <c:v>5.1306236044312659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4991715509811001"/>
        </c:manualLayout>
      </c:layout>
      <c:barChart>
        <c:barDir val="col"/>
        <c:grouping val="clustered"/>
        <c:varyColors val="0"/>
        <c:ser>
          <c:idx val="2"/>
          <c:order val="0"/>
          <c:tx>
            <c:strRef>
              <c:f>'16. Congestiones'!$F$6</c:f>
              <c:strCache>
                <c:ptCount val="1"/>
                <c:pt idx="0">
                  <c:v>ENERO
 2019</c:v>
                </c:pt>
              </c:strCache>
            </c:strRef>
          </c:tx>
          <c:spPr>
            <a:solidFill>
              <a:schemeClr val="accent6"/>
            </a:solidFill>
          </c:spPr>
          <c:invertIfNegative val="0"/>
          <c:cat>
            <c:strRef>
              <c:f>'16. Congestiones'!$C$7:$C$21</c:f>
              <c:strCache>
                <c:ptCount val="15"/>
                <c:pt idx="0">
                  <c:v>LA NIÑA - PIURA OESTE</c:v>
                </c:pt>
                <c:pt idx="1">
                  <c:v>CHIMBOTE 1 - HUALLANCA</c:v>
                </c:pt>
                <c:pt idx="2">
                  <c:v>PACHACHACA - CALLAHUANCA (REP)</c:v>
                </c:pt>
                <c:pt idx="3">
                  <c:v>PACHACHACA - POMACOCHA</c:v>
                </c:pt>
                <c:pt idx="4">
                  <c:v>CAMPO ARMIÑO - POMACOCHA</c:v>
                </c:pt>
                <c:pt idx="5">
                  <c:v>HUANZA-CARABAYLLO</c:v>
                </c:pt>
                <c:pt idx="6">
                  <c:v>CAMPO ARMIÑO - HUANCAVELICA</c:v>
                </c:pt>
                <c:pt idx="7">
                  <c:v>POMACOCHA - SAN JUAN</c:v>
                </c:pt>
                <c:pt idx="8">
                  <c:v>POMACOCHA - CARHUAMAYO</c:v>
                </c:pt>
                <c:pt idx="9">
                  <c:v>CARHUAMAYO - OROYA NUEVA</c:v>
                </c:pt>
                <c:pt idx="10">
                  <c:v>MARCONA - SAN NICOLÁS</c:v>
                </c:pt>
                <c:pt idx="11">
                  <c:v>INDEPENDENCIA</c:v>
                </c:pt>
                <c:pt idx="12">
                  <c:v>MARCONA</c:v>
                </c:pt>
                <c:pt idx="13">
                  <c:v>ENLACE CENTRO - SUR</c:v>
                </c:pt>
                <c:pt idx="14">
                  <c:v>AZÁNGARO - SAN GABÁN II</c:v>
                </c:pt>
              </c:strCache>
            </c:strRef>
          </c:cat>
          <c:val>
            <c:numRef>
              <c:f>'16. Congestiones'!$F$7:$F$21</c:f>
              <c:numCache>
                <c:formatCode>#,##0.00</c:formatCode>
                <c:ptCount val="15"/>
                <c:pt idx="0">
                  <c:v>7.9833333333333334</c:v>
                </c:pt>
                <c:pt idx="2">
                  <c:v>1.7499999999999998</c:v>
                </c:pt>
                <c:pt idx="3">
                  <c:v>0.49999999999999956</c:v>
                </c:pt>
                <c:pt idx="4">
                  <c:v>0.99999999999999911</c:v>
                </c:pt>
                <c:pt idx="5">
                  <c:v>6.2333333333333325</c:v>
                </c:pt>
                <c:pt idx="6">
                  <c:v>8.3833333333333346</c:v>
                </c:pt>
                <c:pt idx="7">
                  <c:v>70.333333333333329</c:v>
                </c:pt>
                <c:pt idx="8">
                  <c:v>0.49999999999999956</c:v>
                </c:pt>
                <c:pt idx="9">
                  <c:v>41.15</c:v>
                </c:pt>
                <c:pt idx="10">
                  <c:v>195.98333333333332</c:v>
                </c:pt>
                <c:pt idx="11">
                  <c:v>3.2666666666666631</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ENERO
 2020</c:v>
                </c:pt>
              </c:strCache>
            </c:strRef>
          </c:tx>
          <c:invertIfNegative val="0"/>
          <c:cat>
            <c:strRef>
              <c:f>'16. Congestiones'!$C$7:$C$21</c:f>
              <c:strCache>
                <c:ptCount val="15"/>
                <c:pt idx="0">
                  <c:v>LA NIÑA - PIURA OESTE</c:v>
                </c:pt>
                <c:pt idx="1">
                  <c:v>CHIMBOTE 1 - HUALLANCA</c:v>
                </c:pt>
                <c:pt idx="2">
                  <c:v>PACHACHACA - CALLAHUANCA (REP)</c:v>
                </c:pt>
                <c:pt idx="3">
                  <c:v>PACHACHACA - POMACOCHA</c:v>
                </c:pt>
                <c:pt idx="4">
                  <c:v>CAMPO ARMIÑO - POMACOCHA</c:v>
                </c:pt>
                <c:pt idx="5">
                  <c:v>HUANZA-CARABAYLLO</c:v>
                </c:pt>
                <c:pt idx="6">
                  <c:v>CAMPO ARMIÑO - HUANCAVELICA</c:v>
                </c:pt>
                <c:pt idx="7">
                  <c:v>POMACOCHA - SAN JUAN</c:v>
                </c:pt>
                <c:pt idx="8">
                  <c:v>POMACOCHA - CARHUAMAYO</c:v>
                </c:pt>
                <c:pt idx="9">
                  <c:v>CARHUAMAYO - OROYA NUEVA</c:v>
                </c:pt>
                <c:pt idx="10">
                  <c:v>MARCONA - SAN NICOLÁS</c:v>
                </c:pt>
                <c:pt idx="11">
                  <c:v>INDEPENDENCIA</c:v>
                </c:pt>
                <c:pt idx="12">
                  <c:v>MARCONA</c:v>
                </c:pt>
                <c:pt idx="13">
                  <c:v>ENLACE CENTRO - SUR</c:v>
                </c:pt>
                <c:pt idx="14">
                  <c:v>AZÁNGARO - SAN GABÁN II</c:v>
                </c:pt>
              </c:strCache>
            </c:strRef>
          </c:cat>
          <c:val>
            <c:numRef>
              <c:f>'16. Congestiones'!$E$7:$E$21</c:f>
              <c:numCache>
                <c:formatCode>#,##0.00</c:formatCode>
                <c:ptCount val="15"/>
                <c:pt idx="5">
                  <c:v>2.3000000000000012</c:v>
                </c:pt>
                <c:pt idx="7">
                  <c:v>15.2</c:v>
                </c:pt>
                <c:pt idx="10">
                  <c:v>4.7666666666666657</c:v>
                </c:pt>
                <c:pt idx="11">
                  <c:v>460.56666666666666</c:v>
                </c:pt>
                <c:pt idx="13">
                  <c:v>0.23333333333332984</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ENERO
 2021</c:v>
                </c:pt>
              </c:strCache>
            </c:strRef>
          </c:tx>
          <c:invertIfNegative val="0"/>
          <c:cat>
            <c:strRef>
              <c:f>'16. Congestiones'!$C$7:$C$21</c:f>
              <c:strCache>
                <c:ptCount val="15"/>
                <c:pt idx="0">
                  <c:v>LA NIÑA - PIURA OESTE</c:v>
                </c:pt>
                <c:pt idx="1">
                  <c:v>CHIMBOTE 1 - HUALLANCA</c:v>
                </c:pt>
                <c:pt idx="2">
                  <c:v>PACHACHACA - CALLAHUANCA (REP)</c:v>
                </c:pt>
                <c:pt idx="3">
                  <c:v>PACHACHACA - POMACOCHA</c:v>
                </c:pt>
                <c:pt idx="4">
                  <c:v>CAMPO ARMIÑO - POMACOCHA</c:v>
                </c:pt>
                <c:pt idx="5">
                  <c:v>HUANZA-CARABAYLLO</c:v>
                </c:pt>
                <c:pt idx="6">
                  <c:v>CAMPO ARMIÑO - HUANCAVELICA</c:v>
                </c:pt>
                <c:pt idx="7">
                  <c:v>POMACOCHA - SAN JUAN</c:v>
                </c:pt>
                <c:pt idx="8">
                  <c:v>POMACOCHA - CARHUAMAYO</c:v>
                </c:pt>
                <c:pt idx="9">
                  <c:v>CARHUAMAYO - OROYA NUEVA</c:v>
                </c:pt>
                <c:pt idx="10">
                  <c:v>MARCONA - SAN NICOLÁS</c:v>
                </c:pt>
                <c:pt idx="11">
                  <c:v>INDEPENDENCIA</c:v>
                </c:pt>
                <c:pt idx="12">
                  <c:v>MARCONA</c:v>
                </c:pt>
                <c:pt idx="13">
                  <c:v>ENLACE CENTRO - SUR</c:v>
                </c:pt>
                <c:pt idx="14">
                  <c:v>AZÁNGARO - SAN GABÁN II</c:v>
                </c:pt>
              </c:strCache>
            </c:strRef>
          </c:cat>
          <c:val>
            <c:numRef>
              <c:f>'16. Congestiones'!$D$7:$D$21</c:f>
              <c:numCache>
                <c:formatCode>#,##0.00</c:formatCode>
                <c:ptCount val="15"/>
                <c:pt idx="1">
                  <c:v>6.0500000000000007</c:v>
                </c:pt>
                <c:pt idx="2">
                  <c:v>1.5333333333333345</c:v>
                </c:pt>
                <c:pt idx="5">
                  <c:v>0.99999999999999911</c:v>
                </c:pt>
                <c:pt idx="8">
                  <c:v>1.0166666666666657</c:v>
                </c:pt>
                <c:pt idx="9">
                  <c:v>2.8500000000000014</c:v>
                </c:pt>
                <c:pt idx="11">
                  <c:v>166.95</c:v>
                </c:pt>
                <c:pt idx="12">
                  <c:v>2.2999999999999998</c:v>
                </c:pt>
                <c:pt idx="14">
                  <c:v>261.71666666666675</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019282978849915"/>
          <c:y val="2.813970401498824E-3"/>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1.0848255857073399E-2"/>
                  <c:y val="7.2004616771654234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0.56702815242383808"/>
                  <c:y val="0.42080889752907946"/>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36767317630797719"/>
                  <c:y val="0.62177194352727294"/>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4750383836404035"/>
                  <c:y val="-3.1055317227365088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37</c:v>
                </c:pt>
                <c:pt idx="1">
                  <c:v>8</c:v>
                </c:pt>
                <c:pt idx="2">
                  <c:v>2</c:v>
                </c:pt>
                <c:pt idx="3">
                  <c:v>1</c:v>
                </c:pt>
                <c:pt idx="4">
                  <c:v>6</c:v>
                </c:pt>
                <c:pt idx="5">
                  <c:v>1</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Eventos'!$A$7:$A$11</c:f>
              <c:strCache>
                <c:ptCount val="3"/>
                <c:pt idx="0">
                  <c:v>LINEA DE TRANSMISION</c:v>
                </c:pt>
                <c:pt idx="1">
                  <c:v>TRANSFORMADOR 3D</c:v>
                </c:pt>
                <c:pt idx="2">
                  <c:v>CELDA</c:v>
                </c:pt>
              </c:strCache>
            </c:strRef>
          </c:cat>
          <c:val>
            <c:numRef>
              <c:f>'17. Eventos'!$J$7:$J$11</c:f>
              <c:numCache>
                <c:formatCode>#,##0.00</c:formatCode>
                <c:ptCount val="3"/>
                <c:pt idx="0">
                  <c:v>240.34</c:v>
                </c:pt>
                <c:pt idx="1">
                  <c:v>19.260000000000002</c:v>
                </c:pt>
                <c:pt idx="2">
                  <c:v>165.44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3"/>
                <c:pt idx="0">
                  <c:v>LINEA DE TRANSMISION</c:v>
                </c:pt>
                <c:pt idx="1">
                  <c:v>TRANSFORMADOR 3D</c:v>
                </c:pt>
                <c:pt idx="2">
                  <c:v>CELDA</c:v>
                </c:pt>
              </c:strCache>
            </c:strRef>
          </c:cat>
          <c:val>
            <c:numRef>
              <c:f>'17. Eventos'!$B$7:$B$11</c:f>
              <c:numCache>
                <c:formatCode>General</c:formatCode>
                <c:ptCount val="3"/>
                <c:pt idx="0">
                  <c:v>37</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3"/>
                <c:pt idx="0">
                  <c:v>LINEA DE TRANSMISION</c:v>
                </c:pt>
                <c:pt idx="1">
                  <c:v>TRANSFORMADOR 3D</c:v>
                </c:pt>
                <c:pt idx="2">
                  <c:v>CELDA</c:v>
                </c:pt>
              </c:strCache>
            </c:strRef>
          </c:cat>
          <c:val>
            <c:numRef>
              <c:f>'17. Eventos'!$C$7:$C$11</c:f>
              <c:numCache>
                <c:formatCode>General</c:formatCode>
                <c:ptCount val="3"/>
                <c:pt idx="0">
                  <c:v>8</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3"/>
                <c:pt idx="0">
                  <c:v>LINEA DE TRANSMISION</c:v>
                </c:pt>
                <c:pt idx="1">
                  <c:v>TRANSFORMADOR 3D</c:v>
                </c:pt>
                <c:pt idx="2">
                  <c:v>CELDA</c:v>
                </c:pt>
              </c:strCache>
            </c:strRef>
          </c:cat>
          <c:val>
            <c:numRef>
              <c:f>'17. Eventos'!$D$7:$D$11</c:f>
              <c:numCache>
                <c:formatCode>General</c:formatCode>
                <c:ptCount val="3"/>
                <c:pt idx="0">
                  <c:v>1</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3"/>
                <c:pt idx="0">
                  <c:v>LINEA DE TRANSMISION</c:v>
                </c:pt>
                <c:pt idx="1">
                  <c:v>TRANSFORMADOR 3D</c:v>
                </c:pt>
                <c:pt idx="2">
                  <c:v>CELDA</c:v>
                </c:pt>
              </c:strCache>
            </c:strRef>
          </c:cat>
          <c:val>
            <c:numRef>
              <c:f>'17. Eventos'!$E$7:$E$11</c:f>
              <c:numCache>
                <c:formatCode>General</c:formatCode>
                <c:ptCount val="3"/>
                <c:pt idx="2">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3"/>
                <c:pt idx="0">
                  <c:v>LINEA DE TRANSMISION</c:v>
                </c:pt>
                <c:pt idx="1">
                  <c:v>TRANSFORMADOR 3D</c:v>
                </c:pt>
                <c:pt idx="2">
                  <c:v>CELDA</c:v>
                </c:pt>
              </c:strCache>
            </c:strRef>
          </c:cat>
          <c:val>
            <c:numRef>
              <c:f>'17. Eventos'!$F$7:$F$11</c:f>
              <c:numCache>
                <c:formatCode>General</c:formatCode>
                <c:ptCount val="3"/>
                <c:pt idx="0">
                  <c:v>6</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3"/>
                <c:pt idx="0">
                  <c:v>LINEA DE TRANSMISION</c:v>
                </c:pt>
                <c:pt idx="1">
                  <c:v>TRANSFORMADOR 3D</c:v>
                </c:pt>
                <c:pt idx="2">
                  <c:v>CELDA</c:v>
                </c:pt>
              </c:strCache>
            </c:strRef>
          </c:cat>
          <c:val>
            <c:numRef>
              <c:f>'17. Eventos'!$G$7:$G$11</c:f>
              <c:numCache>
                <c:formatCode>General</c:formatCode>
                <c:ptCount val="3"/>
                <c:pt idx="0">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3"/>
                <c:pt idx="0">
                  <c:v>LINEA DE TRANSMISION</c:v>
                </c:pt>
                <c:pt idx="1">
                  <c:v>TRANSFORMADOR 3D</c:v>
                </c:pt>
                <c:pt idx="2">
                  <c:v>CELDA</c:v>
                </c:pt>
              </c:strCache>
            </c:strRef>
          </c:cat>
          <c:val>
            <c:numRef>
              <c:f>'17. Eventos'!$H$7:$H$11</c:f>
              <c:numCache>
                <c:formatCode>General</c:formatCode>
                <c:ptCount val="3"/>
                <c:pt idx="1">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generación'!$B$22:$C$22</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generación'!$D$21:$E$21</c:f>
              <c:strCache>
                <c:ptCount val="2"/>
                <c:pt idx="0">
                  <c:v>ENERO 2021</c:v>
                </c:pt>
                <c:pt idx="1">
                  <c:v>ENERO 2020</c:v>
                </c:pt>
              </c:strCache>
            </c:strRef>
          </c:cat>
          <c:val>
            <c:numRef>
              <c:f>'2. Oferta de generación'!$D$22:$E$22</c:f>
              <c:numCache>
                <c:formatCode>#,##0.0</c:formatCode>
                <c:ptCount val="2"/>
                <c:pt idx="0">
                  <c:v>5180.2582474999972</c:v>
                </c:pt>
                <c:pt idx="1">
                  <c:v>5163.1192474999998</c:v>
                </c:pt>
              </c:numCache>
            </c:numRef>
          </c:val>
          <c:extLst>
            <c:ext xmlns:c16="http://schemas.microsoft.com/office/drawing/2014/chart" uri="{C3380CC4-5D6E-409C-BE32-E72D297353CC}">
              <c16:uniqueId val="{00000004-54B0-402D-913D-0304413B844F}"/>
            </c:ext>
          </c:extLst>
        </c:ser>
        <c:ser>
          <c:idx val="1"/>
          <c:order val="1"/>
          <c:tx>
            <c:strRef>
              <c:f>'2. Oferta de generación'!$B$23:$C$23</c:f>
              <c:strCache>
                <c:ptCount val="2"/>
                <c:pt idx="0">
                  <c:v>TERMOELÉCTRICA</c:v>
                </c:pt>
              </c:strCache>
            </c:strRef>
          </c:tx>
          <c:spPr>
            <a:solidFill>
              <a:schemeClr val="accent2"/>
            </a:solidFill>
          </c:spPr>
          <c:invertIfNegative val="0"/>
          <c:cat>
            <c:strRef>
              <c:f>'2. Oferta de generación'!$D$21:$E$21</c:f>
              <c:strCache>
                <c:ptCount val="2"/>
                <c:pt idx="0">
                  <c:v>ENERO 2021</c:v>
                </c:pt>
                <c:pt idx="1">
                  <c:v>ENERO 2020</c:v>
                </c:pt>
              </c:strCache>
            </c:strRef>
          </c:cat>
          <c:val>
            <c:numRef>
              <c:f>'2. Oferta de generación'!$D$23:$E$23</c:f>
              <c:numCache>
                <c:formatCode>#,##0.0</c:formatCode>
                <c:ptCount val="2"/>
                <c:pt idx="0">
                  <c:v>7509.2744999999986</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generación'!$B$24:$C$24</c:f>
              <c:strCache>
                <c:ptCount val="2"/>
                <c:pt idx="0">
                  <c:v>EÓLICA</c:v>
                </c:pt>
              </c:strCache>
            </c:strRef>
          </c:tx>
          <c:spPr>
            <a:solidFill>
              <a:srgbClr val="6DA6D9"/>
            </a:solidFill>
          </c:spPr>
          <c:invertIfNegative val="0"/>
          <c:cat>
            <c:strRef>
              <c:f>'2. Oferta de generación'!$D$21:$E$21</c:f>
              <c:strCache>
                <c:ptCount val="2"/>
                <c:pt idx="0">
                  <c:v>ENERO 2021</c:v>
                </c:pt>
                <c:pt idx="1">
                  <c:v>ENERO 2020</c:v>
                </c:pt>
              </c:strCache>
            </c:strRef>
          </c:cat>
          <c:val>
            <c:numRef>
              <c:f>'2. Oferta de generación'!$D$24:$E$24</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generación'!$B$25:$C$25</c:f>
              <c:strCache>
                <c:ptCount val="2"/>
                <c:pt idx="0">
                  <c:v>SOLAR</c:v>
                </c:pt>
              </c:strCache>
            </c:strRef>
          </c:tx>
          <c:invertIfNegative val="0"/>
          <c:cat>
            <c:strRef>
              <c:f>'2. Oferta de generación'!$D$21:$E$21</c:f>
              <c:strCache>
                <c:ptCount val="2"/>
                <c:pt idx="0">
                  <c:v>ENERO 2021</c:v>
                </c:pt>
                <c:pt idx="1">
                  <c:v>ENERO 2020</c:v>
                </c:pt>
              </c:strCache>
            </c:strRef>
          </c:cat>
          <c:val>
            <c:numRef>
              <c:f>'2. Oferta de generación'!$D$25:$E$25</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2780.5065075125008</c:v>
                </c:pt>
                <c:pt idx="1">
                  <c:v>1550.1730163299997</c:v>
                </c:pt>
                <c:pt idx="2">
                  <c:v>110.11578868249998</c:v>
                </c:pt>
                <c:pt idx="3">
                  <c:v>56.281983437499996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3224.7240291725007</c:v>
                </c:pt>
                <c:pt idx="1">
                  <c:v>1208.5929303574999</c:v>
                </c:pt>
                <c:pt idx="2">
                  <c:v>112.79455227750002</c:v>
                </c:pt>
                <c:pt idx="3">
                  <c:v>57.710546254999997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3326.6138492225004</c:v>
                </c:pt>
                <c:pt idx="1">
                  <c:v>998.81216059250016</c:v>
                </c:pt>
                <c:pt idx="2">
                  <c:v>159.07100367750002</c:v>
                </c:pt>
                <c:pt idx="3">
                  <c:v>72.941591460000012</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3326.6138492225004</c:v>
                </c:pt>
                <c:pt idx="1">
                  <c:v>914.4995555700001</c:v>
                </c:pt>
                <c:pt idx="2">
                  <c:v>52.232017740000003</c:v>
                </c:pt>
                <c:pt idx="3">
                  <c:v>4.4965459074999998</c:v>
                </c:pt>
                <c:pt idx="4">
                  <c:v>0</c:v>
                </c:pt>
                <c:pt idx="5">
                  <c:v>0</c:v>
                </c:pt>
                <c:pt idx="6">
                  <c:v>0.54484955000000002</c:v>
                </c:pt>
                <c:pt idx="7">
                  <c:v>0</c:v>
                </c:pt>
                <c:pt idx="8">
                  <c:v>0.74413241000000008</c:v>
                </c:pt>
                <c:pt idx="9">
                  <c:v>18.501906552499999</c:v>
                </c:pt>
                <c:pt idx="10">
                  <c:v>7.7931528624999995</c:v>
                </c:pt>
                <c:pt idx="11">
                  <c:v>72.941591460000012</c:v>
                </c:pt>
                <c:pt idx="12">
                  <c:v>159.07100367750002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3224.7240291725007</c:v>
                </c:pt>
                <c:pt idx="1">
                  <c:v>1121.8780219674998</c:v>
                </c:pt>
                <c:pt idx="2">
                  <c:v>54.747452270000004</c:v>
                </c:pt>
                <c:pt idx="3">
                  <c:v>7.2127218224999998</c:v>
                </c:pt>
                <c:pt idx="4">
                  <c:v>0</c:v>
                </c:pt>
                <c:pt idx="5">
                  <c:v>0</c:v>
                </c:pt>
                <c:pt idx="6">
                  <c:v>0</c:v>
                </c:pt>
                <c:pt idx="7">
                  <c:v>0</c:v>
                </c:pt>
                <c:pt idx="8">
                  <c:v>0.72036455499999996</c:v>
                </c:pt>
                <c:pt idx="9">
                  <c:v>18.995276042500002</c:v>
                </c:pt>
                <c:pt idx="10">
                  <c:v>5.0390936999999996</c:v>
                </c:pt>
                <c:pt idx="11">
                  <c:v>57.710546254999997</c:v>
                </c:pt>
                <c:pt idx="12">
                  <c:v>112.79455227750002</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2780.5065075125008</c:v>
                </c:pt>
                <c:pt idx="1">
                  <c:v>1448.6344844124999</c:v>
                </c:pt>
                <c:pt idx="2">
                  <c:v>55.561611380000002</c:v>
                </c:pt>
                <c:pt idx="3">
                  <c:v>21.820522857499999</c:v>
                </c:pt>
                <c:pt idx="4">
                  <c:v>0</c:v>
                </c:pt>
                <c:pt idx="5">
                  <c:v>4.0722708399999998</c:v>
                </c:pt>
                <c:pt idx="6">
                  <c:v>5.8344011274999996</c:v>
                </c:pt>
                <c:pt idx="7">
                  <c:v>0</c:v>
                </c:pt>
                <c:pt idx="8">
                  <c:v>1.3454662900000001</c:v>
                </c:pt>
                <c:pt idx="9">
                  <c:v>7.1550470475000001</c:v>
                </c:pt>
                <c:pt idx="10">
                  <c:v>5.7492123750000008</c:v>
                </c:pt>
                <c:pt idx="11">
                  <c:v>56.281983437499996</c:v>
                </c:pt>
                <c:pt idx="12">
                  <c:v>110.11578868249998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148.2323815675</c:v>
                </c:pt>
                <c:pt idx="1">
                  <c:v>110.11578868249998</c:v>
                </c:pt>
                <c:pt idx="2">
                  <c:v>56.281983437499996</c:v>
                </c:pt>
                <c:pt idx="3">
                  <c:v>7.1550470475000001</c:v>
                </c:pt>
                <c:pt idx="4">
                  <c:v>5.7492123750000008</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231.14771608749996</c:v>
                </c:pt>
                <c:pt idx="1">
                  <c:v>112.79455227750002</c:v>
                </c:pt>
                <c:pt idx="2">
                  <c:v>57.710546254999997</c:v>
                </c:pt>
                <c:pt idx="3">
                  <c:v>18.995276042500002</c:v>
                </c:pt>
                <c:pt idx="4">
                  <c:v>5.0390936999999996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253.52640172749997</c:v>
                </c:pt>
                <c:pt idx="1">
                  <c:v>159.07100367750002</c:v>
                </c:pt>
                <c:pt idx="2">
                  <c:v>72.941591460000012</c:v>
                </c:pt>
                <c:pt idx="3">
                  <c:v>18.501906552499999</c:v>
                </c:pt>
                <c:pt idx="4">
                  <c:v>7.7931528624999995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285453272601959E-2"/>
                  <c:y val="-2.117473078470576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11,231%</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4045.608604952502</c:v>
                </c:pt>
                <c:pt idx="1">
                  <c:v>253.52640172749997</c:v>
                </c:pt>
                <c:pt idx="2">
                  <c:v>159.07100367750002</c:v>
                </c:pt>
                <c:pt idx="3">
                  <c:v>72.941591460000012</c:v>
                </c:pt>
                <c:pt idx="4">
                  <c:v>18.501906552499999</c:v>
                </c:pt>
                <c:pt idx="5">
                  <c:v>7.7931528624999995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RUNATULLO III</c:v>
                </c:pt>
                <c:pt idx="1">
                  <c:v>C.H. CHANCAY</c:v>
                </c:pt>
                <c:pt idx="2">
                  <c:v>C.H. POTRERO</c:v>
                </c:pt>
                <c:pt idx="3">
                  <c:v>C.H. RENOVANDES H1</c:v>
                </c:pt>
                <c:pt idx="4">
                  <c:v>C.H. RUCUY</c:v>
                </c:pt>
                <c:pt idx="5">
                  <c:v>C.H. ÁNGEL I</c:v>
                </c:pt>
                <c:pt idx="6">
                  <c:v>C.H. ÁNGEL II</c:v>
                </c:pt>
                <c:pt idx="7">
                  <c:v>C.H. CARHUAC</c:v>
                </c:pt>
                <c:pt idx="8">
                  <c:v>C.H. ÁNGEL III</c:v>
                </c:pt>
                <c:pt idx="9">
                  <c:v>C.H. LAS PIZARRAS</c:v>
                </c:pt>
                <c:pt idx="10">
                  <c:v>C.H. RUNATULLO II</c:v>
                </c:pt>
                <c:pt idx="11">
                  <c:v>C.H. YARUCAYA</c:v>
                </c:pt>
                <c:pt idx="12">
                  <c:v>C.H. 8 DE AGOSTO</c:v>
                </c:pt>
                <c:pt idx="13">
                  <c:v>C.H. ZAÑA</c:v>
                </c:pt>
                <c:pt idx="14">
                  <c:v>C.H. MANTA I</c:v>
                </c:pt>
                <c:pt idx="15">
                  <c:v>C.H. HUASAHUASI II</c:v>
                </c:pt>
                <c:pt idx="16">
                  <c:v>C.H. CARHUAQUERO IV</c:v>
                </c:pt>
                <c:pt idx="17">
                  <c:v>C.H. HUASAHUASI I</c:v>
                </c:pt>
                <c:pt idx="18">
                  <c:v>C.H. EL CARMEN</c:v>
                </c:pt>
                <c:pt idx="19">
                  <c:v>C.H. LA JOYA</c:v>
                </c:pt>
                <c:pt idx="20">
                  <c:v>C.H. SANTA CRUZ II</c:v>
                </c:pt>
                <c:pt idx="21">
                  <c:v>C.H. SANTA CRUZ I</c:v>
                </c:pt>
                <c:pt idx="22">
                  <c:v>C.H. CAÑA BRAVA</c:v>
                </c:pt>
                <c:pt idx="23">
                  <c:v>C.H. POECHOS II</c:v>
                </c:pt>
                <c:pt idx="24">
                  <c:v>C.H. YANAPAMPA</c:v>
                </c:pt>
                <c:pt idx="25">
                  <c:v>C.H. IMPERIAL</c:v>
                </c:pt>
                <c:pt idx="26">
                  <c:v>C.H. CANCHAYLLO</c:v>
                </c:pt>
                <c:pt idx="27">
                  <c:v>C.H. RONCADOR</c:v>
                </c:pt>
                <c:pt idx="28">
                  <c:v>C.H. HER 1</c:v>
                </c:pt>
                <c:pt idx="29">
                  <c:v>C.H. PURMACANA</c:v>
                </c:pt>
              </c:strCache>
            </c:strRef>
          </c:cat>
          <c:val>
            <c:numRef>
              <c:f>'6. FP RER'!$O$6:$O$35</c:f>
              <c:numCache>
                <c:formatCode>0.00</c:formatCode>
                <c:ptCount val="30"/>
                <c:pt idx="0">
                  <c:v>14.91406769</c:v>
                </c:pt>
                <c:pt idx="1">
                  <c:v>14.752021639999999</c:v>
                </c:pt>
                <c:pt idx="2">
                  <c:v>14.7377346675</c:v>
                </c:pt>
                <c:pt idx="3">
                  <c:v>14.708457537500001</c:v>
                </c:pt>
                <c:pt idx="4">
                  <c:v>14.5984904125</c:v>
                </c:pt>
                <c:pt idx="5">
                  <c:v>13.93468485</c:v>
                </c:pt>
                <c:pt idx="6">
                  <c:v>13.7997576975</c:v>
                </c:pt>
                <c:pt idx="7">
                  <c:v>13.7000935225</c:v>
                </c:pt>
                <c:pt idx="8">
                  <c:v>13.686861765</c:v>
                </c:pt>
                <c:pt idx="9">
                  <c:v>13.499859320000001</c:v>
                </c:pt>
                <c:pt idx="10">
                  <c:v>12.885078885</c:v>
                </c:pt>
                <c:pt idx="11">
                  <c:v>11.941666740000001</c:v>
                </c:pt>
                <c:pt idx="12">
                  <c:v>11.514567</c:v>
                </c:pt>
                <c:pt idx="13">
                  <c:v>8.8754785550000008</c:v>
                </c:pt>
                <c:pt idx="14">
                  <c:v>7.6662428975000001</c:v>
                </c:pt>
                <c:pt idx="15">
                  <c:v>7.289469725</c:v>
                </c:pt>
                <c:pt idx="16">
                  <c:v>7.1262525699999992</c:v>
                </c:pt>
                <c:pt idx="17">
                  <c:v>7.0738326699999998</c:v>
                </c:pt>
                <c:pt idx="18">
                  <c:v>6.0744195100000002</c:v>
                </c:pt>
                <c:pt idx="19">
                  <c:v>4.9378227325000008</c:v>
                </c:pt>
                <c:pt idx="20">
                  <c:v>4.9196278475000002</c:v>
                </c:pt>
                <c:pt idx="21">
                  <c:v>4.7979605425000003</c:v>
                </c:pt>
                <c:pt idx="22">
                  <c:v>4.0815392350000002</c:v>
                </c:pt>
                <c:pt idx="23">
                  <c:v>2.9099305749999997</c:v>
                </c:pt>
                <c:pt idx="24">
                  <c:v>2.5933447125000004</c:v>
                </c:pt>
                <c:pt idx="25">
                  <c:v>2.3660000000000001</c:v>
                </c:pt>
                <c:pt idx="26">
                  <c:v>1.8618538750000002</c:v>
                </c:pt>
                <c:pt idx="27">
                  <c:v>1.8515024325000002</c:v>
                </c:pt>
                <c:pt idx="28">
                  <c:v>0.23597951749999999</c:v>
                </c:pt>
                <c:pt idx="29">
                  <c:v>0.1918026025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RUNATULLO III</c:v>
                </c:pt>
                <c:pt idx="1">
                  <c:v>C.H. CHANCAY</c:v>
                </c:pt>
                <c:pt idx="2">
                  <c:v>C.H. POTRERO</c:v>
                </c:pt>
                <c:pt idx="3">
                  <c:v>C.H. RENOVANDES H1</c:v>
                </c:pt>
                <c:pt idx="4">
                  <c:v>C.H. RUCUY</c:v>
                </c:pt>
                <c:pt idx="5">
                  <c:v>C.H. ÁNGEL I</c:v>
                </c:pt>
                <c:pt idx="6">
                  <c:v>C.H. ÁNGEL II</c:v>
                </c:pt>
                <c:pt idx="7">
                  <c:v>C.H. CARHUAC</c:v>
                </c:pt>
                <c:pt idx="8">
                  <c:v>C.H. ÁNGEL III</c:v>
                </c:pt>
                <c:pt idx="9">
                  <c:v>C.H. LAS PIZARRAS</c:v>
                </c:pt>
                <c:pt idx="10">
                  <c:v>C.H. RUNATULLO II</c:v>
                </c:pt>
                <c:pt idx="11">
                  <c:v>C.H. YARUCAYA</c:v>
                </c:pt>
                <c:pt idx="12">
                  <c:v>C.H. 8 DE AGOSTO</c:v>
                </c:pt>
                <c:pt idx="13">
                  <c:v>C.H. ZAÑA</c:v>
                </c:pt>
                <c:pt idx="14">
                  <c:v>C.H. MANTA I</c:v>
                </c:pt>
                <c:pt idx="15">
                  <c:v>C.H. HUASAHUASI II</c:v>
                </c:pt>
                <c:pt idx="16">
                  <c:v>C.H. CARHUAQUERO IV</c:v>
                </c:pt>
                <c:pt idx="17">
                  <c:v>C.H. HUASAHUASI I</c:v>
                </c:pt>
                <c:pt idx="18">
                  <c:v>C.H. EL CARMEN</c:v>
                </c:pt>
                <c:pt idx="19">
                  <c:v>C.H. LA JOYA</c:v>
                </c:pt>
                <c:pt idx="20">
                  <c:v>C.H. SANTA CRUZ II</c:v>
                </c:pt>
                <c:pt idx="21">
                  <c:v>C.H. SANTA CRUZ I</c:v>
                </c:pt>
                <c:pt idx="22">
                  <c:v>C.H. CAÑA BRAVA</c:v>
                </c:pt>
                <c:pt idx="23">
                  <c:v>C.H. POECHOS II</c:v>
                </c:pt>
                <c:pt idx="24">
                  <c:v>C.H. YANAPAMPA</c:v>
                </c:pt>
                <c:pt idx="25">
                  <c:v>C.H. IMPERIAL</c:v>
                </c:pt>
                <c:pt idx="26">
                  <c:v>C.H. CANCHAYLLO</c:v>
                </c:pt>
                <c:pt idx="27">
                  <c:v>C.H. RONCADOR</c:v>
                </c:pt>
                <c:pt idx="28">
                  <c:v>C.H. HER 1</c:v>
                </c:pt>
                <c:pt idx="29">
                  <c:v>C.H. PURMACANA</c:v>
                </c:pt>
              </c:strCache>
            </c:strRef>
          </c:cat>
          <c:val>
            <c:numRef>
              <c:f>'6. FP RER'!$P$6:$P$35</c:f>
              <c:numCache>
                <c:formatCode>0.00</c:formatCode>
                <c:ptCount val="30"/>
                <c:pt idx="0">
                  <c:v>1</c:v>
                </c:pt>
                <c:pt idx="1">
                  <c:v>0.99139930376344076</c:v>
                </c:pt>
                <c:pt idx="2">
                  <c:v>0.99541623895688103</c:v>
                </c:pt>
                <c:pt idx="3">
                  <c:v>1</c:v>
                </c:pt>
                <c:pt idx="4">
                  <c:v>0.98108134492607535</c:v>
                </c:pt>
                <c:pt idx="5">
                  <c:v>0.92903844846070138</c:v>
                </c:pt>
                <c:pt idx="6">
                  <c:v>0.92004272923467101</c:v>
                </c:pt>
                <c:pt idx="7">
                  <c:v>0.92070520984543003</c:v>
                </c:pt>
                <c:pt idx="8">
                  <c:v>0.91251585201452889</c:v>
                </c:pt>
                <c:pt idx="9">
                  <c:v>0.9450752469752377</c:v>
                </c:pt>
                <c:pt idx="10">
                  <c:v>0.86736387115353253</c:v>
                </c:pt>
                <c:pt idx="11">
                  <c:v>1</c:v>
                </c:pt>
                <c:pt idx="12">
                  <c:v>0.81455623938879451</c:v>
                </c:pt>
                <c:pt idx="13">
                  <c:v>0.90374292878380602</c:v>
                </c:pt>
                <c:pt idx="14">
                  <c:v>0.51520449579973115</c:v>
                </c:pt>
                <c:pt idx="15">
                  <c:v>0.95848898078254163</c:v>
                </c:pt>
                <c:pt idx="16">
                  <c:v>0.95946072974594432</c:v>
                </c:pt>
                <c:pt idx="17">
                  <c:v>0.96526290459036079</c:v>
                </c:pt>
                <c:pt idx="18">
                  <c:v>0.97196932763696886</c:v>
                </c:pt>
                <c:pt idx="19">
                  <c:v>0.85692169288892606</c:v>
                </c:pt>
                <c:pt idx="20">
                  <c:v>0.89067928621138648</c:v>
                </c:pt>
                <c:pt idx="21">
                  <c:v>0.9268283554050879</c:v>
                </c:pt>
                <c:pt idx="22">
                  <c:v>0.96753788923972628</c:v>
                </c:pt>
                <c:pt idx="23">
                  <c:v>0.40886441662226652</c:v>
                </c:pt>
                <c:pt idx="24">
                  <c:v>0.89006421438485916</c:v>
                </c:pt>
                <c:pt idx="25">
                  <c:v>0.80224710567147339</c:v>
                </c:pt>
                <c:pt idx="26">
                  <c:v>0.4822686003995218</c:v>
                </c:pt>
                <c:pt idx="27">
                  <c:v>0.71510877537541717</c:v>
                </c:pt>
                <c:pt idx="28">
                  <c:v>0.45310967261904761</c:v>
                </c:pt>
                <c:pt idx="29">
                  <c:v>0.15040793285215998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53.747506489999999</c:v>
                </c:pt>
                <c:pt idx="1">
                  <c:v>45.996032740000004</c:v>
                </c:pt>
                <c:pt idx="2">
                  <c:v>31.247104377500001</c:v>
                </c:pt>
                <c:pt idx="3">
                  <c:v>16.229013415000001</c:v>
                </c:pt>
                <c:pt idx="4">
                  <c:v>9.6752359300000013</c:v>
                </c:pt>
                <c:pt idx="5">
                  <c:v>1.19080147</c:v>
                </c:pt>
                <c:pt idx="6">
                  <c:v>0.98530925499999999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0.54604136178366203</c:v>
                </c:pt>
                <c:pt idx="1">
                  <c:v>0.6363625800364141</c:v>
                </c:pt>
                <c:pt idx="2">
                  <c:v>0.50509676736400722</c:v>
                </c:pt>
                <c:pt idx="3">
                  <c:v>0.68166218981014792</c:v>
                </c:pt>
                <c:pt idx="4">
                  <c:v>0.42139822969149615</c:v>
                </c:pt>
                <c:pt idx="5">
                  <c:v>8.7127904747689375E-2</c:v>
                </c:pt>
                <c:pt idx="6">
                  <c:v>7.2092563772747753E-2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09 de febrero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Enero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INFSGI-MES-01-2021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106680</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(7,19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(7,41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(7,28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(7,57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(7,12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(7,34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(7,36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(7,19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(7,43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(5,13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(7,18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(7,14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(6,76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(7,64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(6,89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(7,14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(7,18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(7,41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123977</xdr:colOff>
      <xdr:row>24</xdr:row>
      <xdr:rowOff>101712</xdr:rowOff>
    </xdr:from>
    <xdr:to>
      <xdr:col>7</xdr:col>
      <xdr:colOff>428045</xdr:colOff>
      <xdr:row>50</xdr:row>
      <xdr:rowOff>132522</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41932</xdr:colOff>
      <xdr:row>17</xdr:row>
      <xdr:rowOff>62670</xdr:rowOff>
    </xdr:from>
    <xdr:to>
      <xdr:col>3</xdr:col>
      <xdr:colOff>153604</xdr:colOff>
      <xdr:row>32</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37</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16</xdr:row>
      <xdr:rowOff>54428</xdr:rowOff>
    </xdr:from>
    <xdr:to>
      <xdr:col>9</xdr:col>
      <xdr:colOff>571499</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28</xdr:row>
      <xdr:rowOff>43543</xdr:rowOff>
    </xdr:from>
    <xdr:to>
      <xdr:col>9</xdr:col>
      <xdr:colOff>581525</xdr:colOff>
      <xdr:row>40</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26277</xdr:rowOff>
    </xdr:from>
    <xdr:to>
      <xdr:col>9</xdr:col>
      <xdr:colOff>479534</xdr:colOff>
      <xdr:row>65</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S20" sqref="S20"/>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81"/>
    </row>
    <row r="12" spans="9:9" ht="15.6">
      <c r="I12" s="381"/>
    </row>
    <row r="13" spans="9:9" ht="15.6">
      <c r="I13" s="381"/>
    </row>
    <row r="14" spans="9:9" ht="15.6">
      <c r="I14" s="381"/>
    </row>
    <row r="15" spans="9:9" ht="15.6">
      <c r="I15" s="381"/>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S15" sqref="S15"/>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66" t="s">
        <v>244</v>
      </c>
      <c r="B2" s="866"/>
      <c r="C2" s="866"/>
      <c r="D2" s="866"/>
      <c r="E2" s="866"/>
      <c r="F2" s="866"/>
      <c r="G2" s="866"/>
      <c r="H2" s="866"/>
      <c r="I2" s="866"/>
      <c r="J2" s="866"/>
      <c r="K2" s="866"/>
    </row>
    <row r="3" spans="1:12" ht="11.25" customHeight="1">
      <c r="A3" s="17"/>
      <c r="B3" s="17"/>
      <c r="C3" s="17"/>
      <c r="D3" s="17"/>
      <c r="E3" s="17"/>
      <c r="F3" s="17"/>
      <c r="G3" s="17"/>
      <c r="H3" s="17"/>
      <c r="I3" s="17"/>
      <c r="J3" s="17"/>
      <c r="K3" s="17"/>
      <c r="L3" s="36"/>
    </row>
    <row r="4" spans="1:12" ht="11.25" customHeight="1">
      <c r="A4" s="867" t="s">
        <v>380</v>
      </c>
      <c r="B4" s="867"/>
      <c r="C4" s="867"/>
      <c r="D4" s="867"/>
      <c r="E4" s="867"/>
      <c r="F4" s="867"/>
      <c r="G4" s="867"/>
      <c r="H4" s="867"/>
      <c r="I4" s="867"/>
      <c r="J4" s="867"/>
      <c r="K4" s="867"/>
      <c r="L4" s="36"/>
    </row>
    <row r="5" spans="1:12" ht="11.25" customHeight="1">
      <c r="A5" s="17"/>
      <c r="B5" s="67"/>
      <c r="C5" s="68"/>
      <c r="D5" s="69"/>
      <c r="E5" s="69"/>
      <c r="F5" s="69"/>
      <c r="G5" s="69"/>
      <c r="H5" s="70"/>
      <c r="I5" s="66"/>
      <c r="J5" s="66"/>
      <c r="K5" s="71"/>
      <c r="L5" s="8"/>
    </row>
    <row r="6" spans="1:12" ht="12.75" customHeight="1">
      <c r="A6" s="873" t="s">
        <v>212</v>
      </c>
      <c r="B6" s="868" t="s">
        <v>247</v>
      </c>
      <c r="C6" s="869"/>
      <c r="D6" s="869"/>
      <c r="E6" s="869" t="s">
        <v>34</v>
      </c>
      <c r="F6" s="869"/>
      <c r="G6" s="870" t="s">
        <v>246</v>
      </c>
      <c r="H6" s="870"/>
      <c r="I6" s="870"/>
      <c r="J6" s="870"/>
      <c r="K6" s="870"/>
      <c r="L6" s="15"/>
    </row>
    <row r="7" spans="1:12" ht="12.75" customHeight="1">
      <c r="A7" s="873"/>
      <c r="B7" s="479">
        <v>44163.854166666664</v>
      </c>
      <c r="C7" s="479">
        <v>44182.8125</v>
      </c>
      <c r="D7" s="479">
        <v>44204.822916666664</v>
      </c>
      <c r="E7" s="479">
        <v>43854.8125</v>
      </c>
      <c r="F7" s="871" t="s">
        <v>120</v>
      </c>
      <c r="G7" s="649">
        <v>2021</v>
      </c>
      <c r="H7" s="649">
        <v>2020</v>
      </c>
      <c r="I7" s="871" t="s">
        <v>611</v>
      </c>
      <c r="J7" s="649">
        <v>2019</v>
      </c>
      <c r="K7" s="871" t="s">
        <v>459</v>
      </c>
      <c r="L7" s="13"/>
    </row>
    <row r="8" spans="1:12" ht="12.75" customHeight="1">
      <c r="A8" s="873"/>
      <c r="B8" s="480">
        <v>44163.854166666664</v>
      </c>
      <c r="C8" s="480">
        <v>44182.8125</v>
      </c>
      <c r="D8" s="480">
        <v>44204.822916666664</v>
      </c>
      <c r="E8" s="480">
        <v>43854.8125</v>
      </c>
      <c r="F8" s="872"/>
      <c r="G8" s="481">
        <v>44204.822916666664</v>
      </c>
      <c r="H8" s="481">
        <v>43854.8125</v>
      </c>
      <c r="I8" s="872"/>
      <c r="J8" s="481">
        <v>43494.833333333336</v>
      </c>
      <c r="K8" s="872"/>
      <c r="L8" s="14"/>
    </row>
    <row r="9" spans="1:12" ht="12.75" customHeight="1">
      <c r="A9" s="873"/>
      <c r="B9" s="482">
        <v>44163.854166666664</v>
      </c>
      <c r="C9" s="482">
        <v>44182.8125</v>
      </c>
      <c r="D9" s="482">
        <v>44204.822916666664</v>
      </c>
      <c r="E9" s="482">
        <v>43854.8125</v>
      </c>
      <c r="F9" s="872"/>
      <c r="G9" s="483">
        <v>44204.822916666664</v>
      </c>
      <c r="H9" s="483">
        <v>43854.8125</v>
      </c>
      <c r="I9" s="872"/>
      <c r="J9" s="483">
        <v>43494.833333333336</v>
      </c>
      <c r="K9" s="872"/>
      <c r="L9" s="14"/>
    </row>
    <row r="10" spans="1:12" ht="12.75" customHeight="1">
      <c r="A10" s="484" t="s">
        <v>36</v>
      </c>
      <c r="B10" s="485">
        <v>2832.9457099999981</v>
      </c>
      <c r="C10" s="486">
        <v>3929.5563500000007</v>
      </c>
      <c r="D10" s="487">
        <v>4594.55105</v>
      </c>
      <c r="E10" s="485">
        <v>4614.2048799999993</v>
      </c>
      <c r="F10" s="488">
        <f>+IF(E10=0,"",D10/E10-1)</f>
        <v>-4.2594185804769591E-3</v>
      </c>
      <c r="G10" s="485">
        <v>4594.55105</v>
      </c>
      <c r="H10" s="486">
        <v>4614.2048799999993</v>
      </c>
      <c r="I10" s="488">
        <f>+IF(H10=0,"",G10/H10-1)</f>
        <v>-4.2594185804769591E-3</v>
      </c>
      <c r="J10" s="485">
        <v>4587.9101300000002</v>
      </c>
      <c r="K10" s="488">
        <f t="shared" ref="K10:K18" si="0">+IF(J10=0,"",H10/J10-1)</f>
        <v>5.7313132243066445E-3</v>
      </c>
      <c r="L10" s="14"/>
    </row>
    <row r="11" spans="1:12" ht="12.75" customHeight="1">
      <c r="A11" s="489" t="s">
        <v>37</v>
      </c>
      <c r="B11" s="490">
        <v>3762.088909999999</v>
      </c>
      <c r="C11" s="491">
        <v>2718.4168500000001</v>
      </c>
      <c r="D11" s="492">
        <v>2012.4400399999995</v>
      </c>
      <c r="E11" s="490">
        <v>2307.6013599999997</v>
      </c>
      <c r="F11" s="493">
        <f>+IF(E11=0,"",D11/E11-1)</f>
        <v>-0.12790827961723861</v>
      </c>
      <c r="G11" s="490">
        <v>2012.4400399999995</v>
      </c>
      <c r="H11" s="491">
        <v>2307.6013599999997</v>
      </c>
      <c r="I11" s="493">
        <f>+IF(H11=0,"",G11/H11-1)</f>
        <v>-0.12790827961723861</v>
      </c>
      <c r="J11" s="490">
        <v>2159.8880899999999</v>
      </c>
      <c r="K11" s="493">
        <f>+IF(J11=0,"",H11/J11-1)</f>
        <v>6.8389316411296086E-2</v>
      </c>
      <c r="L11" s="14"/>
    </row>
    <row r="12" spans="1:12" ht="12.75" customHeight="1">
      <c r="A12" s="494" t="s">
        <v>38</v>
      </c>
      <c r="B12" s="495">
        <v>241.56771000000001</v>
      </c>
      <c r="C12" s="496">
        <v>312.12267000000003</v>
      </c>
      <c r="D12" s="497">
        <v>302.64609999999999</v>
      </c>
      <c r="E12" s="495">
        <v>148.82196999999999</v>
      </c>
      <c r="F12" s="498">
        <f>+IF(E12=0,"",D12/E12-1)</f>
        <v>1.0336117039708586</v>
      </c>
      <c r="G12" s="495">
        <v>302.64609999999999</v>
      </c>
      <c r="H12" s="496">
        <v>148.82196999999999</v>
      </c>
      <c r="I12" s="498">
        <f>+IF(H12=0,"",G12/H12-1)</f>
        <v>1.0336117039708586</v>
      </c>
      <c r="J12" s="495">
        <v>128.49421999999998</v>
      </c>
      <c r="K12" s="498">
        <f>+IF(J12=0,"",H12/J12-1)</f>
        <v>0.15819972291360673</v>
      </c>
      <c r="L12" s="13"/>
    </row>
    <row r="13" spans="1:12" ht="12.75" customHeight="1">
      <c r="A13" s="499" t="s">
        <v>30</v>
      </c>
      <c r="B13" s="500">
        <v>0</v>
      </c>
      <c r="C13" s="501">
        <v>0</v>
      </c>
      <c r="D13" s="502">
        <v>0</v>
      </c>
      <c r="E13" s="500">
        <v>0</v>
      </c>
      <c r="F13" s="503" t="str">
        <f>+IF(E13=0,"",D13/E13-1)</f>
        <v/>
      </c>
      <c r="G13" s="500">
        <v>0</v>
      </c>
      <c r="H13" s="501">
        <v>0</v>
      </c>
      <c r="I13" s="503" t="str">
        <f>+IF(H13=0,"",G13/H13-1)</f>
        <v/>
      </c>
      <c r="J13" s="500">
        <v>0</v>
      </c>
      <c r="K13" s="503" t="str">
        <f t="shared" si="0"/>
        <v/>
      </c>
      <c r="L13" s="14"/>
    </row>
    <row r="14" spans="1:12" ht="12.75" customHeight="1">
      <c r="A14" s="504" t="s">
        <v>42</v>
      </c>
      <c r="B14" s="475">
        <f>+SUM(B10:B13)</f>
        <v>6836.602329999997</v>
      </c>
      <c r="C14" s="476">
        <f t="shared" ref="C14:J14" si="1">+SUM(C10:C13)</f>
        <v>6960.0958700000001</v>
      </c>
      <c r="D14" s="477">
        <f t="shared" si="1"/>
        <v>6909.6371899999995</v>
      </c>
      <c r="E14" s="475">
        <f t="shared" si="1"/>
        <v>7070.6282099999989</v>
      </c>
      <c r="F14" s="531">
        <f>+IF(E14=0,"",D14/E14-1)</f>
        <v>-2.2768983917484165E-2</v>
      </c>
      <c r="G14" s="528">
        <f t="shared" si="1"/>
        <v>6909.6371899999995</v>
      </c>
      <c r="H14" s="476">
        <f t="shared" si="1"/>
        <v>7070.6282099999989</v>
      </c>
      <c r="I14" s="531">
        <f>+IF(H14=0,"",G14/H14-1)</f>
        <v>-2.2768983917484165E-2</v>
      </c>
      <c r="J14" s="475">
        <f t="shared" si="1"/>
        <v>6876.2924400000002</v>
      </c>
      <c r="K14" s="531">
        <f>+IF(J14=0,"",H14/J14-1)</f>
        <v>2.8261708136426922E-2</v>
      </c>
      <c r="L14" s="14"/>
    </row>
    <row r="15" spans="1:12" ht="6.75" customHeight="1">
      <c r="A15" s="505"/>
      <c r="B15" s="505"/>
      <c r="C15" s="505"/>
      <c r="D15" s="505"/>
      <c r="E15" s="505"/>
      <c r="F15" s="506"/>
      <c r="G15" s="505"/>
      <c r="H15" s="505"/>
      <c r="I15" s="506"/>
      <c r="J15" s="505"/>
      <c r="K15" s="506"/>
      <c r="L15" s="14"/>
    </row>
    <row r="16" spans="1:12" ht="12.75" customHeight="1">
      <c r="A16" s="507" t="s">
        <v>39</v>
      </c>
      <c r="B16" s="508">
        <v>0</v>
      </c>
      <c r="C16" s="509">
        <v>0</v>
      </c>
      <c r="D16" s="510">
        <v>0</v>
      </c>
      <c r="E16" s="508">
        <v>0</v>
      </c>
      <c r="F16" s="510">
        <v>0</v>
      </c>
      <c r="G16" s="508">
        <v>0</v>
      </c>
      <c r="H16" s="509">
        <v>0</v>
      </c>
      <c r="I16" s="510">
        <v>0</v>
      </c>
      <c r="J16" s="508">
        <v>0</v>
      </c>
      <c r="K16" s="511" t="str">
        <f t="shared" si="0"/>
        <v/>
      </c>
      <c r="L16" s="15"/>
    </row>
    <row r="17" spans="1:12" ht="12.75" customHeight="1">
      <c r="A17" s="512" t="s">
        <v>40</v>
      </c>
      <c r="B17" s="513">
        <v>0</v>
      </c>
      <c r="C17" s="514">
        <v>0</v>
      </c>
      <c r="D17" s="515">
        <v>0</v>
      </c>
      <c r="E17" s="513">
        <v>0</v>
      </c>
      <c r="F17" s="515">
        <v>0</v>
      </c>
      <c r="G17" s="513">
        <v>0</v>
      </c>
      <c r="H17" s="514">
        <v>0</v>
      </c>
      <c r="I17" s="515">
        <v>0</v>
      </c>
      <c r="J17" s="513">
        <v>0</v>
      </c>
      <c r="K17" s="516" t="str">
        <f t="shared" si="0"/>
        <v/>
      </c>
      <c r="L17" s="15"/>
    </row>
    <row r="18" spans="1:12" ht="24" customHeight="1">
      <c r="A18" s="517" t="s">
        <v>41</v>
      </c>
      <c r="B18" s="518">
        <f t="shared" ref="B18:J18" si="2">+B17-B16</f>
        <v>0</v>
      </c>
      <c r="C18" s="519">
        <f t="shared" si="2"/>
        <v>0</v>
      </c>
      <c r="D18" s="520">
        <f t="shared" si="2"/>
        <v>0</v>
      </c>
      <c r="E18" s="518">
        <f t="shared" si="2"/>
        <v>0</v>
      </c>
      <c r="F18" s="520">
        <f t="shared" si="2"/>
        <v>0</v>
      </c>
      <c r="G18" s="518">
        <f t="shared" si="2"/>
        <v>0</v>
      </c>
      <c r="H18" s="519">
        <f t="shared" si="2"/>
        <v>0</v>
      </c>
      <c r="I18" s="520">
        <f t="shared" si="2"/>
        <v>0</v>
      </c>
      <c r="J18" s="518">
        <f t="shared" si="2"/>
        <v>0</v>
      </c>
      <c r="K18" s="521" t="str">
        <f t="shared" si="0"/>
        <v/>
      </c>
      <c r="L18" s="15"/>
    </row>
    <row r="19" spans="1:12" ht="6" customHeight="1">
      <c r="A19" s="522"/>
      <c r="B19" s="522"/>
      <c r="C19" s="522"/>
      <c r="D19" s="522"/>
      <c r="E19" s="522"/>
      <c r="F19" s="523"/>
      <c r="G19" s="522"/>
      <c r="H19" s="522"/>
      <c r="I19" s="523"/>
      <c r="J19" s="522"/>
      <c r="K19" s="523"/>
      <c r="L19" s="15"/>
    </row>
    <row r="20" spans="1:12" ht="24" customHeight="1">
      <c r="A20" s="524" t="s">
        <v>245</v>
      </c>
      <c r="B20" s="525">
        <f>+B14-B18</f>
        <v>6836.602329999997</v>
      </c>
      <c r="C20" s="526">
        <f t="shared" ref="C20" si="3">+C14-C18</f>
        <v>6960.0958700000001</v>
      </c>
      <c r="D20" s="527">
        <f>+D14-D18</f>
        <v>6909.6371899999995</v>
      </c>
      <c r="E20" s="525">
        <f>+E14-E18</f>
        <v>7070.6282099999989</v>
      </c>
      <c r="F20" s="478">
        <f>+IF(E20=0,"",D20/E20-1)</f>
        <v>-2.2768983917484165E-2</v>
      </c>
      <c r="G20" s="613">
        <f>+G14-G18</f>
        <v>6909.6371899999995</v>
      </c>
      <c r="H20" s="525">
        <f>+H14-H18</f>
        <v>7070.6282099999989</v>
      </c>
      <c r="I20" s="478">
        <f>+IF(H20=0,"",G20/H20-1)</f>
        <v>-2.2768983917484165E-2</v>
      </c>
      <c r="J20" s="525">
        <f>+J14-J18</f>
        <v>6876.2924400000002</v>
      </c>
      <c r="K20" s="478">
        <f>+IF(J20=0,"",H20/J20-1)</f>
        <v>2.8261708136426922E-2</v>
      </c>
      <c r="L20" s="15"/>
    </row>
    <row r="21" spans="1:12" ht="11.25" customHeight="1">
      <c r="A21" s="261" t="s">
        <v>402</v>
      </c>
      <c r="B21" s="138"/>
      <c r="C21" s="138"/>
      <c r="D21" s="138"/>
      <c r="E21" s="138"/>
      <c r="F21" s="138"/>
      <c r="G21" s="138"/>
      <c r="H21" s="138"/>
      <c r="I21" s="138"/>
      <c r="J21" s="138"/>
      <c r="K21" s="138"/>
      <c r="L21" s="16"/>
    </row>
    <row r="22" spans="1:12" ht="17.25" customHeight="1">
      <c r="A22" s="864"/>
      <c r="B22" s="864"/>
      <c r="C22" s="864"/>
      <c r="D22" s="864"/>
      <c r="E22" s="864"/>
      <c r="F22" s="864"/>
      <c r="G22" s="864"/>
      <c r="H22" s="864"/>
      <c r="I22" s="864"/>
      <c r="J22" s="864"/>
      <c r="K22" s="864"/>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65" t="str">
        <f>"Gráfico N° 11: Comparación de la máxima potencia coincidente de potencia (MW) por tipo de generación en el SEIN en "&amp;'1. Resumen'!Q4</f>
        <v>Gráfico N° 11: Comparación de la máxima potencia coincidente de potencia (MW) por tipo de generación en el SEIN en enero</v>
      </c>
      <c r="B58" s="865"/>
      <c r="C58" s="865"/>
      <c r="D58" s="865"/>
      <c r="E58" s="865"/>
      <c r="F58" s="865"/>
      <c r="G58" s="865"/>
      <c r="H58" s="865"/>
      <c r="I58" s="865"/>
      <c r="J58" s="865"/>
      <c r="K58" s="865"/>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1"/>
  <sheetViews>
    <sheetView showGridLines="0" view="pageBreakPreview" topLeftCell="A37" zoomScaleNormal="100" zoomScaleSheetLayoutView="100" zoomScalePageLayoutView="115" workbookViewId="0">
      <selection activeCell="S15" sqref="S15"/>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354" customWidth="1"/>
    <col min="13" max="14" width="9.28515625" style="536"/>
    <col min="15" max="15" width="9.28515625" style="590"/>
  </cols>
  <sheetData>
    <row r="1" spans="1:15" ht="25.5" customHeight="1">
      <c r="A1" s="876" t="s">
        <v>249</v>
      </c>
      <c r="B1" s="876"/>
      <c r="C1" s="876"/>
      <c r="D1" s="876"/>
      <c r="E1" s="876"/>
      <c r="F1" s="876"/>
      <c r="G1" s="876"/>
      <c r="H1" s="876"/>
      <c r="I1" s="876"/>
      <c r="J1" s="876"/>
    </row>
    <row r="2" spans="1:15" ht="7.5" customHeight="1">
      <c r="A2" s="74"/>
      <c r="B2" s="73"/>
      <c r="C2" s="73"/>
      <c r="D2" s="73"/>
      <c r="E2" s="73"/>
      <c r="F2" s="73"/>
      <c r="G2" s="73"/>
      <c r="H2" s="73"/>
      <c r="I2" s="73"/>
      <c r="J2" s="73"/>
      <c r="K2" s="36"/>
      <c r="L2" s="601"/>
    </row>
    <row r="3" spans="1:15" ht="11.25" customHeight="1">
      <c r="A3" s="877" t="s">
        <v>121</v>
      </c>
      <c r="B3" s="879" t="str">
        <f>+'1. Resumen'!Q4</f>
        <v>enero</v>
      </c>
      <c r="C3" s="880"/>
      <c r="D3" s="881"/>
      <c r="E3" s="138"/>
      <c r="F3" s="138"/>
      <c r="G3" s="882" t="s">
        <v>612</v>
      </c>
      <c r="H3" s="882"/>
      <c r="I3" s="882"/>
      <c r="J3" s="138"/>
      <c r="K3" s="148"/>
      <c r="L3" s="601"/>
    </row>
    <row r="4" spans="1:15" ht="11.25" customHeight="1">
      <c r="A4" s="877"/>
      <c r="B4" s="393">
        <v>2021</v>
      </c>
      <c r="C4" s="394">
        <v>2020</v>
      </c>
      <c r="D4" s="881" t="s">
        <v>35</v>
      </c>
      <c r="E4" s="138"/>
      <c r="F4" s="138"/>
      <c r="G4" s="138"/>
      <c r="H4" s="138"/>
      <c r="I4" s="138"/>
      <c r="J4" s="138"/>
      <c r="K4" s="24"/>
      <c r="L4" s="602"/>
    </row>
    <row r="5" spans="1:15" ht="11.25" customHeight="1">
      <c r="A5" s="877"/>
      <c r="B5" s="395">
        <f>+'8. Max Potencia'!D8</f>
        <v>44204.822916666664</v>
      </c>
      <c r="C5" s="395">
        <f>+'8. Max Potencia'!E8</f>
        <v>43854.8125</v>
      </c>
      <c r="D5" s="881"/>
      <c r="E5" s="138"/>
      <c r="F5" s="138"/>
      <c r="G5" s="138"/>
      <c r="H5" s="138"/>
      <c r="I5" s="138"/>
      <c r="J5" s="138"/>
      <c r="K5" s="24"/>
      <c r="L5" s="603"/>
    </row>
    <row r="6" spans="1:15" ht="11.25" customHeight="1" thickBot="1">
      <c r="A6" s="878"/>
      <c r="B6" s="396">
        <f>+'8. Max Potencia'!D9</f>
        <v>44204.822916666664</v>
      </c>
      <c r="C6" s="396">
        <f>+'8. Max Potencia'!E9</f>
        <v>43854.8125</v>
      </c>
      <c r="D6" s="883"/>
      <c r="E6" s="138"/>
      <c r="F6" s="138"/>
      <c r="G6" s="138"/>
      <c r="H6" s="138"/>
      <c r="I6" s="138"/>
      <c r="J6" s="138"/>
      <c r="K6" s="25"/>
      <c r="L6" s="602" t="s">
        <v>248</v>
      </c>
      <c r="M6" s="354">
        <v>2020</v>
      </c>
      <c r="N6" s="354">
        <v>2019</v>
      </c>
    </row>
    <row r="7" spans="1:15" ht="9.75" customHeight="1">
      <c r="A7" s="711" t="s">
        <v>407</v>
      </c>
      <c r="B7" s="712">
        <v>1340.5909200000003</v>
      </c>
      <c r="C7" s="712">
        <v>1227.3941699999998</v>
      </c>
      <c r="D7" s="713">
        <f>IF(C7=0,"",B7/C7-1)</f>
        <v>9.2225262891708626E-2</v>
      </c>
      <c r="E7" s="138"/>
      <c r="F7" s="138"/>
      <c r="G7" s="138"/>
      <c r="H7" s="138"/>
      <c r="I7" s="138"/>
      <c r="J7" s="138"/>
      <c r="K7" s="23"/>
      <c r="L7" s="604" t="s">
        <v>568</v>
      </c>
      <c r="M7" s="611">
        <v>0</v>
      </c>
      <c r="N7" s="611"/>
      <c r="O7" s="591"/>
    </row>
    <row r="8" spans="1:15" ht="9.75" customHeight="1">
      <c r="A8" s="714" t="s">
        <v>88</v>
      </c>
      <c r="B8" s="715">
        <v>1116.3922600000003</v>
      </c>
      <c r="C8" s="715">
        <v>854.1810499999998</v>
      </c>
      <c r="D8" s="716">
        <f t="shared" ref="D8:D65" si="0">IF(C8=0,"",B8/C8-1)</f>
        <v>0.30697380842152899</v>
      </c>
      <c r="E8" s="138"/>
      <c r="F8" s="138"/>
      <c r="G8" s="138"/>
      <c r="H8" s="138"/>
      <c r="I8" s="138"/>
      <c r="J8" s="138"/>
      <c r="K8" s="26"/>
      <c r="L8" s="604" t="s">
        <v>567</v>
      </c>
      <c r="M8" s="611">
        <v>0</v>
      </c>
      <c r="N8" s="611"/>
      <c r="O8" s="591"/>
    </row>
    <row r="9" spans="1:15" ht="9.75" customHeight="1">
      <c r="A9" s="717" t="s">
        <v>89</v>
      </c>
      <c r="B9" s="718">
        <v>852.90624000000003</v>
      </c>
      <c r="C9" s="718">
        <v>877.60272000000009</v>
      </c>
      <c r="D9" s="719">
        <f t="shared" si="0"/>
        <v>-2.8140842589913673E-2</v>
      </c>
      <c r="E9" s="339"/>
      <c r="F9" s="138"/>
      <c r="G9" s="138"/>
      <c r="H9" s="138"/>
      <c r="I9" s="138"/>
      <c r="J9" s="138"/>
      <c r="K9" s="25"/>
      <c r="L9" s="604" t="s">
        <v>566</v>
      </c>
      <c r="M9" s="611">
        <v>0</v>
      </c>
      <c r="N9" s="611">
        <v>0</v>
      </c>
      <c r="O9" s="591"/>
    </row>
    <row r="10" spans="1:15" ht="9.75" customHeight="1">
      <c r="A10" s="714" t="s">
        <v>87</v>
      </c>
      <c r="B10" s="715">
        <v>674.19157999999993</v>
      </c>
      <c r="C10" s="715">
        <v>995.63318000000004</v>
      </c>
      <c r="D10" s="716">
        <f t="shared" si="0"/>
        <v>-0.32285143409945427</v>
      </c>
      <c r="E10" s="138"/>
      <c r="F10" s="138"/>
      <c r="G10" s="138"/>
      <c r="H10" s="138"/>
      <c r="I10" s="138"/>
      <c r="J10" s="138"/>
      <c r="K10" s="25"/>
      <c r="L10" s="604" t="s">
        <v>565</v>
      </c>
      <c r="M10" s="603">
        <v>0</v>
      </c>
      <c r="N10" s="603">
        <v>0</v>
      </c>
      <c r="O10" s="591"/>
    </row>
    <row r="11" spans="1:15" ht="9.75" customHeight="1">
      <c r="A11" s="717" t="s">
        <v>235</v>
      </c>
      <c r="B11" s="718">
        <v>461.25288999999998</v>
      </c>
      <c r="C11" s="718">
        <v>463.21735000000001</v>
      </c>
      <c r="D11" s="719">
        <f t="shared" si="0"/>
        <v>-4.2409033254043882E-3</v>
      </c>
      <c r="E11" s="138"/>
      <c r="F11" s="138"/>
      <c r="G11" s="138"/>
      <c r="H11" s="138"/>
      <c r="I11" s="138"/>
      <c r="J11" s="138"/>
      <c r="K11" s="25"/>
      <c r="L11" s="604" t="s">
        <v>100</v>
      </c>
      <c r="M11" s="603">
        <v>0</v>
      </c>
      <c r="N11" s="603">
        <v>283.67838</v>
      </c>
      <c r="O11" s="591"/>
    </row>
    <row r="12" spans="1:15" ht="9.75" customHeight="1">
      <c r="A12" s="714" t="s">
        <v>90</v>
      </c>
      <c r="B12" s="715">
        <v>371.53904</v>
      </c>
      <c r="C12" s="715">
        <v>382.23784000000006</v>
      </c>
      <c r="D12" s="716">
        <f t="shared" si="0"/>
        <v>-2.7989902831179858E-2</v>
      </c>
      <c r="E12" s="138"/>
      <c r="F12" s="138"/>
      <c r="G12" s="138"/>
      <c r="H12" s="138"/>
      <c r="I12" s="138"/>
      <c r="J12" s="138"/>
      <c r="K12" s="23"/>
      <c r="L12" s="604" t="s">
        <v>109</v>
      </c>
      <c r="M12" s="611">
        <v>0</v>
      </c>
      <c r="N12" s="611">
        <v>0</v>
      </c>
      <c r="O12" s="591"/>
    </row>
    <row r="13" spans="1:15" ht="9.75" customHeight="1">
      <c r="A13" s="717" t="s">
        <v>239</v>
      </c>
      <c r="B13" s="718">
        <v>345.77258</v>
      </c>
      <c r="C13" s="718">
        <v>306.15764999999999</v>
      </c>
      <c r="D13" s="719">
        <f t="shared" si="0"/>
        <v>0.12939389232965448</v>
      </c>
      <c r="E13" s="138"/>
      <c r="F13" s="138"/>
      <c r="G13" s="138"/>
      <c r="H13" s="138"/>
      <c r="I13" s="138"/>
      <c r="J13" s="138"/>
      <c r="K13" s="26"/>
      <c r="L13" s="604" t="s">
        <v>117</v>
      </c>
      <c r="M13" s="603">
        <v>0</v>
      </c>
      <c r="N13" s="603">
        <v>0</v>
      </c>
      <c r="O13" s="591"/>
    </row>
    <row r="14" spans="1:15" ht="9.75" customHeight="1">
      <c r="A14" s="714" t="s">
        <v>94</v>
      </c>
      <c r="B14" s="715">
        <v>215.75957</v>
      </c>
      <c r="C14" s="715">
        <v>208.65701999999999</v>
      </c>
      <c r="D14" s="716">
        <f t="shared" si="0"/>
        <v>3.4039353193101363E-2</v>
      </c>
      <c r="E14" s="138"/>
      <c r="F14" s="138"/>
      <c r="G14" s="138"/>
      <c r="H14" s="138"/>
      <c r="I14" s="138"/>
      <c r="J14" s="138"/>
      <c r="K14" s="26"/>
      <c r="L14" s="604" t="s">
        <v>102</v>
      </c>
      <c r="M14" s="603">
        <v>0</v>
      </c>
      <c r="N14" s="603">
        <v>26.1267</v>
      </c>
      <c r="O14" s="591"/>
    </row>
    <row r="15" spans="1:15" ht="9.75" customHeight="1">
      <c r="A15" s="717" t="s">
        <v>92</v>
      </c>
      <c r="B15" s="718">
        <v>166.58982</v>
      </c>
      <c r="C15" s="718">
        <v>164.42846</v>
      </c>
      <c r="D15" s="719">
        <f t="shared" si="0"/>
        <v>1.3144683104129307E-2</v>
      </c>
      <c r="E15" s="138"/>
      <c r="F15" s="138"/>
      <c r="G15" s="138"/>
      <c r="H15" s="138"/>
      <c r="I15" s="138"/>
      <c r="J15" s="138"/>
      <c r="K15" s="26"/>
      <c r="L15" s="604" t="s">
        <v>242</v>
      </c>
      <c r="M15" s="603">
        <v>0</v>
      </c>
      <c r="N15" s="603">
        <v>0</v>
      </c>
      <c r="O15" s="591"/>
    </row>
    <row r="16" spans="1:15" ht="9.75" customHeight="1">
      <c r="A16" s="714" t="s">
        <v>91</v>
      </c>
      <c r="B16" s="715">
        <v>124.42140999999999</v>
      </c>
      <c r="C16" s="715">
        <v>170.73018000000002</v>
      </c>
      <c r="D16" s="716">
        <f t="shared" si="0"/>
        <v>-0.27123950785971185</v>
      </c>
      <c r="E16" s="138"/>
      <c r="F16" s="138"/>
      <c r="G16" s="138"/>
      <c r="H16" s="138"/>
      <c r="I16" s="138"/>
      <c r="J16" s="138"/>
      <c r="K16" s="26"/>
      <c r="L16" s="604" t="s">
        <v>241</v>
      </c>
      <c r="M16" s="603">
        <v>0</v>
      </c>
      <c r="N16" s="603">
        <v>0</v>
      </c>
      <c r="O16" s="591"/>
    </row>
    <row r="17" spans="1:15" ht="9.75" customHeight="1">
      <c r="A17" s="717" t="s">
        <v>98</v>
      </c>
      <c r="B17" s="718">
        <v>119.04577</v>
      </c>
      <c r="C17" s="718">
        <v>56.192509999999999</v>
      </c>
      <c r="D17" s="719">
        <f t="shared" si="0"/>
        <v>1.1185344808409519</v>
      </c>
      <c r="E17" s="138"/>
      <c r="F17" s="138"/>
      <c r="G17" s="138"/>
      <c r="H17" s="138"/>
      <c r="I17" s="138"/>
      <c r="J17" s="138"/>
      <c r="K17" s="26"/>
      <c r="L17" s="604" t="s">
        <v>107</v>
      </c>
      <c r="M17" s="611">
        <v>0</v>
      </c>
      <c r="N17" s="611">
        <v>0</v>
      </c>
      <c r="O17" s="591"/>
    </row>
    <row r="18" spans="1:15" ht="9.75" customHeight="1">
      <c r="A18" s="714" t="s">
        <v>95</v>
      </c>
      <c r="B18" s="715">
        <v>109.55790999999999</v>
      </c>
      <c r="C18" s="715">
        <v>109.80475</v>
      </c>
      <c r="D18" s="716">
        <f t="shared" si="0"/>
        <v>-2.2479901825741555E-3</v>
      </c>
      <c r="E18" s="138"/>
      <c r="F18" s="138"/>
      <c r="G18" s="138"/>
      <c r="H18" s="138"/>
      <c r="I18" s="138"/>
      <c r="J18" s="138"/>
      <c r="K18" s="26"/>
      <c r="L18" s="604" t="s">
        <v>110</v>
      </c>
      <c r="M18" s="603">
        <v>0</v>
      </c>
      <c r="N18" s="603">
        <v>0</v>
      </c>
      <c r="O18" s="591"/>
    </row>
    <row r="19" spans="1:15" ht="9.75" customHeight="1">
      <c r="A19" s="717" t="s">
        <v>236</v>
      </c>
      <c r="B19" s="718">
        <v>94.774990000000003</v>
      </c>
      <c r="C19" s="718">
        <v>43.917070000000002</v>
      </c>
      <c r="D19" s="719">
        <f t="shared" si="0"/>
        <v>1.1580444688136069</v>
      </c>
      <c r="E19" s="138"/>
      <c r="F19" s="138"/>
      <c r="G19" s="138"/>
      <c r="H19" s="138"/>
      <c r="I19" s="138"/>
      <c r="J19" s="138"/>
      <c r="K19" s="26"/>
      <c r="L19" s="604" t="s">
        <v>116</v>
      </c>
      <c r="M19" s="603">
        <v>0</v>
      </c>
      <c r="N19" s="603">
        <v>0</v>
      </c>
      <c r="O19" s="591"/>
    </row>
    <row r="20" spans="1:15" ht="9.75" customHeight="1">
      <c r="A20" s="714" t="s">
        <v>96</v>
      </c>
      <c r="B20" s="715">
        <v>91.417310000000001</v>
      </c>
      <c r="C20" s="715">
        <v>47.426479999999998</v>
      </c>
      <c r="D20" s="716">
        <f t="shared" si="0"/>
        <v>0.9275584019729064</v>
      </c>
      <c r="E20" s="138"/>
      <c r="F20" s="138"/>
      <c r="G20" s="138"/>
      <c r="H20" s="138"/>
      <c r="I20" s="138"/>
      <c r="J20" s="138"/>
      <c r="K20" s="29"/>
      <c r="L20" s="604" t="s">
        <v>237</v>
      </c>
      <c r="M20" s="603">
        <v>0</v>
      </c>
      <c r="N20" s="603">
        <v>0</v>
      </c>
      <c r="O20" s="591"/>
    </row>
    <row r="21" spans="1:15" ht="9.75" customHeight="1">
      <c r="A21" s="717" t="s">
        <v>425</v>
      </c>
      <c r="B21" s="718">
        <v>89.74315</v>
      </c>
      <c r="C21" s="718">
        <v>91.179059999999993</v>
      </c>
      <c r="D21" s="719">
        <f t="shared" si="0"/>
        <v>-1.5748243072477353E-2</v>
      </c>
      <c r="E21" s="138"/>
      <c r="F21" s="138"/>
      <c r="G21" s="138"/>
      <c r="H21" s="138"/>
      <c r="I21" s="138"/>
      <c r="J21" s="138"/>
      <c r="K21" s="26"/>
      <c r="L21" s="604" t="s">
        <v>234</v>
      </c>
      <c r="M21" s="611">
        <v>0</v>
      </c>
      <c r="N21" s="611">
        <v>0</v>
      </c>
      <c r="O21" s="591"/>
    </row>
    <row r="22" spans="1:15" ht="9.75" customHeight="1">
      <c r="A22" s="714" t="s">
        <v>105</v>
      </c>
      <c r="B22" s="715">
        <v>80.662229999999994</v>
      </c>
      <c r="C22" s="715">
        <v>75.428049999999999</v>
      </c>
      <c r="D22" s="716">
        <f t="shared" si="0"/>
        <v>6.9393017584307159E-2</v>
      </c>
      <c r="E22" s="138"/>
      <c r="F22" s="138"/>
      <c r="G22" s="138"/>
      <c r="H22" s="138"/>
      <c r="I22" s="138"/>
      <c r="J22" s="138"/>
      <c r="K22" s="26"/>
      <c r="L22" s="604" t="s">
        <v>119</v>
      </c>
      <c r="M22" s="611">
        <v>0</v>
      </c>
      <c r="N22" s="611">
        <v>0</v>
      </c>
      <c r="O22" s="591"/>
    </row>
    <row r="23" spans="1:15" ht="9.75" customHeight="1">
      <c r="A23" s="717" t="s">
        <v>99</v>
      </c>
      <c r="B23" s="718">
        <v>78.827539999999999</v>
      </c>
      <c r="C23" s="718">
        <v>51.313720000000004</v>
      </c>
      <c r="D23" s="719">
        <f t="shared" si="0"/>
        <v>0.53618837223261129</v>
      </c>
      <c r="E23" s="138"/>
      <c r="F23" s="138"/>
      <c r="G23" s="138"/>
      <c r="H23" s="138"/>
      <c r="I23" s="138"/>
      <c r="J23" s="138"/>
      <c r="K23" s="26"/>
      <c r="L23" s="604" t="s">
        <v>573</v>
      </c>
      <c r="M23" s="603">
        <v>0.89524000000000004</v>
      </c>
      <c r="N23" s="603">
        <v>1.1613800000000001</v>
      </c>
      <c r="O23" s="591"/>
    </row>
    <row r="24" spans="1:15" ht="9.75" customHeight="1">
      <c r="A24" s="714" t="s">
        <v>97</v>
      </c>
      <c r="B24" s="715">
        <v>78.561070000000001</v>
      </c>
      <c r="C24" s="715">
        <v>22.37951</v>
      </c>
      <c r="D24" s="716">
        <f t="shared" si="0"/>
        <v>2.510401702271408</v>
      </c>
      <c r="E24" s="138"/>
      <c r="F24" s="138"/>
      <c r="G24" s="138"/>
      <c r="H24" s="138"/>
      <c r="I24" s="138"/>
      <c r="J24" s="138"/>
      <c r="K24" s="29"/>
      <c r="L24" s="604" t="s">
        <v>409</v>
      </c>
      <c r="M24" s="603">
        <v>0.90400000000000003</v>
      </c>
      <c r="N24" s="603">
        <v>0.27900000000000003</v>
      </c>
      <c r="O24" s="591"/>
    </row>
    <row r="25" spans="1:15" ht="9.75" customHeight="1">
      <c r="A25" s="717" t="s">
        <v>574</v>
      </c>
      <c r="B25" s="718">
        <v>70.537320000000008</v>
      </c>
      <c r="C25" s="718">
        <v>66.876999999999995</v>
      </c>
      <c r="D25" s="719">
        <f t="shared" si="0"/>
        <v>5.4732120160892572E-2</v>
      </c>
      <c r="E25" s="138"/>
      <c r="F25" s="138"/>
      <c r="G25" s="138"/>
      <c r="H25" s="138"/>
      <c r="I25" s="138"/>
      <c r="J25" s="138"/>
      <c r="K25" s="26"/>
      <c r="L25" s="604" t="s">
        <v>112</v>
      </c>
      <c r="M25" s="611">
        <v>2.53803</v>
      </c>
      <c r="N25" s="611">
        <v>4.2692199999999998</v>
      </c>
      <c r="O25" s="591"/>
    </row>
    <row r="26" spans="1:15" ht="9.75" customHeight="1">
      <c r="A26" s="714" t="s">
        <v>108</v>
      </c>
      <c r="B26" s="715">
        <v>56.502039999999994</v>
      </c>
      <c r="C26" s="715">
        <v>60.552509999999998</v>
      </c>
      <c r="D26" s="716">
        <f t="shared" si="0"/>
        <v>-6.6891859643803397E-2</v>
      </c>
      <c r="E26" s="138"/>
      <c r="F26" s="138"/>
      <c r="G26" s="138"/>
      <c r="H26" s="138"/>
      <c r="I26" s="138"/>
      <c r="J26" s="138"/>
      <c r="K26" s="26"/>
      <c r="L26" s="604" t="s">
        <v>115</v>
      </c>
      <c r="M26" s="603">
        <v>2.9035199999999999</v>
      </c>
      <c r="N26" s="603">
        <v>3.3507799999999999</v>
      </c>
      <c r="O26" s="591"/>
    </row>
    <row r="27" spans="1:15" ht="9.75" customHeight="1">
      <c r="A27" s="717" t="s">
        <v>101</v>
      </c>
      <c r="B27" s="718">
        <v>48.691050000000004</v>
      </c>
      <c r="C27" s="718">
        <v>26.753999999999998</v>
      </c>
      <c r="D27" s="719">
        <f t="shared" si="0"/>
        <v>0.81995402556627073</v>
      </c>
      <c r="E27" s="138"/>
      <c r="F27" s="138"/>
      <c r="G27" s="138"/>
      <c r="H27" s="138"/>
      <c r="I27" s="138"/>
      <c r="J27" s="138"/>
      <c r="K27" s="26"/>
      <c r="L27" s="604" t="s">
        <v>114</v>
      </c>
      <c r="M27" s="603">
        <v>3.2</v>
      </c>
      <c r="N27" s="603">
        <v>3.6</v>
      </c>
      <c r="O27" s="591"/>
    </row>
    <row r="28" spans="1:15" ht="9.75" customHeight="1">
      <c r="A28" s="714" t="s">
        <v>93</v>
      </c>
      <c r="B28" s="715">
        <v>42.658540000000002</v>
      </c>
      <c r="C28" s="715">
        <v>195.91816</v>
      </c>
      <c r="D28" s="716">
        <f t="shared" si="0"/>
        <v>-0.78226347164550747</v>
      </c>
      <c r="E28" s="138"/>
      <c r="F28" s="138"/>
      <c r="G28" s="138"/>
      <c r="H28" s="138"/>
      <c r="I28" s="138"/>
      <c r="J28" s="138"/>
      <c r="K28" s="26"/>
      <c r="L28" s="604" t="s">
        <v>113</v>
      </c>
      <c r="M28" s="603">
        <v>3.5196800000000001</v>
      </c>
      <c r="N28" s="603">
        <v>3.4600599999999995</v>
      </c>
      <c r="O28" s="591"/>
    </row>
    <row r="29" spans="1:15" ht="9.75" customHeight="1">
      <c r="A29" s="720" t="s">
        <v>240</v>
      </c>
      <c r="B29" s="721">
        <v>26.21172</v>
      </c>
      <c r="C29" s="721">
        <v>18.936229999999998</v>
      </c>
      <c r="D29" s="722">
        <f t="shared" si="0"/>
        <v>0.38421005659521468</v>
      </c>
      <c r="E29" s="138"/>
      <c r="F29" s="138"/>
      <c r="G29" s="138"/>
      <c r="H29" s="138"/>
      <c r="I29" s="138"/>
      <c r="J29" s="138"/>
      <c r="K29" s="26"/>
      <c r="L29" s="604" t="s">
        <v>426</v>
      </c>
      <c r="M29" s="603">
        <v>6.7641600000000004</v>
      </c>
      <c r="N29" s="603">
        <v>8.5399999999999991</v>
      </c>
      <c r="O29" s="591"/>
    </row>
    <row r="30" spans="1:15" ht="9.75" customHeight="1">
      <c r="A30" s="723" t="s">
        <v>111</v>
      </c>
      <c r="B30" s="724">
        <v>23.376750000000001</v>
      </c>
      <c r="C30" s="724">
        <v>26.250830000000001</v>
      </c>
      <c r="D30" s="725">
        <f t="shared" si="0"/>
        <v>-0.10948530008384494</v>
      </c>
      <c r="E30" s="138"/>
      <c r="F30" s="138"/>
      <c r="G30" s="138"/>
      <c r="H30" s="138"/>
      <c r="I30" s="138"/>
      <c r="J30" s="138"/>
      <c r="K30" s="26"/>
      <c r="L30" s="604" t="s">
        <v>238</v>
      </c>
      <c r="M30" s="603">
        <v>7.4131999999999998</v>
      </c>
      <c r="N30" s="603">
        <v>18.977820000000001</v>
      </c>
      <c r="O30" s="591"/>
    </row>
    <row r="31" spans="1:15" ht="9.75" customHeight="1">
      <c r="A31" s="726" t="s">
        <v>415</v>
      </c>
      <c r="B31" s="727">
        <v>20.57124</v>
      </c>
      <c r="C31" s="727">
        <v>16.092680000000001</v>
      </c>
      <c r="D31" s="728">
        <f t="shared" si="0"/>
        <v>0.27829795907207489</v>
      </c>
      <c r="E31" s="138"/>
      <c r="F31" s="138"/>
      <c r="G31" s="138"/>
      <c r="H31" s="138"/>
      <c r="I31" s="138"/>
      <c r="J31" s="138"/>
      <c r="K31" s="26"/>
      <c r="L31" s="604" t="s">
        <v>418</v>
      </c>
      <c r="M31" s="603">
        <v>8.6528799999999997</v>
      </c>
      <c r="N31" s="603">
        <v>6.9954700000000001</v>
      </c>
      <c r="O31" s="591"/>
    </row>
    <row r="32" spans="1:15" ht="9.75" customHeight="1">
      <c r="A32" s="723" t="s">
        <v>399</v>
      </c>
      <c r="B32" s="724">
        <v>20.4907</v>
      </c>
      <c r="C32" s="724">
        <v>20.112200000000001</v>
      </c>
      <c r="D32" s="725">
        <f t="shared" si="0"/>
        <v>1.881942303676376E-2</v>
      </c>
      <c r="E32" s="138"/>
      <c r="F32" s="138"/>
      <c r="G32" s="138"/>
      <c r="H32" s="138"/>
      <c r="I32" s="138"/>
      <c r="J32" s="138"/>
      <c r="K32" s="26"/>
      <c r="L32" s="604" t="s">
        <v>448</v>
      </c>
      <c r="M32" s="603">
        <v>9.21875</v>
      </c>
      <c r="N32" s="603">
        <v>8.25</v>
      </c>
      <c r="O32" s="591"/>
    </row>
    <row r="33" spans="1:15" ht="13.5" customHeight="1">
      <c r="A33" s="729" t="s">
        <v>439</v>
      </c>
      <c r="B33" s="727">
        <v>19.997630000000001</v>
      </c>
      <c r="C33" s="727">
        <v>20.027450000000002</v>
      </c>
      <c r="D33" s="728">
        <f t="shared" si="0"/>
        <v>-1.4889564073309325E-3</v>
      </c>
      <c r="E33" s="138"/>
      <c r="F33" s="138"/>
      <c r="G33" s="138"/>
      <c r="H33" s="138"/>
      <c r="I33" s="138"/>
      <c r="J33" s="138"/>
      <c r="K33" s="26"/>
      <c r="L33" s="604" t="s">
        <v>464</v>
      </c>
      <c r="M33" s="603">
        <v>10.40391</v>
      </c>
      <c r="N33" s="603"/>
      <c r="O33" s="591"/>
    </row>
    <row r="34" spans="1:15" s="598" customFormat="1" ht="13.5" customHeight="1">
      <c r="A34" s="723" t="s">
        <v>118</v>
      </c>
      <c r="B34" s="724">
        <v>19.876760000000001</v>
      </c>
      <c r="C34" s="724">
        <v>12.75592</v>
      </c>
      <c r="D34" s="725"/>
      <c r="E34" s="138"/>
      <c r="F34" s="138"/>
      <c r="G34" s="138"/>
      <c r="H34" s="138"/>
      <c r="I34" s="138"/>
      <c r="J34" s="138"/>
      <c r="K34" s="26"/>
      <c r="L34" s="604" t="s">
        <v>408</v>
      </c>
      <c r="M34" s="603">
        <v>11.965819999999999</v>
      </c>
      <c r="N34" s="603">
        <v>7.8144999999999998</v>
      </c>
      <c r="O34" s="591"/>
    </row>
    <row r="35" spans="1:15" s="598" customFormat="1" ht="13.5" customHeight="1">
      <c r="A35" s="729" t="s">
        <v>576</v>
      </c>
      <c r="B35" s="727">
        <v>18.80396</v>
      </c>
      <c r="C35" s="727">
        <v>19.085319999999999</v>
      </c>
      <c r="D35" s="728"/>
      <c r="E35" s="138"/>
      <c r="F35" s="138"/>
      <c r="G35" s="138"/>
      <c r="H35" s="138"/>
      <c r="I35" s="138"/>
      <c r="J35" s="138"/>
      <c r="K35" s="26"/>
      <c r="L35" s="604" t="s">
        <v>449</v>
      </c>
      <c r="M35" s="603">
        <v>12.488199999999999</v>
      </c>
      <c r="N35" s="603">
        <v>18.451510000000003</v>
      </c>
      <c r="O35" s="591"/>
    </row>
    <row r="36" spans="1:15" ht="10.199999999999999" customHeight="1">
      <c r="A36" s="730" t="s">
        <v>104</v>
      </c>
      <c r="B36" s="724">
        <v>18.21508</v>
      </c>
      <c r="C36" s="724">
        <v>9.8271099999999993</v>
      </c>
      <c r="D36" s="725">
        <f t="shared" si="0"/>
        <v>0.85355409677921612</v>
      </c>
      <c r="E36" s="138"/>
      <c r="F36" s="138"/>
      <c r="G36" s="138"/>
      <c r="H36" s="138"/>
      <c r="I36" s="138"/>
      <c r="J36" s="138"/>
      <c r="K36" s="26"/>
      <c r="L36" s="604" t="s">
        <v>106</v>
      </c>
      <c r="M36" s="603">
        <v>14.8032</v>
      </c>
      <c r="N36" s="603">
        <v>15.36608</v>
      </c>
      <c r="O36" s="591"/>
    </row>
    <row r="37" spans="1:15" ht="13.5" customHeight="1">
      <c r="A37" s="729" t="s">
        <v>103</v>
      </c>
      <c r="B37" s="727">
        <v>16.027529999999999</v>
      </c>
      <c r="C37" s="727">
        <v>19.237130000000001</v>
      </c>
      <c r="D37" s="728">
        <f t="shared" si="0"/>
        <v>-0.16684401467370658</v>
      </c>
      <c r="E37" s="138"/>
      <c r="F37" s="138"/>
      <c r="G37" s="138"/>
      <c r="H37" s="138"/>
      <c r="I37" s="138"/>
      <c r="J37" s="138"/>
      <c r="K37" s="26"/>
      <c r="L37" s="604" t="s">
        <v>103</v>
      </c>
      <c r="M37" s="603">
        <v>16.027529999999999</v>
      </c>
      <c r="N37" s="603">
        <v>19.237130000000001</v>
      </c>
      <c r="O37" s="591"/>
    </row>
    <row r="38" spans="1:15" ht="11.25" customHeight="1">
      <c r="A38" s="723" t="s">
        <v>106</v>
      </c>
      <c r="B38" s="724">
        <v>14.8032</v>
      </c>
      <c r="C38" s="724">
        <v>15.36608</v>
      </c>
      <c r="D38" s="725">
        <f t="shared" si="0"/>
        <v>-3.6631333430517055E-2</v>
      </c>
      <c r="E38" s="138"/>
      <c r="F38" s="138"/>
      <c r="G38" s="138"/>
      <c r="H38" s="138"/>
      <c r="I38" s="138"/>
      <c r="J38" s="138"/>
      <c r="K38" s="34"/>
      <c r="L38" s="604" t="s">
        <v>104</v>
      </c>
      <c r="M38" s="603">
        <v>18.21508</v>
      </c>
      <c r="N38" s="603">
        <v>9.8271099999999993</v>
      </c>
      <c r="O38" s="591"/>
    </row>
    <row r="39" spans="1:15" ht="11.25" customHeight="1">
      <c r="A39" s="729" t="s">
        <v>449</v>
      </c>
      <c r="B39" s="727">
        <v>12.488199999999999</v>
      </c>
      <c r="C39" s="727">
        <v>18.451510000000003</v>
      </c>
      <c r="D39" s="728">
        <f t="shared" si="0"/>
        <v>-0.32318818351452006</v>
      </c>
      <c r="E39" s="138"/>
      <c r="F39" s="138"/>
      <c r="G39" s="138"/>
      <c r="H39" s="138"/>
      <c r="I39" s="138"/>
      <c r="J39" s="138"/>
      <c r="K39" s="34"/>
      <c r="L39" s="604" t="s">
        <v>576</v>
      </c>
      <c r="M39" s="611">
        <v>18.80396</v>
      </c>
      <c r="N39" s="611">
        <v>19.085319999999999</v>
      </c>
      <c r="O39" s="591"/>
    </row>
    <row r="40" spans="1:15" ht="11.4" customHeight="1">
      <c r="A40" s="730" t="s">
        <v>408</v>
      </c>
      <c r="B40" s="724">
        <v>11.965819999999999</v>
      </c>
      <c r="C40" s="724">
        <v>7.8144999999999998</v>
      </c>
      <c r="D40" s="725">
        <f t="shared" si="0"/>
        <v>0.53123296436112355</v>
      </c>
      <c r="E40" s="138"/>
      <c r="F40" s="138"/>
      <c r="G40" s="138"/>
      <c r="H40" s="138"/>
      <c r="I40" s="138"/>
      <c r="J40" s="138"/>
      <c r="K40" s="29"/>
      <c r="L40" s="604" t="s">
        <v>118</v>
      </c>
      <c r="M40" s="603">
        <v>19.876760000000001</v>
      </c>
      <c r="N40" s="603">
        <v>12.75592</v>
      </c>
      <c r="O40" s="591"/>
    </row>
    <row r="41" spans="1:15" ht="11.25" customHeight="1">
      <c r="A41" s="729" t="s">
        <v>464</v>
      </c>
      <c r="B41" s="727">
        <v>10.40391</v>
      </c>
      <c r="C41" s="727"/>
      <c r="D41" s="728" t="str">
        <f t="shared" si="0"/>
        <v/>
      </c>
      <c r="E41" s="138"/>
      <c r="F41" s="138"/>
      <c r="G41" s="138"/>
      <c r="H41" s="138"/>
      <c r="I41" s="138"/>
      <c r="J41" s="138"/>
      <c r="K41" s="29"/>
      <c r="L41" s="604" t="s">
        <v>439</v>
      </c>
      <c r="M41" s="603">
        <v>19.997630000000001</v>
      </c>
      <c r="N41" s="603">
        <v>20.027450000000002</v>
      </c>
      <c r="O41" s="591"/>
    </row>
    <row r="42" spans="1:15" ht="11.25" customHeight="1">
      <c r="A42" s="731" t="s">
        <v>448</v>
      </c>
      <c r="B42" s="724">
        <v>9.21875</v>
      </c>
      <c r="C42" s="724">
        <v>8.25</v>
      </c>
      <c r="D42" s="725">
        <f t="shared" si="0"/>
        <v>0.11742424242424243</v>
      </c>
      <c r="E42" s="138"/>
      <c r="F42" s="138"/>
      <c r="G42" s="138"/>
      <c r="H42" s="138"/>
      <c r="I42" s="138"/>
      <c r="J42" s="138"/>
      <c r="K42" s="29"/>
      <c r="L42" s="604" t="s">
        <v>399</v>
      </c>
      <c r="M42" s="603">
        <v>20.4907</v>
      </c>
      <c r="N42" s="603">
        <v>20.112200000000001</v>
      </c>
      <c r="O42" s="591"/>
    </row>
    <row r="43" spans="1:15" ht="9.75" customHeight="1">
      <c r="A43" s="726" t="s">
        <v>418</v>
      </c>
      <c r="B43" s="727">
        <v>8.6528799999999997</v>
      </c>
      <c r="C43" s="727">
        <v>6.9954700000000001</v>
      </c>
      <c r="D43" s="728">
        <f t="shared" si="0"/>
        <v>0.23692618222935691</v>
      </c>
      <c r="E43" s="138"/>
      <c r="F43" s="138"/>
      <c r="G43" s="138"/>
      <c r="H43" s="138"/>
      <c r="I43" s="138"/>
      <c r="J43" s="138"/>
      <c r="K43" s="34"/>
      <c r="L43" s="604" t="s">
        <v>415</v>
      </c>
      <c r="M43" s="603">
        <v>20.57124</v>
      </c>
      <c r="N43" s="603">
        <v>16.092680000000001</v>
      </c>
      <c r="O43" s="591"/>
    </row>
    <row r="44" spans="1:15" ht="9.75" customHeight="1">
      <c r="A44" s="723" t="s">
        <v>238</v>
      </c>
      <c r="B44" s="724">
        <v>7.4131999999999998</v>
      </c>
      <c r="C44" s="724">
        <v>18.977820000000001</v>
      </c>
      <c r="D44" s="725">
        <f t="shared" si="0"/>
        <v>-0.60937557633068495</v>
      </c>
      <c r="E44" s="138"/>
      <c r="F44" s="138"/>
      <c r="G44" s="138"/>
      <c r="H44" s="138"/>
      <c r="I44" s="138"/>
      <c r="J44" s="138"/>
      <c r="K44" s="34"/>
      <c r="L44" s="604" t="s">
        <v>111</v>
      </c>
      <c r="M44" s="603">
        <v>23.376750000000001</v>
      </c>
      <c r="N44" s="603">
        <v>26.250830000000001</v>
      </c>
      <c r="O44" s="591"/>
    </row>
    <row r="45" spans="1:15" ht="9.75" customHeight="1">
      <c r="A45" s="726" t="s">
        <v>426</v>
      </c>
      <c r="B45" s="727">
        <v>6.7641600000000004</v>
      </c>
      <c r="C45" s="727">
        <v>8.5399999999999991</v>
      </c>
      <c r="D45" s="728">
        <f t="shared" si="0"/>
        <v>-0.20794379391100692</v>
      </c>
      <c r="E45" s="138"/>
      <c r="F45" s="138"/>
      <c r="G45" s="138"/>
      <c r="H45" s="138"/>
      <c r="I45" s="138"/>
      <c r="J45" s="138"/>
      <c r="K45" s="34"/>
      <c r="L45" s="604" t="s">
        <v>240</v>
      </c>
      <c r="M45" s="603">
        <v>26.21172</v>
      </c>
      <c r="N45" s="603">
        <v>18.936229999999998</v>
      </c>
      <c r="O45" s="591"/>
    </row>
    <row r="46" spans="1:15" ht="9.75" customHeight="1">
      <c r="A46" s="723" t="s">
        <v>113</v>
      </c>
      <c r="B46" s="724">
        <v>3.5196800000000001</v>
      </c>
      <c r="C46" s="724">
        <v>3.4600599999999995</v>
      </c>
      <c r="D46" s="725">
        <f t="shared" si="0"/>
        <v>1.7230915070837183E-2</v>
      </c>
      <c r="E46" s="138"/>
      <c r="F46" s="138"/>
      <c r="G46" s="138"/>
      <c r="H46" s="138"/>
      <c r="I46" s="138"/>
      <c r="J46" s="138"/>
      <c r="L46" s="604" t="s">
        <v>93</v>
      </c>
      <c r="M46" s="603">
        <v>42.658540000000002</v>
      </c>
      <c r="N46" s="603">
        <v>195.91816</v>
      </c>
      <c r="O46" s="591"/>
    </row>
    <row r="47" spans="1:15" ht="9.75" customHeight="1">
      <c r="A47" s="726" t="s">
        <v>114</v>
      </c>
      <c r="B47" s="727">
        <v>3.2</v>
      </c>
      <c r="C47" s="727">
        <v>3.6</v>
      </c>
      <c r="D47" s="728">
        <f t="shared" si="0"/>
        <v>-0.11111111111111105</v>
      </c>
      <c r="E47" s="138"/>
      <c r="F47" s="138"/>
      <c r="G47" s="138"/>
      <c r="H47" s="138"/>
      <c r="I47" s="138"/>
      <c r="J47" s="138"/>
      <c r="L47" s="604" t="s">
        <v>101</v>
      </c>
      <c r="M47" s="603">
        <v>48.691050000000004</v>
      </c>
      <c r="N47" s="603">
        <v>26.753999999999998</v>
      </c>
      <c r="O47" s="591"/>
    </row>
    <row r="48" spans="1:15" ht="13.95" customHeight="1">
      <c r="A48" s="730" t="s">
        <v>115</v>
      </c>
      <c r="B48" s="724">
        <v>2.9035199999999999</v>
      </c>
      <c r="C48" s="724">
        <v>3.3507799999999999</v>
      </c>
      <c r="D48" s="725">
        <f t="shared" si="0"/>
        <v>-0.13347936898274437</v>
      </c>
      <c r="E48" s="138"/>
      <c r="F48" s="138"/>
      <c r="G48" s="138"/>
      <c r="H48" s="138"/>
      <c r="I48" s="138"/>
      <c r="J48" s="138"/>
      <c r="L48" s="604" t="s">
        <v>108</v>
      </c>
      <c r="M48" s="603">
        <v>56.502039999999994</v>
      </c>
      <c r="N48" s="603">
        <v>60.552509999999998</v>
      </c>
      <c r="O48" s="591"/>
    </row>
    <row r="49" spans="1:15" ht="9.75" customHeight="1">
      <c r="A49" s="726" t="s">
        <v>112</v>
      </c>
      <c r="B49" s="727">
        <v>2.53803</v>
      </c>
      <c r="C49" s="727">
        <v>4.2692199999999998</v>
      </c>
      <c r="D49" s="728">
        <f t="shared" si="0"/>
        <v>-0.40550498685942626</v>
      </c>
      <c r="E49" s="138"/>
      <c r="F49" s="138"/>
      <c r="G49" s="138"/>
      <c r="H49" s="138"/>
      <c r="I49" s="138"/>
      <c r="J49" s="138"/>
      <c r="L49" s="604" t="s">
        <v>574</v>
      </c>
      <c r="M49" s="603">
        <v>70.537320000000008</v>
      </c>
      <c r="N49" s="603">
        <v>66.876999999999995</v>
      </c>
      <c r="O49" s="591"/>
    </row>
    <row r="50" spans="1:15" ht="14.4" customHeight="1">
      <c r="A50" s="730" t="s">
        <v>409</v>
      </c>
      <c r="B50" s="724">
        <v>0.90400000000000003</v>
      </c>
      <c r="C50" s="724">
        <v>0.27900000000000003</v>
      </c>
      <c r="D50" s="725">
        <f t="shared" si="0"/>
        <v>2.2401433691756272</v>
      </c>
      <c r="E50" s="138"/>
      <c r="F50" s="138"/>
      <c r="G50" s="138"/>
      <c r="H50" s="138"/>
      <c r="I50" s="138"/>
      <c r="J50" s="138"/>
      <c r="L50" s="604" t="s">
        <v>97</v>
      </c>
      <c r="M50" s="603">
        <v>78.561070000000001</v>
      </c>
      <c r="N50" s="603">
        <v>22.37951</v>
      </c>
      <c r="O50" s="591"/>
    </row>
    <row r="51" spans="1:15" ht="11.25" customHeight="1">
      <c r="A51" s="729" t="s">
        <v>573</v>
      </c>
      <c r="B51" s="727">
        <v>0.89524000000000004</v>
      </c>
      <c r="C51" s="727">
        <v>1.1613800000000001</v>
      </c>
      <c r="D51" s="728">
        <f t="shared" si="0"/>
        <v>-0.22915841498906475</v>
      </c>
      <c r="E51" s="138"/>
      <c r="F51" s="138"/>
      <c r="G51" s="138"/>
      <c r="H51" s="138"/>
      <c r="I51" s="138"/>
      <c r="J51" s="138"/>
      <c r="L51" s="604" t="s">
        <v>99</v>
      </c>
      <c r="M51" s="603">
        <v>78.827539999999999</v>
      </c>
      <c r="N51" s="603">
        <v>51.313720000000004</v>
      </c>
      <c r="O51" s="591"/>
    </row>
    <row r="52" spans="1:15" ht="12" customHeight="1">
      <c r="A52" s="730" t="s">
        <v>119</v>
      </c>
      <c r="B52" s="724">
        <v>0</v>
      </c>
      <c r="C52" s="724">
        <v>0</v>
      </c>
      <c r="D52" s="725" t="str">
        <f t="shared" si="0"/>
        <v/>
      </c>
      <c r="E52" s="138"/>
      <c r="F52" s="138"/>
      <c r="G52" s="138"/>
      <c r="H52" s="138"/>
      <c r="I52" s="138"/>
      <c r="J52" s="138"/>
      <c r="L52" s="604" t="s">
        <v>105</v>
      </c>
      <c r="M52" s="603">
        <v>80.662229999999994</v>
      </c>
      <c r="N52" s="603">
        <v>75.428049999999999</v>
      </c>
      <c r="O52" s="591"/>
    </row>
    <row r="53" spans="1:15" ht="9.75" customHeight="1">
      <c r="A53" s="729" t="s">
        <v>234</v>
      </c>
      <c r="B53" s="727">
        <v>0</v>
      </c>
      <c r="C53" s="727">
        <v>0</v>
      </c>
      <c r="D53" s="728" t="str">
        <f t="shared" si="0"/>
        <v/>
      </c>
      <c r="E53" s="138"/>
      <c r="F53" s="138"/>
      <c r="G53" s="138"/>
      <c r="H53" s="138"/>
      <c r="I53" s="138"/>
      <c r="J53" s="138"/>
      <c r="L53" s="604" t="s">
        <v>425</v>
      </c>
      <c r="M53" s="603">
        <v>89.74315</v>
      </c>
      <c r="N53" s="603">
        <v>91.179059999999993</v>
      </c>
      <c r="O53" s="591"/>
    </row>
    <row r="54" spans="1:15" ht="9.75" customHeight="1">
      <c r="A54" s="723" t="s">
        <v>237</v>
      </c>
      <c r="B54" s="724">
        <v>0</v>
      </c>
      <c r="C54" s="724">
        <v>0</v>
      </c>
      <c r="D54" s="725" t="str">
        <f t="shared" si="0"/>
        <v/>
      </c>
      <c r="E54" s="138"/>
      <c r="F54" s="138"/>
      <c r="G54" s="138"/>
      <c r="H54" s="138"/>
      <c r="I54" s="138"/>
      <c r="J54" s="138"/>
      <c r="L54" s="604" t="s">
        <v>96</v>
      </c>
      <c r="M54" s="603">
        <v>91.417310000000001</v>
      </c>
      <c r="N54" s="603">
        <v>47.426479999999998</v>
      </c>
      <c r="O54" s="591"/>
    </row>
    <row r="55" spans="1:15" ht="9.75" customHeight="1">
      <c r="A55" s="726" t="s">
        <v>116</v>
      </c>
      <c r="B55" s="727">
        <v>0</v>
      </c>
      <c r="C55" s="727">
        <v>0</v>
      </c>
      <c r="D55" s="728" t="str">
        <f t="shared" si="0"/>
        <v/>
      </c>
      <c r="E55" s="138"/>
      <c r="F55" s="138"/>
      <c r="G55" s="138"/>
      <c r="H55" s="138"/>
      <c r="I55" s="138"/>
      <c r="J55" s="138"/>
      <c r="L55" s="604" t="s">
        <v>236</v>
      </c>
      <c r="M55" s="603">
        <v>94.774990000000003</v>
      </c>
      <c r="N55" s="603">
        <v>43.917070000000002</v>
      </c>
      <c r="O55" s="591"/>
    </row>
    <row r="56" spans="1:15" ht="9.75" customHeight="1">
      <c r="A56" s="723" t="s">
        <v>110</v>
      </c>
      <c r="B56" s="724">
        <v>0</v>
      </c>
      <c r="C56" s="724">
        <v>0</v>
      </c>
      <c r="D56" s="725" t="str">
        <f t="shared" si="0"/>
        <v/>
      </c>
      <c r="E56" s="138"/>
      <c r="F56" s="138"/>
      <c r="G56" s="138"/>
      <c r="H56" s="138"/>
      <c r="I56" s="138"/>
      <c r="J56" s="138"/>
      <c r="L56" s="604" t="s">
        <v>95</v>
      </c>
      <c r="M56" s="603">
        <v>109.55790999999999</v>
      </c>
      <c r="N56" s="603">
        <v>109.80475</v>
      </c>
      <c r="O56" s="591"/>
    </row>
    <row r="57" spans="1:15" ht="9.75" customHeight="1">
      <c r="A57" s="726" t="s">
        <v>107</v>
      </c>
      <c r="B57" s="727">
        <v>0</v>
      </c>
      <c r="C57" s="727">
        <v>0</v>
      </c>
      <c r="D57" s="728" t="str">
        <f t="shared" si="0"/>
        <v/>
      </c>
      <c r="E57" s="138"/>
      <c r="F57" s="138"/>
      <c r="G57" s="138"/>
      <c r="H57" s="138"/>
      <c r="I57" s="138"/>
      <c r="J57" s="138"/>
      <c r="L57" s="604" t="s">
        <v>98</v>
      </c>
      <c r="M57" s="603">
        <v>119.04577</v>
      </c>
      <c r="N57" s="603">
        <v>56.192509999999999</v>
      </c>
      <c r="O57" s="591"/>
    </row>
    <row r="58" spans="1:15" ht="9.75" customHeight="1">
      <c r="A58" s="723" t="s">
        <v>241</v>
      </c>
      <c r="B58" s="724">
        <v>0</v>
      </c>
      <c r="C58" s="724">
        <v>0</v>
      </c>
      <c r="D58" s="725" t="str">
        <f t="shared" si="0"/>
        <v/>
      </c>
      <c r="E58" s="138"/>
      <c r="F58" s="138"/>
      <c r="G58" s="138"/>
      <c r="H58" s="138"/>
      <c r="I58" s="138"/>
      <c r="J58" s="138"/>
      <c r="L58" s="604" t="s">
        <v>91</v>
      </c>
      <c r="M58" s="603">
        <v>124.42140999999999</v>
      </c>
      <c r="N58" s="603">
        <v>170.73018000000002</v>
      </c>
      <c r="O58" s="591"/>
    </row>
    <row r="59" spans="1:15" ht="9.75" customHeight="1">
      <c r="A59" s="726" t="s">
        <v>242</v>
      </c>
      <c r="B59" s="727">
        <v>0</v>
      </c>
      <c r="C59" s="727">
        <v>0</v>
      </c>
      <c r="D59" s="728" t="str">
        <f t="shared" si="0"/>
        <v/>
      </c>
      <c r="E59" s="138"/>
      <c r="F59" s="138"/>
      <c r="G59" s="138"/>
      <c r="H59" s="138"/>
      <c r="I59" s="138"/>
      <c r="J59" s="138"/>
      <c r="L59" s="604" t="s">
        <v>92</v>
      </c>
      <c r="M59" s="603">
        <v>166.58982</v>
      </c>
      <c r="N59" s="603">
        <v>164.42846</v>
      </c>
      <c r="O59" s="591"/>
    </row>
    <row r="60" spans="1:15" ht="9.75" customHeight="1">
      <c r="A60" s="723" t="s">
        <v>102</v>
      </c>
      <c r="B60" s="724">
        <v>0</v>
      </c>
      <c r="C60" s="724">
        <v>26.1267</v>
      </c>
      <c r="D60" s="725">
        <f t="shared" si="0"/>
        <v>-1</v>
      </c>
      <c r="E60" s="138"/>
      <c r="F60" s="138"/>
      <c r="G60" s="138"/>
      <c r="H60" s="138"/>
      <c r="I60" s="138"/>
      <c r="J60" s="138"/>
      <c r="L60" s="604" t="s">
        <v>94</v>
      </c>
      <c r="M60" s="603">
        <v>215.75957</v>
      </c>
      <c r="N60" s="603">
        <v>208.65701999999999</v>
      </c>
      <c r="O60" s="591"/>
    </row>
    <row r="61" spans="1:15" ht="9.75" customHeight="1">
      <c r="A61" s="732" t="s">
        <v>117</v>
      </c>
      <c r="B61" s="733">
        <v>0</v>
      </c>
      <c r="C61" s="733">
        <v>0</v>
      </c>
      <c r="D61" s="728" t="str">
        <f t="shared" si="0"/>
        <v/>
      </c>
      <c r="E61" s="138"/>
      <c r="F61" s="138"/>
      <c r="G61" s="138"/>
      <c r="H61" s="138"/>
      <c r="I61" s="138"/>
      <c r="J61" s="138"/>
      <c r="L61" s="604" t="s">
        <v>239</v>
      </c>
      <c r="M61" s="603">
        <v>345.77258</v>
      </c>
      <c r="N61" s="603">
        <v>306.15764999999999</v>
      </c>
      <c r="O61" s="591"/>
    </row>
    <row r="62" spans="1:15" ht="9.75" customHeight="1">
      <c r="A62" s="734" t="s">
        <v>109</v>
      </c>
      <c r="B62" s="735">
        <v>0</v>
      </c>
      <c r="C62" s="735">
        <v>0</v>
      </c>
      <c r="D62" s="736" t="str">
        <f t="shared" si="0"/>
        <v/>
      </c>
      <c r="E62" s="138"/>
      <c r="F62" s="138"/>
      <c r="G62" s="138"/>
      <c r="H62" s="138"/>
      <c r="I62" s="138"/>
      <c r="J62" s="138"/>
      <c r="L62" s="604" t="s">
        <v>90</v>
      </c>
      <c r="M62" s="603">
        <v>371.53904</v>
      </c>
      <c r="N62" s="603">
        <v>382.23784000000006</v>
      </c>
      <c r="O62" s="591"/>
    </row>
    <row r="63" spans="1:15" ht="9.75" customHeight="1">
      <c r="A63" s="732" t="s">
        <v>100</v>
      </c>
      <c r="B63" s="733">
        <v>0</v>
      </c>
      <c r="C63" s="733">
        <v>283.67838</v>
      </c>
      <c r="D63" s="719">
        <f t="shared" si="0"/>
        <v>-1</v>
      </c>
      <c r="E63" s="138"/>
      <c r="F63" s="138"/>
      <c r="G63" s="138"/>
      <c r="H63" s="138"/>
      <c r="I63" s="138"/>
      <c r="J63" s="138"/>
      <c r="L63" s="604" t="s">
        <v>235</v>
      </c>
      <c r="M63" s="603">
        <v>461.25288999999998</v>
      </c>
      <c r="N63" s="603">
        <v>463.21735000000001</v>
      </c>
      <c r="O63" s="591"/>
    </row>
    <row r="64" spans="1:15" ht="9.75" customHeight="1">
      <c r="A64" s="734" t="s">
        <v>565</v>
      </c>
      <c r="B64" s="735">
        <v>0</v>
      </c>
      <c r="C64" s="735">
        <v>0</v>
      </c>
      <c r="D64" s="736" t="str">
        <f t="shared" si="0"/>
        <v/>
      </c>
      <c r="E64" s="138"/>
      <c r="F64" s="138"/>
      <c r="G64" s="138"/>
      <c r="H64" s="138"/>
      <c r="I64" s="138"/>
      <c r="J64" s="138"/>
      <c r="L64" s="604" t="s">
        <v>87</v>
      </c>
      <c r="M64" s="603">
        <v>674.19157999999993</v>
      </c>
      <c r="N64" s="603">
        <v>995.63318000000004</v>
      </c>
      <c r="O64" s="591"/>
    </row>
    <row r="65" spans="1:15" s="598" customFormat="1" ht="9.75" customHeight="1">
      <c r="A65" s="732" t="s">
        <v>566</v>
      </c>
      <c r="B65" s="733">
        <v>0</v>
      </c>
      <c r="C65" s="733">
        <v>0</v>
      </c>
      <c r="D65" s="719" t="str">
        <f t="shared" si="0"/>
        <v/>
      </c>
      <c r="E65" s="138"/>
      <c r="F65" s="138"/>
      <c r="G65" s="138"/>
      <c r="H65" s="138"/>
      <c r="I65" s="138"/>
      <c r="J65" s="138"/>
      <c r="L65" s="604" t="s">
        <v>89</v>
      </c>
      <c r="M65" s="603">
        <v>852.90624000000003</v>
      </c>
      <c r="N65" s="603">
        <v>877.60272000000009</v>
      </c>
      <c r="O65" s="591"/>
    </row>
    <row r="66" spans="1:15" s="598" customFormat="1" ht="9.75" customHeight="1">
      <c r="A66" s="734" t="s">
        <v>567</v>
      </c>
      <c r="B66" s="735">
        <v>0</v>
      </c>
      <c r="C66" s="735"/>
      <c r="D66" s="736"/>
      <c r="E66" s="138"/>
      <c r="F66" s="138"/>
      <c r="G66" s="138"/>
      <c r="H66" s="138"/>
      <c r="I66" s="138"/>
      <c r="J66" s="138"/>
      <c r="L66" s="604" t="s">
        <v>88</v>
      </c>
      <c r="M66" s="603">
        <v>1116.3922600000003</v>
      </c>
      <c r="N66" s="603">
        <v>854.1810499999998</v>
      </c>
      <c r="O66" s="591"/>
    </row>
    <row r="67" spans="1:15" s="598" customFormat="1" ht="9.75" customHeight="1">
      <c r="A67" s="732" t="s">
        <v>568</v>
      </c>
      <c r="B67" s="733">
        <v>0</v>
      </c>
      <c r="C67" s="733"/>
      <c r="D67" s="719"/>
      <c r="E67" s="138"/>
      <c r="F67" s="138"/>
      <c r="G67" s="138"/>
      <c r="H67" s="138"/>
      <c r="I67" s="138"/>
      <c r="J67" s="138"/>
      <c r="L67" s="604" t="s">
        <v>407</v>
      </c>
      <c r="M67" s="603">
        <v>1340.5909200000003</v>
      </c>
      <c r="N67" s="603">
        <v>1227.3941699999998</v>
      </c>
      <c r="O67" s="591"/>
    </row>
    <row r="68" spans="1:15" ht="9.75" customHeight="1">
      <c r="A68" s="737" t="s">
        <v>42</v>
      </c>
      <c r="B68" s="738">
        <f>SUM(B7:B67)</f>
        <v>6909.6371900000013</v>
      </c>
      <c r="C68" s="738">
        <f>SUM(C7:C67)</f>
        <v>7070.6282100000008</v>
      </c>
      <c r="D68" s="739">
        <f>IF(C68=0,"",B68/C68-1)</f>
        <v>-2.2768983917484165E-2</v>
      </c>
      <c r="E68" s="138"/>
      <c r="F68" s="138"/>
      <c r="G68" s="138"/>
      <c r="H68" s="138"/>
      <c r="I68" s="138"/>
      <c r="J68" s="138"/>
      <c r="L68" s="604"/>
      <c r="M68" s="605"/>
      <c r="N68" s="605"/>
      <c r="O68" s="591"/>
    </row>
    <row r="69" spans="1:15" ht="31.2" customHeight="1">
      <c r="A69" s="862" t="str">
        <f>"Cuadro N° 8: Participación de las empresas generadoras del COES en la máxima potencia coincidente (MW) en "&amp;'1. Resumen'!Q4</f>
        <v>Cuadro N° 8: Participación de las empresas generadoras del COES en la máxima potencia coincidente (MW) en enero</v>
      </c>
      <c r="B69" s="862"/>
      <c r="C69" s="862"/>
      <c r="D69" s="862"/>
      <c r="E69" s="132"/>
      <c r="F69" s="862" t="str">
        <f>"Gráfico N° 12: Comparación de la máxima potencia coincidente  (MW) de las empresas generadoras del COES en "&amp;'1. Resumen'!Q4</f>
        <v>Gráfico N° 12: Comparación de la máxima potencia coincidente  (MW) de las empresas generadoras del COES en enero</v>
      </c>
      <c r="G69" s="862"/>
      <c r="H69" s="862"/>
      <c r="I69" s="862"/>
      <c r="J69" s="862"/>
      <c r="L69" s="604"/>
      <c r="M69" s="606"/>
      <c r="N69" s="606"/>
    </row>
    <row r="70" spans="1:15">
      <c r="A70" s="875"/>
      <c r="B70" s="875"/>
      <c r="C70" s="875"/>
      <c r="D70" s="875"/>
      <c r="E70" s="875"/>
      <c r="F70" s="875"/>
      <c r="G70" s="875"/>
      <c r="H70" s="875"/>
      <c r="I70" s="875"/>
      <c r="J70" s="875"/>
    </row>
    <row r="71" spans="1:15">
      <c r="A71" s="874"/>
      <c r="B71" s="874"/>
      <c r="C71" s="874"/>
      <c r="D71" s="874"/>
      <c r="E71" s="874"/>
      <c r="F71" s="874"/>
      <c r="G71" s="874"/>
      <c r="H71" s="874"/>
      <c r="I71" s="874"/>
      <c r="J71" s="874"/>
    </row>
  </sheetData>
  <mergeCells count="9">
    <mergeCell ref="A71:J71"/>
    <mergeCell ref="A70:J70"/>
    <mergeCell ref="A69:D69"/>
    <mergeCell ref="F69:J69"/>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Mensual-Enero 2021
INFSGI-MES-01-2021
09/02/2021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S15" sqref="S15"/>
    </sheetView>
  </sheetViews>
  <sheetFormatPr baseColWidth="10" defaultColWidth="9.28515625" defaultRowHeight="10.199999999999999"/>
  <cols>
    <col min="1" max="1" width="7.7109375" style="46" customWidth="1"/>
    <col min="2" max="2" width="9.85546875" style="46" customWidth="1"/>
    <col min="3" max="3" width="29.7109375" style="46" customWidth="1"/>
    <col min="4" max="5" width="12.7109375" style="46" customWidth="1"/>
    <col min="6" max="6" width="12.140625" style="46" customWidth="1"/>
    <col min="7" max="8" width="9.28515625" style="46"/>
    <col min="9" max="9" width="9.28515625" style="46" customWidth="1"/>
    <col min="10" max="11" width="9.28515625" style="303" customWidth="1"/>
    <col min="12" max="18" width="9.28515625" style="278"/>
    <col min="19" max="31" width="9.28515625" style="303"/>
    <col min="32" max="16384" width="9.28515625" style="46"/>
  </cols>
  <sheetData>
    <row r="1" spans="1:38" ht="11.25" customHeight="1"/>
    <row r="2" spans="1:38" ht="17.25" customHeight="1">
      <c r="A2" s="866" t="s">
        <v>250</v>
      </c>
      <c r="B2" s="866"/>
      <c r="C2" s="866"/>
      <c r="D2" s="866"/>
      <c r="E2" s="866"/>
      <c r="F2" s="866"/>
      <c r="G2" s="866"/>
      <c r="H2" s="866"/>
    </row>
    <row r="3" spans="1:38" ht="11.25" customHeight="1">
      <c r="A3" s="77"/>
      <c r="B3" s="77"/>
      <c r="C3" s="77"/>
      <c r="D3" s="77"/>
      <c r="E3" s="77"/>
      <c r="F3" s="82"/>
      <c r="G3" s="82"/>
      <c r="H3" s="82"/>
      <c r="I3" s="36"/>
      <c r="J3" s="304"/>
    </row>
    <row r="4" spans="1:38" ht="15.75" customHeight="1">
      <c r="A4" s="884" t="s">
        <v>434</v>
      </c>
      <c r="B4" s="884"/>
      <c r="C4" s="884"/>
      <c r="D4" s="884"/>
      <c r="E4" s="884"/>
      <c r="F4" s="884"/>
      <c r="G4" s="884"/>
      <c r="H4" s="884"/>
      <c r="I4" s="36"/>
      <c r="J4" s="304"/>
    </row>
    <row r="5" spans="1:38" ht="11.25" customHeight="1">
      <c r="A5" s="77"/>
      <c r="B5" s="164"/>
      <c r="C5" s="79"/>
      <c r="D5" s="79"/>
      <c r="E5" s="80"/>
      <c r="F5" s="76"/>
      <c r="G5" s="76"/>
      <c r="H5" s="81"/>
      <c r="I5" s="165"/>
      <c r="J5" s="305"/>
    </row>
    <row r="6" spans="1:38" ht="42.75" customHeight="1">
      <c r="A6" s="77"/>
      <c r="C6" s="397" t="s">
        <v>122</v>
      </c>
      <c r="D6" s="398" t="s">
        <v>767</v>
      </c>
      <c r="E6" s="398" t="s">
        <v>768</v>
      </c>
      <c r="F6" s="399" t="s">
        <v>123</v>
      </c>
      <c r="G6" s="169"/>
      <c r="H6" s="170"/>
    </row>
    <row r="7" spans="1:38" ht="11.25" customHeight="1">
      <c r="A7" s="77"/>
      <c r="C7" s="443" t="s">
        <v>124</v>
      </c>
      <c r="D7" s="444">
        <v>20.773000717163001</v>
      </c>
      <c r="E7" s="614">
        <v>22.690999980000001</v>
      </c>
      <c r="F7" s="445">
        <f>IF(E7=0,"",(D7-E7)/E7)</f>
        <v>-8.4526872527765973E-2</v>
      </c>
      <c r="G7" s="137"/>
      <c r="H7" s="265"/>
    </row>
    <row r="8" spans="1:38" ht="11.25" customHeight="1">
      <c r="A8" s="77"/>
      <c r="C8" s="446" t="s">
        <v>125</v>
      </c>
      <c r="D8" s="447">
        <v>81.262001037597599</v>
      </c>
      <c r="E8" s="448">
        <v>65.664001459999994</v>
      </c>
      <c r="F8" s="449">
        <f t="shared" ref="F8:F20" si="0">IF(E8=0,"",(D8-E8)/E8)</f>
        <v>0.23754262961113193</v>
      </c>
      <c r="G8" s="137"/>
      <c r="H8" s="265"/>
    </row>
    <row r="9" spans="1:38" ht="11.25" customHeight="1">
      <c r="A9" s="77"/>
      <c r="C9" s="450" t="s">
        <v>126</v>
      </c>
      <c r="D9" s="451">
        <v>91.696998596191406</v>
      </c>
      <c r="E9" s="452">
        <v>68.990997309999997</v>
      </c>
      <c r="F9" s="453">
        <f t="shared" si="0"/>
        <v>0.32911542333799915</v>
      </c>
      <c r="G9" s="137"/>
      <c r="H9" s="265"/>
      <c r="M9" s="766" t="s">
        <v>256</v>
      </c>
      <c r="N9" s="283"/>
      <c r="O9" s="283"/>
      <c r="P9" s="283"/>
      <c r="Q9" s="283"/>
      <c r="R9" s="283"/>
      <c r="S9" s="306"/>
      <c r="T9" s="306"/>
      <c r="U9" s="306"/>
      <c r="V9" s="306"/>
      <c r="W9" s="306"/>
      <c r="X9" s="306"/>
      <c r="Y9" s="306"/>
      <c r="Z9" s="306"/>
      <c r="AA9" s="306"/>
      <c r="AB9" s="306"/>
      <c r="AC9" s="306"/>
      <c r="AD9" s="306"/>
      <c r="AE9" s="306"/>
      <c r="AF9" s="216"/>
      <c r="AG9" s="216"/>
      <c r="AH9" s="216"/>
      <c r="AI9" s="216"/>
      <c r="AJ9" s="216"/>
      <c r="AK9" s="216"/>
      <c r="AL9" s="216"/>
    </row>
    <row r="10" spans="1:38" ht="11.25" customHeight="1">
      <c r="A10" s="77"/>
      <c r="C10" s="446" t="s">
        <v>127</v>
      </c>
      <c r="D10" s="447">
        <v>38.167999267578097</v>
      </c>
      <c r="E10" s="448">
        <v>31.332000730000001</v>
      </c>
      <c r="F10" s="449">
        <f t="shared" si="0"/>
        <v>0.21817944524151348</v>
      </c>
      <c r="G10" s="137"/>
      <c r="H10" s="265"/>
      <c r="M10" s="766" t="s">
        <v>257</v>
      </c>
      <c r="N10" s="283"/>
      <c r="O10" s="283"/>
      <c r="P10" s="283"/>
      <c r="Q10" s="283"/>
      <c r="R10" s="283"/>
      <c r="S10" s="306"/>
      <c r="T10" s="306"/>
      <c r="AD10" s="306"/>
      <c r="AE10" s="306"/>
      <c r="AF10" s="216"/>
      <c r="AG10" s="216"/>
      <c r="AH10" s="216"/>
      <c r="AI10" s="216"/>
      <c r="AJ10" s="216"/>
      <c r="AK10" s="216"/>
      <c r="AL10" s="216"/>
    </row>
    <row r="11" spans="1:38" ht="11.25" customHeight="1">
      <c r="A11" s="77"/>
      <c r="C11" s="450" t="s">
        <v>128</v>
      </c>
      <c r="D11" s="451">
        <v>27.8619995117187</v>
      </c>
      <c r="E11" s="452">
        <v>11.24100018</v>
      </c>
      <c r="F11" s="453">
        <f>IF(E11=0,"",(D11-E11)/E11)</f>
        <v>1.4786050231803038</v>
      </c>
      <c r="G11" s="137"/>
      <c r="H11" s="265"/>
      <c r="M11" s="283"/>
      <c r="N11" s="768">
        <v>2018</v>
      </c>
      <c r="O11" s="768">
        <v>2019</v>
      </c>
      <c r="P11" s="768">
        <v>2020</v>
      </c>
      <c r="Q11" s="768">
        <v>2021</v>
      </c>
      <c r="R11" s="283"/>
      <c r="S11" s="306"/>
      <c r="T11" s="306"/>
      <c r="AD11" s="306"/>
      <c r="AE11" s="306"/>
      <c r="AF11" s="216"/>
      <c r="AG11" s="216"/>
      <c r="AH11" s="216"/>
      <c r="AI11" s="216"/>
      <c r="AJ11" s="216"/>
      <c r="AK11" s="216"/>
      <c r="AL11" s="216"/>
    </row>
    <row r="12" spans="1:38" ht="11.25" customHeight="1">
      <c r="A12" s="77"/>
      <c r="C12" s="446" t="s">
        <v>129</v>
      </c>
      <c r="D12" s="447">
        <v>22.3050003051757</v>
      </c>
      <c r="E12" s="448">
        <v>13.80000019</v>
      </c>
      <c r="F12" s="449">
        <f t="shared" si="0"/>
        <v>0.61630434768680242</v>
      </c>
      <c r="G12" s="137"/>
      <c r="H12" s="265"/>
      <c r="M12" s="769">
        <v>1</v>
      </c>
      <c r="N12" s="770">
        <v>104.46</v>
      </c>
      <c r="O12" s="770">
        <v>117.2900009</v>
      </c>
      <c r="P12" s="770">
        <v>117.290000915527</v>
      </c>
      <c r="Q12" s="658">
        <v>129.00799559999999</v>
      </c>
      <c r="R12" s="283"/>
      <c r="S12" s="306"/>
      <c r="T12" s="306"/>
      <c r="AD12" s="306"/>
      <c r="AE12" s="306"/>
      <c r="AF12" s="216"/>
      <c r="AG12" s="216"/>
      <c r="AH12" s="216"/>
      <c r="AI12" s="216"/>
      <c r="AJ12" s="216"/>
      <c r="AK12" s="216"/>
      <c r="AL12" s="216"/>
    </row>
    <row r="13" spans="1:38" ht="11.25" customHeight="1">
      <c r="A13" s="77"/>
      <c r="C13" s="450" t="s">
        <v>130</v>
      </c>
      <c r="D13" s="451">
        <v>63.930000305175703</v>
      </c>
      <c r="E13" s="452">
        <v>66.050003050000001</v>
      </c>
      <c r="F13" s="453">
        <f t="shared" si="0"/>
        <v>-3.2096936365308734E-2</v>
      </c>
      <c r="G13" s="137"/>
      <c r="H13" s="265"/>
      <c r="M13" s="769">
        <v>2</v>
      </c>
      <c r="N13" s="770">
        <v>103.4720001</v>
      </c>
      <c r="O13" s="770">
        <v>116.0110016</v>
      </c>
      <c r="P13" s="770">
        <v>146.93600459999999</v>
      </c>
      <c r="Q13" s="658">
        <v>140.9219971</v>
      </c>
      <c r="R13" s="283"/>
      <c r="S13" s="306"/>
      <c r="T13" s="306"/>
      <c r="AD13" s="306"/>
      <c r="AE13" s="306"/>
      <c r="AF13" s="216"/>
      <c r="AG13" s="216"/>
      <c r="AH13" s="216"/>
      <c r="AI13" s="216"/>
      <c r="AJ13" s="216"/>
      <c r="AK13" s="216"/>
      <c r="AL13" s="216"/>
    </row>
    <row r="14" spans="1:38" ht="11.25" customHeight="1">
      <c r="A14" s="77"/>
      <c r="C14" s="446" t="s">
        <v>131</v>
      </c>
      <c r="D14" s="447">
        <v>249.35200500488199</v>
      </c>
      <c r="E14" s="448">
        <v>219.83900449999999</v>
      </c>
      <c r="F14" s="449">
        <f t="shared" si="0"/>
        <v>0.13424824485539372</v>
      </c>
      <c r="G14" s="137"/>
      <c r="H14" s="265"/>
      <c r="M14" s="769">
        <v>3</v>
      </c>
      <c r="N14" s="770">
        <v>106.08699799999999</v>
      </c>
      <c r="O14" s="770">
        <v>117.6</v>
      </c>
      <c r="P14" s="770">
        <v>149.93200680000001</v>
      </c>
      <c r="Q14" s="658">
        <v>146.8099976</v>
      </c>
      <c r="R14" s="283"/>
      <c r="S14" s="306"/>
      <c r="T14" s="306"/>
      <c r="AD14" s="306"/>
      <c r="AE14" s="306"/>
      <c r="AF14" s="216"/>
      <c r="AG14" s="216"/>
      <c r="AH14" s="216"/>
      <c r="AI14" s="216"/>
      <c r="AJ14" s="216"/>
      <c r="AK14" s="216"/>
      <c r="AL14" s="216"/>
    </row>
    <row r="15" spans="1:38" ht="11.25" customHeight="1">
      <c r="A15" s="77"/>
      <c r="C15" s="450" t="s">
        <v>132</v>
      </c>
      <c r="D15" s="451">
        <v>13.435999870300201</v>
      </c>
      <c r="E15" s="452">
        <v>35.240001679999999</v>
      </c>
      <c r="F15" s="453">
        <f t="shared" si="0"/>
        <v>-0.61872873922348237</v>
      </c>
      <c r="G15" s="137"/>
      <c r="H15" s="265"/>
      <c r="M15" s="769">
        <v>4</v>
      </c>
      <c r="N15" s="770">
        <v>112.7200012</v>
      </c>
      <c r="O15" s="770">
        <v>128.32000729999999</v>
      </c>
      <c r="P15" s="770">
        <v>152.6190033</v>
      </c>
      <c r="Q15" s="658">
        <v>159.0500031</v>
      </c>
      <c r="R15" s="283"/>
      <c r="S15" s="306"/>
      <c r="T15" s="306"/>
      <c r="AD15" s="306"/>
      <c r="AE15" s="306"/>
      <c r="AF15" s="216"/>
      <c r="AG15" s="216"/>
      <c r="AH15" s="216"/>
      <c r="AI15" s="216"/>
      <c r="AJ15" s="216"/>
      <c r="AK15" s="216"/>
      <c r="AL15" s="216"/>
    </row>
    <row r="16" spans="1:38" ht="11.25" customHeight="1">
      <c r="A16" s="77"/>
      <c r="C16" s="446" t="s">
        <v>133</v>
      </c>
      <c r="D16" s="447">
        <v>201.90499877929599</v>
      </c>
      <c r="E16" s="448">
        <v>167.9100037</v>
      </c>
      <c r="F16" s="449">
        <f t="shared" si="0"/>
        <v>0.20245961723658748</v>
      </c>
      <c r="G16" s="137"/>
      <c r="H16" s="265"/>
      <c r="M16" s="769">
        <v>5</v>
      </c>
      <c r="N16" s="770">
        <v>122.3190002</v>
      </c>
      <c r="O16" s="770">
        <v>139.2400055</v>
      </c>
      <c r="P16" s="770">
        <v>162.19599909999999</v>
      </c>
      <c r="Q16" s="658">
        <v>174.75</v>
      </c>
      <c r="R16" s="283"/>
      <c r="S16" s="306"/>
      <c r="T16" s="306"/>
      <c r="AD16" s="306"/>
      <c r="AE16" s="306"/>
      <c r="AF16" s="216"/>
      <c r="AG16" s="216"/>
      <c r="AH16" s="216"/>
      <c r="AI16" s="216"/>
      <c r="AJ16" s="216"/>
      <c r="AK16" s="216"/>
      <c r="AL16" s="216"/>
    </row>
    <row r="17" spans="1:38" ht="11.25" customHeight="1">
      <c r="A17" s="77"/>
      <c r="C17" s="450" t="s">
        <v>134</v>
      </c>
      <c r="D17" s="451">
        <v>76.839996337890597</v>
      </c>
      <c r="E17" s="452">
        <v>94.63999939</v>
      </c>
      <c r="F17" s="453">
        <f t="shared" si="0"/>
        <v>-0.18808118308156091</v>
      </c>
      <c r="G17" s="137"/>
      <c r="H17" s="265"/>
      <c r="M17" s="769">
        <v>6</v>
      </c>
      <c r="N17" s="770">
        <v>126.1559982</v>
      </c>
      <c r="O17" s="770">
        <v>150.94</v>
      </c>
      <c r="P17" s="770">
        <v>168.51100158691401</v>
      </c>
      <c r="Q17" s="658"/>
      <c r="R17" s="283"/>
      <c r="S17" s="306"/>
      <c r="T17" s="306"/>
      <c r="AD17" s="306"/>
      <c r="AE17" s="306"/>
      <c r="AF17" s="216"/>
      <c r="AG17" s="216"/>
      <c r="AH17" s="216"/>
      <c r="AI17" s="216"/>
      <c r="AJ17" s="216"/>
      <c r="AK17" s="216"/>
      <c r="AL17" s="216"/>
    </row>
    <row r="18" spans="1:38" ht="11.25" customHeight="1">
      <c r="A18" s="77"/>
      <c r="C18" s="446" t="s">
        <v>135</v>
      </c>
      <c r="D18" s="447">
        <v>12.920000076293899</v>
      </c>
      <c r="E18" s="448">
        <v>7.1789999010000001</v>
      </c>
      <c r="F18" s="449">
        <f t="shared" si="0"/>
        <v>0.79969358607933749</v>
      </c>
      <c r="G18" s="137"/>
      <c r="H18" s="265"/>
      <c r="M18" s="769">
        <v>7</v>
      </c>
      <c r="N18" s="770">
        <v>142.9900055</v>
      </c>
      <c r="O18" s="770">
        <v>162.4909973</v>
      </c>
      <c r="P18" s="770">
        <v>175.46800229999999</v>
      </c>
      <c r="Q18" s="658"/>
      <c r="R18" s="283"/>
      <c r="S18" s="306"/>
      <c r="T18" s="306"/>
      <c r="AD18" s="306"/>
      <c r="AE18" s="306"/>
      <c r="AF18" s="216"/>
      <c r="AG18" s="216"/>
      <c r="AH18" s="216"/>
      <c r="AI18" s="216"/>
      <c r="AJ18" s="216"/>
      <c r="AK18" s="216"/>
      <c r="AL18" s="216"/>
    </row>
    <row r="19" spans="1:38" ht="12.75" customHeight="1">
      <c r="A19" s="77"/>
      <c r="C19" s="450" t="s">
        <v>136</v>
      </c>
      <c r="D19" s="451">
        <v>26.0719299316406</v>
      </c>
      <c r="E19" s="452">
        <v>26.607500080000001</v>
      </c>
      <c r="F19" s="453">
        <f t="shared" si="0"/>
        <v>-2.0128540702776202E-2</v>
      </c>
      <c r="G19" s="137"/>
      <c r="H19" s="265"/>
      <c r="M19" s="769">
        <v>8</v>
      </c>
      <c r="N19" s="770">
        <v>134.13600159999999</v>
      </c>
      <c r="O19" s="770">
        <v>169.03700259999999</v>
      </c>
      <c r="P19" s="770">
        <v>188.82800292968699</v>
      </c>
      <c r="Q19" s="658"/>
      <c r="R19" s="283"/>
      <c r="S19" s="306"/>
      <c r="T19" s="306"/>
      <c r="AD19" s="306"/>
      <c r="AE19" s="306"/>
      <c r="AF19" s="216"/>
      <c r="AG19" s="216"/>
      <c r="AH19" s="216"/>
      <c r="AI19" s="216"/>
      <c r="AJ19" s="216"/>
      <c r="AK19" s="216"/>
      <c r="AL19" s="216"/>
    </row>
    <row r="20" spans="1:38" ht="13.5" customHeight="1">
      <c r="A20" s="77"/>
      <c r="C20" s="446" t="s">
        <v>137</v>
      </c>
      <c r="D20" s="447">
        <v>15.9009599685669</v>
      </c>
      <c r="E20" s="448">
        <v>6.9889798159999996</v>
      </c>
      <c r="F20" s="449">
        <f t="shared" si="0"/>
        <v>1.2751475018091398</v>
      </c>
      <c r="G20" s="137"/>
      <c r="H20" s="265"/>
      <c r="M20" s="769">
        <v>9</v>
      </c>
      <c r="N20" s="770">
        <v>153.34500120000001</v>
      </c>
      <c r="O20" s="770">
        <v>182.64300539999999</v>
      </c>
      <c r="P20" s="770">
        <v>196.47700499999999</v>
      </c>
      <c r="Q20" s="658"/>
      <c r="R20" s="283"/>
      <c r="S20" s="306"/>
      <c r="T20" s="306"/>
      <c r="AD20" s="306"/>
      <c r="AE20" s="306"/>
      <c r="AF20" s="216"/>
      <c r="AG20" s="216"/>
      <c r="AH20" s="216"/>
      <c r="AI20" s="216"/>
      <c r="AJ20" s="216"/>
      <c r="AK20" s="216"/>
      <c r="AL20" s="216"/>
    </row>
    <row r="21" spans="1:38" ht="11.25" customHeight="1">
      <c r="A21" s="77"/>
      <c r="C21" s="450" t="s">
        <v>138</v>
      </c>
      <c r="D21" s="451">
        <v>4.5190000534057599</v>
      </c>
      <c r="E21" s="452">
        <v>4.1069998740000004</v>
      </c>
      <c r="F21" s="453">
        <f t="shared" ref="F21:F27" si="1">IF(E21=0,"",(D21-E21)/E21)</f>
        <v>0.10031657950953214</v>
      </c>
      <c r="M21" s="769">
        <v>10</v>
      </c>
      <c r="N21" s="770">
        <v>153.0590057</v>
      </c>
      <c r="O21" s="770">
        <v>190.99600219999999</v>
      </c>
      <c r="P21" s="770">
        <v>199.98199460000001</v>
      </c>
      <c r="Q21" s="658"/>
      <c r="R21" s="283"/>
      <c r="S21" s="306"/>
      <c r="T21" s="306"/>
      <c r="AD21" s="306"/>
      <c r="AE21" s="306"/>
      <c r="AF21" s="216"/>
      <c r="AG21" s="216"/>
      <c r="AH21" s="216"/>
      <c r="AI21" s="216"/>
      <c r="AJ21" s="216"/>
      <c r="AK21" s="216"/>
      <c r="AL21" s="216"/>
    </row>
    <row r="22" spans="1:38" ht="11.25" customHeight="1">
      <c r="A22" s="77"/>
      <c r="C22" s="446" t="s">
        <v>139</v>
      </c>
      <c r="D22" s="447">
        <v>7.1290001869201598</v>
      </c>
      <c r="E22" s="448">
        <v>7.1290001869999999</v>
      </c>
      <c r="F22" s="449">
        <f t="shared" si="1"/>
        <v>-1.1199345267135096E-11</v>
      </c>
      <c r="G22" s="137"/>
      <c r="H22" s="265"/>
      <c r="M22" s="769">
        <v>11</v>
      </c>
      <c r="N22" s="770">
        <v>162.93200680000001</v>
      </c>
      <c r="O22" s="770">
        <v>200.89500427246</v>
      </c>
      <c r="P22" s="770">
        <v>200.89500430000001</v>
      </c>
      <c r="Q22" s="748"/>
      <c r="AF22" s="266"/>
      <c r="AG22" s="266"/>
      <c r="AH22" s="266"/>
      <c r="AI22" s="266"/>
      <c r="AJ22" s="266"/>
      <c r="AK22" s="266"/>
      <c r="AL22" s="266"/>
    </row>
    <row r="23" spans="1:38" ht="11.25" customHeight="1">
      <c r="A23" s="77"/>
      <c r="C23" s="450" t="s">
        <v>414</v>
      </c>
      <c r="D23" s="451">
        <v>4.8119997978210396</v>
      </c>
      <c r="E23" s="452">
        <v>1.0429999830000001</v>
      </c>
      <c r="F23" s="453">
        <f t="shared" si="1"/>
        <v>3.613614454700369</v>
      </c>
      <c r="G23" s="137"/>
      <c r="H23" s="265"/>
      <c r="M23" s="769">
        <v>12</v>
      </c>
      <c r="N23" s="770">
        <v>172.76199339999999</v>
      </c>
      <c r="O23" s="770">
        <v>209.09500120000001</v>
      </c>
      <c r="P23" s="770">
        <v>210.61200000000002</v>
      </c>
      <c r="Q23" s="748"/>
      <c r="AF23" s="266"/>
      <c r="AG23" s="266"/>
      <c r="AH23" s="266"/>
      <c r="AI23" s="266"/>
      <c r="AJ23" s="266"/>
      <c r="AK23" s="266"/>
      <c r="AL23" s="266"/>
    </row>
    <row r="24" spans="1:38" ht="11.25" customHeight="1">
      <c r="A24" s="77"/>
      <c r="C24" s="446" t="s">
        <v>140</v>
      </c>
      <c r="D24" s="448">
        <v>159.05000305175699</v>
      </c>
      <c r="E24" s="448">
        <v>152.6190033</v>
      </c>
      <c r="F24" s="449">
        <f t="shared" si="1"/>
        <v>4.2137608113687539E-2</v>
      </c>
      <c r="G24" s="137"/>
      <c r="H24" s="265"/>
      <c r="M24" s="769">
        <v>13</v>
      </c>
      <c r="N24" s="770">
        <v>182.13900760000001</v>
      </c>
      <c r="O24" s="770">
        <v>215.7310028</v>
      </c>
      <c r="P24" s="770">
        <v>221.91900634765599</v>
      </c>
      <c r="Q24" s="748"/>
      <c r="AF24" s="266"/>
      <c r="AG24" s="266"/>
      <c r="AH24" s="266"/>
      <c r="AI24" s="266"/>
      <c r="AJ24" s="266"/>
      <c r="AK24" s="266"/>
      <c r="AL24" s="266"/>
    </row>
    <row r="25" spans="1:38" ht="11.25" customHeight="1">
      <c r="A25" s="77"/>
      <c r="C25" s="450" t="s">
        <v>141</v>
      </c>
      <c r="D25" s="452">
        <v>26.7000007629394</v>
      </c>
      <c r="E25" s="452">
        <v>21.82799911</v>
      </c>
      <c r="F25" s="453">
        <f t="shared" si="1"/>
        <v>0.22319964502414713</v>
      </c>
      <c r="G25" s="137"/>
      <c r="H25" s="265"/>
      <c r="M25" s="769">
        <v>14</v>
      </c>
      <c r="N25" s="770">
        <v>191.4750061</v>
      </c>
      <c r="O25" s="770">
        <v>219.1710052</v>
      </c>
      <c r="P25" s="770">
        <v>223.19599909999999</v>
      </c>
      <c r="Q25" s="748"/>
      <c r="AF25" s="266"/>
      <c r="AG25" s="266"/>
      <c r="AH25" s="266"/>
      <c r="AI25" s="266"/>
      <c r="AJ25" s="266"/>
      <c r="AK25" s="266"/>
      <c r="AL25" s="266"/>
    </row>
    <row r="26" spans="1:38" ht="11.25" customHeight="1">
      <c r="A26" s="77"/>
      <c r="C26" s="446" t="s">
        <v>142</v>
      </c>
      <c r="D26" s="448">
        <v>20.646999999999998</v>
      </c>
      <c r="E26" s="448">
        <v>24.626000000000001</v>
      </c>
      <c r="F26" s="449">
        <f t="shared" si="1"/>
        <v>-0.16157719483472763</v>
      </c>
      <c r="G26" s="137"/>
      <c r="H26" s="137"/>
      <c r="M26" s="769">
        <v>15</v>
      </c>
      <c r="N26" s="770">
        <v>198.43899540000001</v>
      </c>
      <c r="O26" s="770">
        <v>220.17399599999999</v>
      </c>
      <c r="P26" s="770">
        <v>225.0500031</v>
      </c>
      <c r="Q26" s="748"/>
      <c r="AF26" s="266"/>
      <c r="AG26" s="266"/>
      <c r="AH26" s="266"/>
      <c r="AI26" s="266"/>
      <c r="AJ26" s="266"/>
      <c r="AK26" s="266"/>
      <c r="AL26" s="266"/>
    </row>
    <row r="27" spans="1:38" ht="11.25" customHeight="1">
      <c r="A27" s="77"/>
      <c r="C27" s="450" t="s">
        <v>143</v>
      </c>
      <c r="D27" s="451">
        <v>188.66400146484301</v>
      </c>
      <c r="E27" s="452">
        <v>166.64599609999999</v>
      </c>
      <c r="F27" s="453">
        <f t="shared" si="1"/>
        <v>0.13212441870868941</v>
      </c>
      <c r="G27" s="137"/>
      <c r="H27" s="137"/>
      <c r="M27" s="769">
        <v>16</v>
      </c>
      <c r="N27" s="770">
        <v>201.52999879999999</v>
      </c>
      <c r="O27" s="770">
        <v>220.3150024</v>
      </c>
      <c r="P27" s="770">
        <v>224.84800720000001</v>
      </c>
      <c r="Q27" s="748"/>
      <c r="AF27" s="266"/>
      <c r="AG27" s="266"/>
      <c r="AH27" s="266"/>
      <c r="AI27" s="266"/>
      <c r="AJ27" s="266"/>
      <c r="AK27" s="266"/>
      <c r="AL27" s="266"/>
    </row>
    <row r="28" spans="1:38" ht="26.25" customHeight="1">
      <c r="A28" s="77"/>
      <c r="C28" s="885" t="str">
        <f>"Cuadro N°9: Volumen útil de los principales embalses y lagunas del SEIN al término del periodo mensual ("&amp;'1. Resumen'!Q7&amp;" de "&amp;'1. Resumen'!Q4&amp;") "</f>
        <v xml:space="preserve">Cuadro N°9: Volumen útil de los principales embalses y lagunas del SEIN al término del periodo mensual (31 de enero) </v>
      </c>
      <c r="D28" s="885"/>
      <c r="E28" s="885"/>
      <c r="F28" s="885"/>
      <c r="G28" s="137"/>
      <c r="H28" s="137"/>
      <c r="M28" s="769">
        <v>17</v>
      </c>
      <c r="N28" s="770">
        <v>206.03700259999999</v>
      </c>
      <c r="O28" s="770">
        <v>220.56</v>
      </c>
      <c r="P28" s="770">
        <v>225.27900695800699</v>
      </c>
      <c r="Q28" s="748"/>
      <c r="AF28" s="266"/>
      <c r="AG28" s="266"/>
      <c r="AH28" s="266"/>
      <c r="AI28" s="266"/>
      <c r="AJ28" s="266"/>
      <c r="AK28" s="266"/>
      <c r="AL28" s="266"/>
    </row>
    <row r="29" spans="1:38" ht="12" customHeight="1">
      <c r="A29" s="75"/>
      <c r="G29" s="137"/>
      <c r="H29" s="137"/>
      <c r="I29" s="167"/>
      <c r="J29" s="307"/>
      <c r="M29" s="769">
        <v>18</v>
      </c>
      <c r="N29" s="770">
        <v>213.67399599999999</v>
      </c>
      <c r="O29" s="770">
        <v>224.15199279999999</v>
      </c>
      <c r="P29" s="770">
        <v>226.44200129999999</v>
      </c>
      <c r="Q29" s="780"/>
      <c r="AF29" s="266"/>
      <c r="AG29" s="266"/>
      <c r="AH29" s="266"/>
      <c r="AI29" s="266"/>
      <c r="AJ29" s="266"/>
      <c r="AK29" s="266"/>
      <c r="AL29" s="266"/>
    </row>
    <row r="30" spans="1:38" ht="11.25" customHeight="1">
      <c r="A30" s="75"/>
      <c r="B30" s="173"/>
      <c r="C30" s="173"/>
      <c r="D30" s="173"/>
      <c r="E30" s="173"/>
      <c r="F30" s="171"/>
      <c r="G30" s="137"/>
      <c r="H30" s="137"/>
      <c r="M30" s="769">
        <v>19</v>
      </c>
      <c r="N30" s="770">
        <v>216.75700380000001</v>
      </c>
      <c r="O30" s="770">
        <v>224.378006</v>
      </c>
      <c r="P30" s="770">
        <v>227.14199830000001</v>
      </c>
      <c r="Q30" s="780"/>
      <c r="AF30" s="266"/>
      <c r="AG30" s="266"/>
      <c r="AH30" s="266"/>
      <c r="AI30" s="266"/>
      <c r="AJ30" s="266"/>
      <c r="AK30" s="266"/>
      <c r="AL30" s="266"/>
    </row>
    <row r="31" spans="1:38" ht="11.25" customHeight="1">
      <c r="A31" s="75"/>
      <c r="B31" s="173"/>
      <c r="C31" s="173"/>
      <c r="D31" s="173"/>
      <c r="E31" s="173"/>
      <c r="F31" s="171"/>
      <c r="G31" s="171"/>
      <c r="H31" s="171"/>
      <c r="I31" s="167"/>
      <c r="J31" s="307"/>
      <c r="M31" s="769">
        <v>20</v>
      </c>
      <c r="N31" s="770">
        <v>217.29400630000001</v>
      </c>
      <c r="O31" s="770">
        <v>224.60401920000001</v>
      </c>
      <c r="P31" s="770">
        <v>227.625</v>
      </c>
      <c r="Q31" s="780"/>
      <c r="AF31" s="266"/>
      <c r="AG31" s="266"/>
      <c r="AH31" s="266"/>
      <c r="AI31" s="266"/>
      <c r="AJ31" s="266"/>
      <c r="AK31" s="266"/>
      <c r="AL31" s="266"/>
    </row>
    <row r="32" spans="1:38" ht="13.5" customHeight="1">
      <c r="A32" s="884" t="s">
        <v>433</v>
      </c>
      <c r="B32" s="884"/>
      <c r="C32" s="884"/>
      <c r="D32" s="884"/>
      <c r="E32" s="884"/>
      <c r="F32" s="884"/>
      <c r="G32" s="884"/>
      <c r="H32" s="884"/>
      <c r="I32" s="56"/>
      <c r="J32" s="307"/>
      <c r="M32" s="769">
        <v>21</v>
      </c>
      <c r="N32" s="770">
        <v>218.3190002</v>
      </c>
      <c r="O32" s="770">
        <v>223.4909973</v>
      </c>
      <c r="P32" s="770">
        <v>227.75800000000001</v>
      </c>
      <c r="Q32" s="780"/>
      <c r="AF32" s="266"/>
      <c r="AG32" s="266"/>
      <c r="AH32" s="266"/>
      <c r="AI32" s="266"/>
      <c r="AJ32" s="266"/>
      <c r="AK32" s="266"/>
      <c r="AL32" s="266"/>
    </row>
    <row r="33" spans="1:38" ht="11.25" customHeight="1">
      <c r="A33" s="75"/>
      <c r="B33" s="82"/>
      <c r="C33" s="82"/>
      <c r="D33" s="82"/>
      <c r="E33" s="82"/>
      <c r="F33" s="82"/>
      <c r="G33" s="82"/>
      <c r="H33" s="82"/>
      <c r="I33" s="56"/>
      <c r="J33" s="307"/>
      <c r="M33" s="769">
        <v>22</v>
      </c>
      <c r="N33" s="770">
        <v>218.79899599999999</v>
      </c>
      <c r="O33" s="770">
        <v>222.62600710000001</v>
      </c>
      <c r="P33" s="770">
        <v>226.41700739999999</v>
      </c>
      <c r="Q33" s="780"/>
      <c r="AF33" s="266"/>
      <c r="AG33" s="266"/>
      <c r="AH33" s="266"/>
      <c r="AI33" s="266"/>
      <c r="AJ33" s="266"/>
      <c r="AK33" s="266"/>
      <c r="AL33" s="266"/>
    </row>
    <row r="34" spans="1:38" ht="11.25" customHeight="1">
      <c r="A34" s="75"/>
      <c r="B34" s="82"/>
      <c r="C34" s="82"/>
      <c r="D34" s="82"/>
      <c r="E34" s="82"/>
      <c r="F34" s="82"/>
      <c r="G34" s="82"/>
      <c r="H34" s="82"/>
      <c r="I34" s="56"/>
      <c r="J34" s="307"/>
      <c r="M34" s="769">
        <v>23</v>
      </c>
      <c r="N34" s="770">
        <v>217.8880005</v>
      </c>
      <c r="O34" s="770">
        <v>221.62399289999999</v>
      </c>
      <c r="P34" s="770">
        <v>224.4589996</v>
      </c>
      <c r="Q34" s="780"/>
      <c r="AF34" s="266"/>
      <c r="AG34" s="266"/>
      <c r="AH34" s="266"/>
      <c r="AI34" s="266"/>
      <c r="AJ34" s="266"/>
      <c r="AK34" s="266"/>
      <c r="AL34" s="266"/>
    </row>
    <row r="35" spans="1:38" ht="11.25" customHeight="1">
      <c r="A35" s="75"/>
      <c r="B35" s="82"/>
      <c r="C35" s="82"/>
      <c r="D35" s="82"/>
      <c r="E35" s="82"/>
      <c r="F35" s="82"/>
      <c r="G35" s="82"/>
      <c r="H35" s="82"/>
      <c r="I35" s="168"/>
      <c r="J35" s="307"/>
      <c r="M35" s="769">
        <v>24</v>
      </c>
      <c r="N35" s="770">
        <v>216.04899599999999</v>
      </c>
      <c r="O35" s="770">
        <v>218.3840027</v>
      </c>
      <c r="P35" s="770">
        <v>220.634994506835</v>
      </c>
      <c r="Q35" s="780"/>
      <c r="AF35" s="266"/>
      <c r="AG35" s="266"/>
      <c r="AH35" s="266"/>
      <c r="AI35" s="266"/>
      <c r="AJ35" s="266"/>
      <c r="AK35" s="266"/>
      <c r="AL35" s="266"/>
    </row>
    <row r="36" spans="1:38" ht="11.25" customHeight="1">
      <c r="A36" s="75"/>
      <c r="B36" s="82"/>
      <c r="C36" s="82"/>
      <c r="D36" s="82"/>
      <c r="E36" s="82"/>
      <c r="F36" s="82"/>
      <c r="G36" s="82"/>
      <c r="H36" s="82"/>
      <c r="I36" s="56"/>
      <c r="J36" s="307"/>
      <c r="M36" s="769">
        <v>25</v>
      </c>
      <c r="N36" s="770">
        <v>212.24600219999999</v>
      </c>
      <c r="O36" s="770">
        <v>215.08099369999999</v>
      </c>
      <c r="P36" s="770">
        <v>218.28599550000001</v>
      </c>
      <c r="Q36" s="780"/>
      <c r="AF36" s="266"/>
      <c r="AG36" s="266"/>
      <c r="AH36" s="266"/>
      <c r="AI36" s="266"/>
      <c r="AJ36" s="266"/>
      <c r="AK36" s="266"/>
      <c r="AL36" s="266"/>
    </row>
    <row r="37" spans="1:38" ht="11.25" customHeight="1">
      <c r="A37" s="75"/>
      <c r="B37" s="82"/>
      <c r="C37" s="82"/>
      <c r="D37" s="82"/>
      <c r="E37" s="82"/>
      <c r="F37" s="82"/>
      <c r="G37" s="82"/>
      <c r="H37" s="82"/>
      <c r="I37" s="56"/>
      <c r="J37" s="308"/>
      <c r="M37" s="769">
        <v>26</v>
      </c>
      <c r="N37" s="770">
        <v>210.22099299999999</v>
      </c>
      <c r="O37" s="770">
        <v>210.41900630000001</v>
      </c>
      <c r="P37" s="770">
        <v>214.90499879999999</v>
      </c>
      <c r="Q37" s="780"/>
      <c r="AF37" s="266"/>
      <c r="AG37" s="266"/>
      <c r="AH37" s="266"/>
      <c r="AI37" s="266"/>
      <c r="AJ37" s="266"/>
      <c r="AK37" s="266"/>
      <c r="AL37" s="266"/>
    </row>
    <row r="38" spans="1:38" ht="11.25" customHeight="1">
      <c r="A38" s="75"/>
      <c r="B38" s="82"/>
      <c r="C38" s="82"/>
      <c r="D38" s="82"/>
      <c r="E38" s="82"/>
      <c r="F38" s="82"/>
      <c r="G38" s="82"/>
      <c r="H38" s="82"/>
      <c r="I38" s="56"/>
      <c r="J38" s="308"/>
      <c r="M38" s="769">
        <v>27</v>
      </c>
      <c r="N38" s="770">
        <v>209.85200499999999</v>
      </c>
      <c r="O38" s="770">
        <v>204.23</v>
      </c>
      <c r="P38" s="770">
        <v>210.91799926757801</v>
      </c>
      <c r="Q38" s="780"/>
      <c r="AF38" s="266"/>
      <c r="AG38" s="266"/>
      <c r="AH38" s="266"/>
      <c r="AI38" s="266"/>
      <c r="AJ38" s="266"/>
      <c r="AK38" s="266"/>
      <c r="AL38" s="266"/>
    </row>
    <row r="39" spans="1:38" ht="11.25" customHeight="1">
      <c r="A39" s="75"/>
      <c r="B39" s="82"/>
      <c r="C39" s="82"/>
      <c r="D39" s="82"/>
      <c r="E39" s="82"/>
      <c r="F39" s="82"/>
      <c r="G39" s="82"/>
      <c r="H39" s="82"/>
      <c r="I39" s="56"/>
      <c r="J39" s="309"/>
      <c r="M39" s="769">
        <v>28</v>
      </c>
      <c r="N39" s="770">
        <v>203.92900090000001</v>
      </c>
      <c r="O39" s="777">
        <v>201.1309967</v>
      </c>
      <c r="P39" s="777">
        <v>207.96099849999999</v>
      </c>
      <c r="Q39" s="780"/>
      <c r="AF39" s="266"/>
      <c r="AG39" s="266"/>
      <c r="AH39" s="266"/>
      <c r="AI39" s="266"/>
      <c r="AJ39" s="266"/>
      <c r="AK39" s="266"/>
      <c r="AL39" s="266"/>
    </row>
    <row r="40" spans="1:38" ht="11.25" customHeight="1">
      <c r="A40" s="75"/>
      <c r="B40" s="82"/>
      <c r="C40" s="82"/>
      <c r="D40" s="82"/>
      <c r="E40" s="82"/>
      <c r="F40" s="82"/>
      <c r="G40" s="82"/>
      <c r="H40" s="82"/>
      <c r="I40" s="56"/>
      <c r="J40" s="309"/>
      <c r="M40" s="769">
        <v>29</v>
      </c>
      <c r="N40" s="770">
        <v>200.56300350000001</v>
      </c>
      <c r="O40" s="770">
        <v>196.16000366210901</v>
      </c>
      <c r="P40" s="770">
        <v>205.66700739999999</v>
      </c>
      <c r="Q40" s="780"/>
      <c r="AF40" s="266"/>
      <c r="AG40" s="266"/>
      <c r="AH40" s="266"/>
      <c r="AI40" s="266"/>
      <c r="AJ40" s="266"/>
      <c r="AK40" s="266"/>
      <c r="AL40" s="266"/>
    </row>
    <row r="41" spans="1:38" ht="11.25" customHeight="1">
      <c r="A41" s="75"/>
      <c r="B41" s="82"/>
      <c r="C41" s="82"/>
      <c r="D41" s="82"/>
      <c r="E41" s="82"/>
      <c r="F41" s="82"/>
      <c r="G41" s="82"/>
      <c r="H41" s="82"/>
      <c r="I41" s="56"/>
      <c r="J41" s="309"/>
      <c r="M41" s="769">
        <v>30</v>
      </c>
      <c r="N41" s="770">
        <v>194.94900509999999</v>
      </c>
      <c r="O41" s="770">
        <v>193.86</v>
      </c>
      <c r="P41" s="770">
        <v>197.3999939</v>
      </c>
      <c r="Q41" s="780"/>
      <c r="AF41" s="266"/>
      <c r="AG41" s="266"/>
      <c r="AH41" s="266"/>
      <c r="AI41" s="266"/>
      <c r="AJ41" s="266"/>
      <c r="AK41" s="266"/>
      <c r="AL41" s="266"/>
    </row>
    <row r="42" spans="1:38" ht="11.25" customHeight="1">
      <c r="A42" s="75"/>
      <c r="B42" s="82"/>
      <c r="C42" s="82"/>
      <c r="D42" s="82"/>
      <c r="E42" s="82"/>
      <c r="F42" s="82"/>
      <c r="G42" s="82"/>
      <c r="H42" s="82"/>
      <c r="I42" s="168"/>
      <c r="J42" s="308"/>
      <c r="M42" s="769">
        <v>31</v>
      </c>
      <c r="N42" s="770">
        <v>188.386</v>
      </c>
      <c r="O42" s="770">
        <v>186.24800110000001</v>
      </c>
      <c r="P42" s="770">
        <v>194.98199460000001</v>
      </c>
      <c r="Q42" s="780"/>
      <c r="AF42" s="266"/>
      <c r="AG42" s="266"/>
      <c r="AH42" s="266"/>
      <c r="AI42" s="266"/>
      <c r="AJ42" s="266"/>
      <c r="AK42" s="266"/>
      <c r="AL42" s="266"/>
    </row>
    <row r="43" spans="1:38" ht="11.25" customHeight="1">
      <c r="A43" s="75"/>
      <c r="B43" s="82"/>
      <c r="C43" s="82"/>
      <c r="D43" s="82"/>
      <c r="E43" s="82"/>
      <c r="F43" s="82"/>
      <c r="G43" s="82"/>
      <c r="H43" s="82"/>
      <c r="I43" s="56"/>
      <c r="J43" s="308"/>
      <c r="M43" s="769">
        <v>32</v>
      </c>
      <c r="N43" s="770">
        <v>184.72900390000001</v>
      </c>
      <c r="O43" s="770">
        <v>182.40899659999999</v>
      </c>
      <c r="P43" s="770">
        <v>190.13999938964801</v>
      </c>
      <c r="AF43" s="266"/>
      <c r="AG43" s="266"/>
      <c r="AH43" s="266"/>
      <c r="AI43" s="266"/>
      <c r="AJ43" s="266"/>
      <c r="AK43" s="266"/>
      <c r="AL43" s="266"/>
    </row>
    <row r="44" spans="1:38" ht="11.25" customHeight="1">
      <c r="A44" s="75"/>
      <c r="B44" s="82"/>
      <c r="C44" s="82"/>
      <c r="D44" s="82"/>
      <c r="E44" s="82"/>
      <c r="F44" s="82"/>
      <c r="G44" s="82"/>
      <c r="H44" s="82"/>
      <c r="I44" s="56"/>
      <c r="J44" s="308"/>
      <c r="M44" s="769">
        <v>33</v>
      </c>
      <c r="N44" s="770">
        <v>178.8809967</v>
      </c>
      <c r="O44" s="770">
        <v>178.6940002</v>
      </c>
      <c r="P44" s="770">
        <v>186.17300420000001</v>
      </c>
      <c r="AF44" s="266"/>
      <c r="AG44" s="266"/>
      <c r="AH44" s="266"/>
      <c r="AI44" s="266"/>
      <c r="AJ44" s="266"/>
      <c r="AK44" s="266"/>
      <c r="AL44" s="266"/>
    </row>
    <row r="45" spans="1:38" ht="11.25" customHeight="1">
      <c r="A45" s="75"/>
      <c r="B45" s="82"/>
      <c r="C45" s="82"/>
      <c r="D45" s="82"/>
      <c r="E45" s="82"/>
      <c r="F45" s="82"/>
      <c r="G45" s="82"/>
      <c r="H45" s="82"/>
      <c r="I45" s="59"/>
      <c r="J45" s="310"/>
      <c r="M45" s="769">
        <v>34</v>
      </c>
      <c r="N45" s="770">
        <v>176.98599239999999</v>
      </c>
      <c r="O45" s="770">
        <v>173.61300660000001</v>
      </c>
      <c r="P45" s="770">
        <v>183.14799500000001</v>
      </c>
      <c r="AF45" s="266"/>
      <c r="AG45" s="266"/>
      <c r="AH45" s="266"/>
      <c r="AI45" s="266"/>
      <c r="AJ45" s="266"/>
      <c r="AK45" s="266"/>
      <c r="AL45" s="266"/>
    </row>
    <row r="46" spans="1:38" ht="11.25" customHeight="1">
      <c r="A46" s="75"/>
      <c r="B46" s="82"/>
      <c r="C46" s="82"/>
      <c r="D46" s="82"/>
      <c r="E46" s="82"/>
      <c r="F46" s="82"/>
      <c r="G46" s="82"/>
      <c r="H46" s="82"/>
      <c r="I46" s="59"/>
      <c r="J46" s="310"/>
      <c r="M46" s="769">
        <v>35</v>
      </c>
      <c r="N46" s="778">
        <v>173.36999510000001</v>
      </c>
      <c r="O46" s="770">
        <v>170.0189972</v>
      </c>
      <c r="P46" s="770">
        <v>175.24000549316401</v>
      </c>
      <c r="AF46" s="266"/>
      <c r="AG46" s="266"/>
      <c r="AH46" s="266"/>
      <c r="AI46" s="266"/>
      <c r="AJ46" s="266"/>
      <c r="AK46" s="266"/>
      <c r="AL46" s="266"/>
    </row>
    <row r="47" spans="1:38" ht="11.25" customHeight="1">
      <c r="A47" s="75"/>
      <c r="B47" s="82"/>
      <c r="C47" s="82"/>
      <c r="D47" s="82"/>
      <c r="E47" s="82"/>
      <c r="F47" s="82"/>
      <c r="G47" s="82"/>
      <c r="H47" s="82"/>
      <c r="I47" s="59"/>
      <c r="J47" s="310"/>
      <c r="M47" s="769">
        <v>36</v>
      </c>
      <c r="N47" s="778">
        <v>167.63</v>
      </c>
      <c r="O47" s="770">
        <v>166.0690002</v>
      </c>
      <c r="P47" s="770">
        <v>171.61000061035099</v>
      </c>
      <c r="AF47" s="266"/>
      <c r="AG47" s="266"/>
      <c r="AH47" s="266"/>
      <c r="AI47" s="266"/>
      <c r="AJ47" s="266"/>
      <c r="AK47" s="266"/>
      <c r="AL47" s="266"/>
    </row>
    <row r="48" spans="1:38" ht="11.25" customHeight="1">
      <c r="A48" s="75"/>
      <c r="B48" s="82"/>
      <c r="C48" s="82"/>
      <c r="D48" s="82"/>
      <c r="E48" s="82"/>
      <c r="F48" s="82"/>
      <c r="G48" s="82"/>
      <c r="H48" s="82"/>
      <c r="I48" s="59"/>
      <c r="J48" s="310"/>
      <c r="M48" s="769">
        <v>37</v>
      </c>
      <c r="N48" s="770">
        <v>162.30700680000001</v>
      </c>
      <c r="O48" s="770">
        <v>159.17399599999999</v>
      </c>
      <c r="P48" s="770">
        <v>167.78999328613199</v>
      </c>
      <c r="AF48" s="266"/>
      <c r="AG48" s="266"/>
      <c r="AH48" s="266"/>
      <c r="AI48" s="266"/>
      <c r="AJ48" s="266"/>
      <c r="AK48" s="266"/>
      <c r="AL48" s="266"/>
    </row>
    <row r="49" spans="1:38" ht="11.25" customHeight="1">
      <c r="A49" s="75"/>
      <c r="B49" s="82"/>
      <c r="C49" s="82"/>
      <c r="D49" s="82"/>
      <c r="E49" s="82"/>
      <c r="F49" s="82"/>
      <c r="G49" s="82"/>
      <c r="H49" s="82"/>
      <c r="I49" s="59"/>
      <c r="J49" s="310"/>
      <c r="M49" s="769">
        <v>38</v>
      </c>
      <c r="N49" s="770">
        <v>159.02699279999999</v>
      </c>
      <c r="O49" s="770">
        <v>157.84</v>
      </c>
      <c r="P49" s="770">
        <v>170.03999328613199</v>
      </c>
      <c r="AF49" s="266"/>
      <c r="AG49" s="266"/>
      <c r="AH49" s="266"/>
      <c r="AI49" s="266"/>
      <c r="AJ49" s="266"/>
      <c r="AK49" s="266"/>
      <c r="AL49" s="266"/>
    </row>
    <row r="50" spans="1:38" ht="13.2">
      <c r="A50" s="75"/>
      <c r="B50" s="82"/>
      <c r="C50" s="82"/>
      <c r="D50" s="82"/>
      <c r="E50" s="82"/>
      <c r="F50" s="82"/>
      <c r="G50" s="82"/>
      <c r="H50" s="82"/>
      <c r="I50" s="59"/>
      <c r="J50" s="310"/>
      <c r="M50" s="769">
        <v>39</v>
      </c>
      <c r="N50" s="770">
        <v>153.61700440000001</v>
      </c>
      <c r="O50" s="770">
        <v>156.28199768066401</v>
      </c>
      <c r="P50" s="770">
        <v>159.69</v>
      </c>
      <c r="AF50" s="266"/>
      <c r="AG50" s="266"/>
      <c r="AH50" s="266"/>
      <c r="AI50" s="266"/>
      <c r="AJ50" s="266"/>
      <c r="AK50" s="266"/>
      <c r="AL50" s="266"/>
    </row>
    <row r="51" spans="1:38" ht="10.5" customHeight="1">
      <c r="A51" s="75"/>
      <c r="B51" s="82"/>
      <c r="C51" s="82"/>
      <c r="D51" s="82"/>
      <c r="E51" s="82"/>
      <c r="F51" s="82"/>
      <c r="G51" s="82"/>
      <c r="H51" s="82"/>
      <c r="I51" s="59"/>
      <c r="J51" s="310"/>
      <c r="M51" s="769">
        <v>40</v>
      </c>
      <c r="N51" s="770">
        <v>151.72999569999999</v>
      </c>
      <c r="O51" s="770">
        <v>148.3529968</v>
      </c>
      <c r="P51" s="770">
        <v>150.2969971</v>
      </c>
      <c r="AF51" s="266"/>
      <c r="AG51" s="266"/>
      <c r="AH51" s="266"/>
      <c r="AI51" s="266"/>
      <c r="AJ51" s="266"/>
      <c r="AK51" s="266"/>
      <c r="AL51" s="266"/>
    </row>
    <row r="52" spans="1:38" ht="13.2">
      <c r="A52" s="75"/>
      <c r="B52" s="82"/>
      <c r="C52" s="82"/>
      <c r="D52" s="82"/>
      <c r="E52" s="82"/>
      <c r="F52" s="82"/>
      <c r="G52" s="82"/>
      <c r="H52" s="82"/>
      <c r="I52" s="59"/>
      <c r="J52" s="310"/>
      <c r="M52" s="769">
        <v>41</v>
      </c>
      <c r="N52" s="770">
        <v>147.996002197265</v>
      </c>
      <c r="O52" s="770">
        <v>151.04400630000001</v>
      </c>
      <c r="P52" s="770">
        <v>146.7689972</v>
      </c>
      <c r="AF52" s="266"/>
      <c r="AG52" s="266"/>
      <c r="AH52" s="266"/>
      <c r="AI52" s="266"/>
      <c r="AJ52" s="266"/>
      <c r="AK52" s="266"/>
      <c r="AL52" s="266"/>
    </row>
    <row r="53" spans="1:38" ht="13.2">
      <c r="A53" s="75"/>
      <c r="B53" s="82"/>
      <c r="C53" s="82"/>
      <c r="D53" s="82"/>
      <c r="E53" s="82"/>
      <c r="F53" s="82"/>
      <c r="G53" s="82"/>
      <c r="H53" s="82"/>
      <c r="I53" s="59"/>
      <c r="J53" s="310"/>
      <c r="M53" s="769">
        <v>42</v>
      </c>
      <c r="N53" s="770">
        <v>144.53999328613199</v>
      </c>
      <c r="O53" s="770">
        <v>146.53</v>
      </c>
      <c r="P53" s="770">
        <v>142.69900512695301</v>
      </c>
      <c r="AF53" s="266"/>
      <c r="AG53" s="266"/>
      <c r="AH53" s="266"/>
      <c r="AI53" s="266"/>
      <c r="AJ53" s="266"/>
      <c r="AK53" s="266"/>
      <c r="AL53" s="266"/>
    </row>
    <row r="54" spans="1:38" ht="13.2">
      <c r="A54" s="75"/>
      <c r="B54" s="82"/>
      <c r="C54" s="82"/>
      <c r="D54" s="82"/>
      <c r="E54" s="82"/>
      <c r="F54" s="82"/>
      <c r="G54" s="82"/>
      <c r="H54" s="82"/>
      <c r="I54" s="59"/>
      <c r="J54" s="310"/>
      <c r="M54" s="769">
        <v>43</v>
      </c>
      <c r="N54" s="770">
        <v>143.72300720214801</v>
      </c>
      <c r="O54" s="770">
        <v>137.7400055</v>
      </c>
      <c r="P54" s="770">
        <v>135.75</v>
      </c>
      <c r="AF54" s="266"/>
      <c r="AG54" s="266"/>
      <c r="AH54" s="266"/>
      <c r="AI54" s="266"/>
      <c r="AJ54" s="266"/>
      <c r="AK54" s="266"/>
      <c r="AL54" s="266"/>
    </row>
    <row r="55" spans="1:38" ht="13.2">
      <c r="A55" s="75"/>
      <c r="B55" s="82"/>
      <c r="C55" s="82"/>
      <c r="D55" s="82"/>
      <c r="E55" s="82"/>
      <c r="F55" s="82"/>
      <c r="G55" s="82"/>
      <c r="H55" s="82"/>
      <c r="I55" s="59"/>
      <c r="J55" s="310"/>
      <c r="M55" s="769">
        <v>44</v>
      </c>
      <c r="N55" s="770">
        <v>142.33900449999999</v>
      </c>
      <c r="O55" s="770">
        <v>133.1380005</v>
      </c>
      <c r="P55" s="770">
        <v>130.27000430000001</v>
      </c>
      <c r="AF55" s="266"/>
      <c r="AG55" s="266"/>
      <c r="AH55" s="266"/>
      <c r="AI55" s="266"/>
      <c r="AJ55" s="266"/>
      <c r="AK55" s="266"/>
      <c r="AL55" s="266"/>
    </row>
    <row r="56" spans="1:38" ht="13.2">
      <c r="A56" s="75"/>
      <c r="B56" s="82"/>
      <c r="C56" s="82"/>
      <c r="D56" s="82"/>
      <c r="E56" s="82"/>
      <c r="F56" s="82"/>
      <c r="G56" s="82"/>
      <c r="H56" s="82"/>
      <c r="I56" s="59"/>
      <c r="J56" s="310"/>
      <c r="M56" s="769">
        <v>45</v>
      </c>
      <c r="N56" s="770">
        <v>143.13200380000001</v>
      </c>
      <c r="O56" s="770">
        <v>125.7330017</v>
      </c>
      <c r="P56" s="770">
        <v>124.5780029</v>
      </c>
      <c r="AF56" s="266"/>
      <c r="AG56" s="266"/>
      <c r="AH56" s="266"/>
      <c r="AI56" s="266"/>
      <c r="AJ56" s="266"/>
      <c r="AK56" s="266"/>
      <c r="AL56" s="266"/>
    </row>
    <row r="57" spans="1:38" ht="13.2">
      <c r="A57" s="75"/>
      <c r="B57" s="82"/>
      <c r="C57" s="82"/>
      <c r="D57" s="82"/>
      <c r="E57" s="82"/>
      <c r="F57" s="82"/>
      <c r="G57" s="82"/>
      <c r="H57" s="82"/>
      <c r="M57" s="769">
        <v>46</v>
      </c>
      <c r="N57" s="770">
        <v>141.37</v>
      </c>
      <c r="O57" s="770">
        <v>125.2030029</v>
      </c>
      <c r="P57" s="770">
        <v>120.7269974</v>
      </c>
      <c r="AF57" s="266"/>
      <c r="AG57" s="266"/>
      <c r="AH57" s="266"/>
      <c r="AI57" s="266"/>
      <c r="AJ57" s="266"/>
      <c r="AK57" s="266"/>
      <c r="AL57" s="266"/>
    </row>
    <row r="58" spans="1:38" ht="13.2">
      <c r="A58" s="75"/>
      <c r="B58" s="82"/>
      <c r="C58" s="82"/>
      <c r="D58" s="82"/>
      <c r="E58" s="82"/>
      <c r="F58" s="82"/>
      <c r="G58" s="82"/>
      <c r="H58" s="82"/>
      <c r="M58" s="769">
        <v>47</v>
      </c>
      <c r="N58" s="770">
        <v>140.33900449999999</v>
      </c>
      <c r="O58" s="770">
        <v>120.5130005</v>
      </c>
      <c r="P58" s="770">
        <v>113.7900009</v>
      </c>
      <c r="AF58" s="266"/>
      <c r="AG58" s="266"/>
      <c r="AH58" s="266"/>
      <c r="AI58" s="266"/>
      <c r="AJ58" s="266"/>
      <c r="AK58" s="266"/>
      <c r="AL58" s="266"/>
    </row>
    <row r="59" spans="1:38" ht="13.2">
      <c r="A59" s="263" t="s">
        <v>769</v>
      </c>
      <c r="B59" s="82"/>
      <c r="C59" s="82"/>
      <c r="D59" s="82"/>
      <c r="E59" s="82"/>
      <c r="F59" s="82"/>
      <c r="G59" s="82"/>
      <c r="H59" s="82"/>
      <c r="M59" s="769">
        <v>48</v>
      </c>
      <c r="N59" s="770">
        <v>137.8150024</v>
      </c>
      <c r="O59" s="770">
        <v>119.3089981</v>
      </c>
      <c r="P59" s="770">
        <v>104.1470032</v>
      </c>
      <c r="AF59" s="266"/>
      <c r="AG59" s="266"/>
      <c r="AH59" s="266"/>
      <c r="AI59" s="266"/>
      <c r="AJ59" s="266"/>
      <c r="AK59" s="266"/>
      <c r="AL59" s="266"/>
    </row>
    <row r="60" spans="1:38" ht="13.2">
      <c r="A60" s="54"/>
      <c r="B60" s="82"/>
      <c r="C60" s="82"/>
      <c r="D60" s="82"/>
      <c r="E60" s="82"/>
      <c r="F60" s="82"/>
      <c r="G60" s="82"/>
      <c r="H60" s="82"/>
      <c r="M60" s="769">
        <v>49</v>
      </c>
      <c r="N60" s="770">
        <v>129.0279999</v>
      </c>
      <c r="O60" s="770">
        <v>119.33200069999999</v>
      </c>
      <c r="P60" s="770">
        <v>104.8560028</v>
      </c>
      <c r="AF60" s="266"/>
      <c r="AG60" s="266"/>
      <c r="AH60" s="266"/>
      <c r="AI60" s="266"/>
      <c r="AJ60" s="266"/>
      <c r="AK60" s="266"/>
      <c r="AL60" s="266"/>
    </row>
    <row r="61" spans="1:38" ht="10.8">
      <c r="M61" s="769">
        <v>50</v>
      </c>
      <c r="N61" s="770">
        <v>129.30000000000001</v>
      </c>
      <c r="O61" s="770">
        <v>135.91499329999999</v>
      </c>
      <c r="P61" s="770">
        <v>105.70500180000001</v>
      </c>
      <c r="AD61" s="306"/>
      <c r="AE61" s="306"/>
      <c r="AF61" s="216"/>
      <c r="AG61" s="216"/>
      <c r="AH61" s="216"/>
      <c r="AI61" s="216"/>
      <c r="AJ61" s="216"/>
      <c r="AK61" s="216"/>
      <c r="AL61" s="216"/>
    </row>
    <row r="62" spans="1:38" ht="10.8">
      <c r="M62" s="769">
        <v>51</v>
      </c>
      <c r="N62" s="770">
        <v>129</v>
      </c>
      <c r="O62" s="770">
        <v>131.21000670000001</v>
      </c>
      <c r="P62" s="770">
        <v>110.41200259999999</v>
      </c>
      <c r="AD62" s="306"/>
      <c r="AE62" s="306"/>
      <c r="AF62" s="216"/>
      <c r="AG62" s="216"/>
      <c r="AH62" s="216"/>
      <c r="AI62" s="216"/>
      <c r="AJ62" s="216"/>
      <c r="AK62" s="216"/>
      <c r="AL62" s="216"/>
    </row>
    <row r="63" spans="1:38" ht="10.8">
      <c r="M63" s="769">
        <v>52</v>
      </c>
      <c r="N63" s="770">
        <v>130.4810028</v>
      </c>
      <c r="O63" s="770">
        <v>139.86399840000001</v>
      </c>
      <c r="P63" s="770">
        <v>119.1200027</v>
      </c>
      <c r="AD63" s="306"/>
      <c r="AE63" s="306"/>
      <c r="AF63" s="216"/>
      <c r="AG63" s="216"/>
      <c r="AH63" s="216"/>
      <c r="AI63" s="216"/>
      <c r="AJ63" s="216"/>
      <c r="AK63" s="216"/>
      <c r="AL63" s="216"/>
    </row>
    <row r="64" spans="1:38" ht="10.8">
      <c r="M64" s="769">
        <v>53</v>
      </c>
      <c r="N64" s="770"/>
      <c r="O64" s="770">
        <v>146.8090057</v>
      </c>
      <c r="P64" s="781"/>
      <c r="AD64" s="306"/>
      <c r="AE64" s="306"/>
      <c r="AF64" s="216"/>
      <c r="AG64" s="216"/>
      <c r="AH64" s="216"/>
      <c r="AI64" s="216"/>
      <c r="AJ64" s="216"/>
      <c r="AK64" s="216"/>
      <c r="AL64" s="216"/>
    </row>
    <row r="65" spans="13:38">
      <c r="M65" s="283"/>
      <c r="N65" s="283"/>
      <c r="O65" s="283"/>
      <c r="P65" s="283"/>
      <c r="Q65" s="283"/>
      <c r="R65" s="283"/>
      <c r="S65" s="306"/>
      <c r="T65" s="306"/>
      <c r="AD65" s="306"/>
      <c r="AE65" s="306"/>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S15" sqref="S15"/>
    </sheetView>
  </sheetViews>
  <sheetFormatPr baseColWidth="10" defaultColWidth="9.28515625" defaultRowHeight="10.199999999999999"/>
  <cols>
    <col min="10" max="11" width="9.28515625" customWidth="1"/>
    <col min="14" max="23" width="9.28515625" style="283"/>
    <col min="24" max="28" width="9.28515625" style="355"/>
    <col min="29" max="31" width="9.28515625" style="345"/>
  </cols>
  <sheetData>
    <row r="1" spans="1:23" ht="11.25" customHeight="1"/>
    <row r="2" spans="1:23" ht="11.25" customHeight="1">
      <c r="A2" s="294"/>
      <c r="B2" s="301"/>
      <c r="C2" s="301"/>
      <c r="D2" s="301"/>
      <c r="E2" s="301"/>
      <c r="F2" s="301"/>
      <c r="G2" s="302"/>
      <c r="H2" s="302"/>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66" t="s">
        <v>258</v>
      </c>
      <c r="T4" s="767" t="s">
        <v>259</v>
      </c>
    </row>
    <row r="5" spans="1:23" ht="11.25" customHeight="1">
      <c r="A5" s="886"/>
      <c r="B5" s="886"/>
      <c r="C5" s="886"/>
      <c r="D5" s="886"/>
      <c r="E5" s="886"/>
      <c r="F5" s="886"/>
      <c r="G5" s="886"/>
      <c r="H5" s="886"/>
      <c r="I5" s="886"/>
      <c r="J5" s="12"/>
      <c r="K5" s="12"/>
      <c r="L5" s="8"/>
      <c r="O5" s="768">
        <v>2018</v>
      </c>
      <c r="P5" s="768">
        <v>2019</v>
      </c>
      <c r="Q5" s="768">
        <v>2020</v>
      </c>
      <c r="R5" s="768">
        <v>2021</v>
      </c>
      <c r="T5" s="768">
        <v>2018</v>
      </c>
      <c r="U5" s="768">
        <v>2019</v>
      </c>
      <c r="V5" s="768">
        <v>2020</v>
      </c>
      <c r="W5" s="768">
        <v>2021</v>
      </c>
    </row>
    <row r="6" spans="1:23" ht="11.25" customHeight="1">
      <c r="A6" s="17"/>
      <c r="B6" s="159"/>
      <c r="C6" s="68"/>
      <c r="D6" s="69"/>
      <c r="E6" s="69"/>
      <c r="F6" s="70"/>
      <c r="G6" s="66"/>
      <c r="H6" s="66"/>
      <c r="I6" s="71"/>
      <c r="J6" s="12"/>
      <c r="K6" s="12"/>
      <c r="L6" s="5"/>
      <c r="N6" s="769">
        <v>1</v>
      </c>
      <c r="O6" s="770">
        <v>34.76</v>
      </c>
      <c r="P6" s="770">
        <v>71.125</v>
      </c>
      <c r="Q6" s="771">
        <v>133.42999267578099</v>
      </c>
      <c r="R6" s="772">
        <v>78.003997799999993</v>
      </c>
      <c r="S6" s="769">
        <v>1</v>
      </c>
      <c r="T6" s="770">
        <v>210.20000000000002</v>
      </c>
      <c r="U6" s="770">
        <v>190.20000426299998</v>
      </c>
      <c r="V6" s="771">
        <v>186.65300035476668</v>
      </c>
      <c r="W6" s="772">
        <v>222.16899967999998</v>
      </c>
    </row>
    <row r="7" spans="1:23" ht="11.25" customHeight="1">
      <c r="A7" s="17"/>
      <c r="B7" s="887"/>
      <c r="C7" s="887"/>
      <c r="D7" s="160"/>
      <c r="E7" s="160"/>
      <c r="F7" s="70"/>
      <c r="G7" s="66"/>
      <c r="H7" s="66"/>
      <c r="I7" s="71"/>
      <c r="J7" s="3"/>
      <c r="K7" s="3"/>
      <c r="L7" s="15"/>
      <c r="N7" s="769">
        <v>2</v>
      </c>
      <c r="O7" s="770">
        <v>47.749000549999998</v>
      </c>
      <c r="P7" s="770">
        <v>79.228996280000004</v>
      </c>
      <c r="Q7" s="771">
        <v>141.27299500000001</v>
      </c>
      <c r="R7" s="772">
        <v>98.037002560000005</v>
      </c>
      <c r="S7" s="769">
        <v>2</v>
      </c>
      <c r="T7" s="770">
        <v>216.70300435500002</v>
      </c>
      <c r="U7" s="770">
        <v>185.80498987600001</v>
      </c>
      <c r="V7" s="771">
        <v>194.494995117</v>
      </c>
      <c r="W7" s="772">
        <v>243.88599584999997</v>
      </c>
    </row>
    <row r="8" spans="1:23" ht="11.25" customHeight="1">
      <c r="A8" s="17"/>
      <c r="B8" s="161"/>
      <c r="C8" s="39"/>
      <c r="D8" s="162"/>
      <c r="E8" s="162"/>
      <c r="F8" s="70"/>
      <c r="G8" s="66"/>
      <c r="H8" s="66"/>
      <c r="I8" s="71"/>
      <c r="J8" s="4"/>
      <c r="K8" s="4"/>
      <c r="L8" s="12"/>
      <c r="N8" s="769">
        <v>3</v>
      </c>
      <c r="O8" s="770">
        <v>67.130996699999997</v>
      </c>
      <c r="P8" s="770">
        <v>106.65</v>
      </c>
      <c r="Q8" s="771">
        <v>151.56199649999999</v>
      </c>
      <c r="R8" s="772">
        <v>137.10699460000001</v>
      </c>
      <c r="S8" s="769">
        <v>3</v>
      </c>
      <c r="T8" s="770">
        <v>232.83600043999999</v>
      </c>
      <c r="U8" s="770">
        <v>190.06000000000003</v>
      </c>
      <c r="V8" s="771">
        <v>212.15300178999999</v>
      </c>
      <c r="W8" s="772">
        <v>260.96799851000003</v>
      </c>
    </row>
    <row r="9" spans="1:23" ht="11.25" customHeight="1">
      <c r="A9" s="17"/>
      <c r="B9" s="161"/>
      <c r="C9" s="39"/>
      <c r="D9" s="162"/>
      <c r="E9" s="162"/>
      <c r="F9" s="70"/>
      <c r="G9" s="66"/>
      <c r="H9" s="66"/>
      <c r="I9" s="71"/>
      <c r="J9" s="3"/>
      <c r="K9" s="6"/>
      <c r="L9" s="15"/>
      <c r="N9" s="769">
        <v>4</v>
      </c>
      <c r="O9" s="770">
        <v>93.789001459999994</v>
      </c>
      <c r="P9" s="770">
        <v>140.34500120000001</v>
      </c>
      <c r="Q9" s="771">
        <v>167.9100037</v>
      </c>
      <c r="R9" s="772">
        <v>187.18600459999999</v>
      </c>
      <c r="S9" s="769">
        <v>4</v>
      </c>
      <c r="T9" s="770">
        <v>271.78000545999998</v>
      </c>
      <c r="U9" s="770">
        <v>198.06799936900001</v>
      </c>
      <c r="V9" s="771">
        <v>213.71899984999999</v>
      </c>
      <c r="W9" s="772">
        <v>282.90399740999999</v>
      </c>
    </row>
    <row r="10" spans="1:23" ht="11.25" customHeight="1">
      <c r="A10" s="17"/>
      <c r="B10" s="161"/>
      <c r="C10" s="39"/>
      <c r="D10" s="162"/>
      <c r="E10" s="162"/>
      <c r="F10" s="70"/>
      <c r="G10" s="66"/>
      <c r="H10" s="66"/>
      <c r="I10" s="71"/>
      <c r="J10" s="3"/>
      <c r="K10" s="3"/>
      <c r="L10" s="15"/>
      <c r="N10" s="769">
        <v>5</v>
      </c>
      <c r="O10" s="770">
        <v>111.01599880000001</v>
      </c>
      <c r="P10" s="770">
        <v>186.18299870000001</v>
      </c>
      <c r="Q10" s="771">
        <v>209.06850435244098</v>
      </c>
      <c r="R10" s="772">
        <v>240.25399780000001</v>
      </c>
      <c r="S10" s="769">
        <v>5</v>
      </c>
      <c r="T10" s="770">
        <v>269.07999802</v>
      </c>
      <c r="U10" s="770">
        <v>217.55805158600003</v>
      </c>
      <c r="V10" s="771">
        <v>219.56099320000001</v>
      </c>
      <c r="W10" s="772">
        <v>283.46798616000001</v>
      </c>
    </row>
    <row r="11" spans="1:23" ht="11.25" customHeight="1">
      <c r="A11" s="17"/>
      <c r="B11" s="162"/>
      <c r="C11" s="39"/>
      <c r="D11" s="162"/>
      <c r="E11" s="162"/>
      <c r="F11" s="70"/>
      <c r="G11" s="66"/>
      <c r="H11" s="66"/>
      <c r="I11" s="71"/>
      <c r="J11" s="3"/>
      <c r="K11" s="3"/>
      <c r="L11" s="15"/>
      <c r="N11" s="769">
        <v>6</v>
      </c>
      <c r="O11" s="770">
        <v>126.6029968</v>
      </c>
      <c r="P11" s="770">
        <v>222.22</v>
      </c>
      <c r="Q11" s="771">
        <v>250.22700500488199</v>
      </c>
      <c r="R11" s="772"/>
      <c r="S11" s="769">
        <v>6</v>
      </c>
      <c r="T11" s="770">
        <v>273.52000047000001</v>
      </c>
      <c r="U11" s="770">
        <v>279.10000000000002</v>
      </c>
      <c r="V11" s="771">
        <v>285.12099838256813</v>
      </c>
      <c r="W11" s="772"/>
    </row>
    <row r="12" spans="1:23" ht="11.25" customHeight="1">
      <c r="A12" s="17"/>
      <c r="B12" s="162"/>
      <c r="C12" s="39"/>
      <c r="D12" s="162"/>
      <c r="E12" s="162"/>
      <c r="F12" s="70"/>
      <c r="G12" s="66"/>
      <c r="H12" s="66"/>
      <c r="I12" s="71"/>
      <c r="J12" s="3"/>
      <c r="K12" s="3"/>
      <c r="L12" s="15"/>
      <c r="N12" s="769">
        <v>7</v>
      </c>
      <c r="O12" s="770">
        <v>135.7250061</v>
      </c>
      <c r="P12" s="770">
        <v>277.02099609999999</v>
      </c>
      <c r="Q12" s="771">
        <v>274.18798829999997</v>
      </c>
      <c r="R12" s="772"/>
      <c r="S12" s="769">
        <v>7</v>
      </c>
      <c r="T12" s="770">
        <v>302.63299941999998</v>
      </c>
      <c r="U12" s="770">
        <v>338.21854399</v>
      </c>
      <c r="V12" s="771">
        <v>329.34199910000001</v>
      </c>
      <c r="W12" s="772"/>
    </row>
    <row r="13" spans="1:23" ht="11.25" customHeight="1">
      <c r="A13" s="17"/>
      <c r="B13" s="162"/>
      <c r="C13" s="39"/>
      <c r="D13" s="162"/>
      <c r="E13" s="162"/>
      <c r="F13" s="70"/>
      <c r="G13" s="66"/>
      <c r="H13" s="66"/>
      <c r="I13" s="71"/>
      <c r="J13" s="4"/>
      <c r="K13" s="4"/>
      <c r="L13" s="12"/>
      <c r="N13" s="769">
        <v>8</v>
      </c>
      <c r="O13" s="770">
        <v>159.2149963</v>
      </c>
      <c r="P13" s="770">
        <v>293.06698610000001</v>
      </c>
      <c r="Q13" s="771">
        <v>291.3330078125</v>
      </c>
      <c r="R13" s="772"/>
      <c r="S13" s="769">
        <v>8</v>
      </c>
      <c r="T13" s="770">
        <v>328.23703</v>
      </c>
      <c r="U13" s="770">
        <v>388.64800643000001</v>
      </c>
      <c r="V13" s="771">
        <v>352.60932731628355</v>
      </c>
      <c r="W13" s="772"/>
    </row>
    <row r="14" spans="1:23" ht="11.25" customHeight="1">
      <c r="A14" s="17"/>
      <c r="B14" s="162"/>
      <c r="C14" s="39"/>
      <c r="D14" s="162"/>
      <c r="E14" s="162"/>
      <c r="F14" s="70"/>
      <c r="G14" s="66"/>
      <c r="H14" s="66"/>
      <c r="I14" s="71"/>
      <c r="J14" s="3"/>
      <c r="K14" s="6"/>
      <c r="L14" s="15"/>
      <c r="N14" s="769">
        <v>9</v>
      </c>
      <c r="O14" s="770">
        <v>186.18299870000001</v>
      </c>
      <c r="P14" s="770">
        <v>294.29501340000002</v>
      </c>
      <c r="Q14" s="771">
        <v>281.57400510000002</v>
      </c>
      <c r="R14" s="772"/>
      <c r="S14" s="769">
        <v>9</v>
      </c>
      <c r="T14" s="770">
        <v>343.54049999999995</v>
      </c>
      <c r="U14" s="770">
        <v>377.13099283000003</v>
      </c>
      <c r="V14" s="771">
        <v>377.95000650999998</v>
      </c>
      <c r="W14" s="772"/>
    </row>
    <row r="15" spans="1:23" ht="11.25" customHeight="1">
      <c r="A15" s="17"/>
      <c r="B15" s="162"/>
      <c r="C15" s="39"/>
      <c r="D15" s="162"/>
      <c r="E15" s="162"/>
      <c r="F15" s="70"/>
      <c r="G15" s="66"/>
      <c r="H15" s="66"/>
      <c r="I15" s="71"/>
      <c r="J15" s="3"/>
      <c r="K15" s="6"/>
      <c r="L15" s="15"/>
      <c r="N15" s="769">
        <v>10</v>
      </c>
      <c r="O15" s="770">
        <v>203.96099849999999</v>
      </c>
      <c r="P15" s="770">
        <v>291.91101070000002</v>
      </c>
      <c r="Q15" s="771">
        <v>277.58898929999998</v>
      </c>
      <c r="R15" s="772"/>
      <c r="S15" s="769">
        <v>10</v>
      </c>
      <c r="T15" s="770">
        <v>371.29100467000001</v>
      </c>
      <c r="U15" s="770">
        <v>385.62499995999997</v>
      </c>
      <c r="V15" s="771">
        <v>383.25900259000002</v>
      </c>
      <c r="W15" s="772"/>
    </row>
    <row r="16" spans="1:23" ht="11.25" customHeight="1">
      <c r="A16" s="17"/>
      <c r="B16" s="162"/>
      <c r="C16" s="39"/>
      <c r="D16" s="162"/>
      <c r="E16" s="162"/>
      <c r="F16" s="70"/>
      <c r="G16" s="66"/>
      <c r="H16" s="66"/>
      <c r="I16" s="71"/>
      <c r="J16" s="3"/>
      <c r="K16" s="6"/>
      <c r="L16" s="15"/>
      <c r="N16" s="769">
        <v>11</v>
      </c>
      <c r="O16" s="770">
        <v>230.18899540000001</v>
      </c>
      <c r="P16" s="770">
        <v>301.204986572265</v>
      </c>
      <c r="Q16" s="771">
        <v>288.4509888</v>
      </c>
      <c r="R16" s="773"/>
      <c r="S16" s="769">
        <v>11</v>
      </c>
      <c r="T16" s="770">
        <v>390.38299555999998</v>
      </c>
      <c r="U16" s="770">
        <v>389.38100242614604</v>
      </c>
      <c r="V16" s="771">
        <v>394.92200288000009</v>
      </c>
      <c r="W16" s="772"/>
    </row>
    <row r="17" spans="1:23" ht="11.25" customHeight="1">
      <c r="A17" s="17"/>
      <c r="B17" s="162"/>
      <c r="C17" s="39"/>
      <c r="D17" s="162"/>
      <c r="E17" s="162"/>
      <c r="F17" s="70"/>
      <c r="G17" s="66"/>
      <c r="H17" s="66"/>
      <c r="I17" s="71"/>
      <c r="J17" s="3"/>
      <c r="K17" s="6"/>
      <c r="L17" s="15"/>
      <c r="N17" s="769">
        <v>12</v>
      </c>
      <c r="O17" s="770">
        <v>282.71701050000001</v>
      </c>
      <c r="P17" s="770">
        <v>310.0090027</v>
      </c>
      <c r="Q17" s="771">
        <v>295.38400268554602</v>
      </c>
      <c r="R17" s="773"/>
      <c r="S17" s="769">
        <v>12</v>
      </c>
      <c r="T17" s="770">
        <v>412.41217171999995</v>
      </c>
      <c r="U17" s="770">
        <v>386.27799791999996</v>
      </c>
      <c r="V17" s="771">
        <v>390.290998458861</v>
      </c>
      <c r="W17" s="772"/>
    </row>
    <row r="18" spans="1:23" ht="11.25" customHeight="1">
      <c r="A18" s="17"/>
      <c r="B18" s="162"/>
      <c r="C18" s="39"/>
      <c r="D18" s="162"/>
      <c r="E18" s="162"/>
      <c r="F18" s="70"/>
      <c r="G18" s="66"/>
      <c r="H18" s="66"/>
      <c r="I18" s="71"/>
      <c r="J18" s="3"/>
      <c r="K18" s="6"/>
      <c r="L18" s="15"/>
      <c r="N18" s="769">
        <v>13</v>
      </c>
      <c r="O18" s="770">
        <v>329.68899540000001</v>
      </c>
      <c r="P18" s="770">
        <v>333.91799930000002</v>
      </c>
      <c r="Q18" s="771">
        <v>303.54400634765602</v>
      </c>
      <c r="R18" s="773"/>
      <c r="S18" s="769">
        <v>13</v>
      </c>
      <c r="T18" s="770">
        <v>410.83199501000001</v>
      </c>
      <c r="U18" s="770">
        <v>388.98099517000003</v>
      </c>
      <c r="V18" s="771">
        <v>402.17499160766499</v>
      </c>
      <c r="W18" s="772"/>
    </row>
    <row r="19" spans="1:23" ht="11.25" customHeight="1">
      <c r="A19" s="17"/>
      <c r="B19" s="162"/>
      <c r="C19" s="39"/>
      <c r="D19" s="162"/>
      <c r="E19" s="162"/>
      <c r="F19" s="70"/>
      <c r="G19" s="66"/>
      <c r="H19" s="66"/>
      <c r="I19" s="71"/>
      <c r="J19" s="3"/>
      <c r="K19" s="6"/>
      <c r="L19" s="15"/>
      <c r="N19" s="769">
        <v>14</v>
      </c>
      <c r="O19" s="770">
        <v>329.68899540000001</v>
      </c>
      <c r="P19" s="770">
        <v>335.73699950000002</v>
      </c>
      <c r="Q19" s="771">
        <v>296.54501340000002</v>
      </c>
      <c r="R19" s="278"/>
      <c r="S19" s="769">
        <v>14</v>
      </c>
      <c r="T19" s="770">
        <v>403.70400233999999</v>
      </c>
      <c r="U19" s="770">
        <v>393.36499596000004</v>
      </c>
      <c r="V19" s="771">
        <v>398.93495940999998</v>
      </c>
    </row>
    <row r="20" spans="1:23" ht="11.25" customHeight="1">
      <c r="A20" s="17"/>
      <c r="B20" s="162"/>
      <c r="C20" s="39"/>
      <c r="D20" s="162"/>
      <c r="E20" s="162"/>
      <c r="F20" s="70"/>
      <c r="G20" s="66"/>
      <c r="H20" s="66"/>
      <c r="I20" s="71"/>
      <c r="J20" s="3"/>
      <c r="K20" s="6"/>
      <c r="L20" s="15"/>
      <c r="N20" s="769">
        <v>15</v>
      </c>
      <c r="O20" s="770">
        <v>326.67999270000001</v>
      </c>
      <c r="P20" s="770">
        <v>335.73699950000002</v>
      </c>
      <c r="Q20" s="771">
        <v>289.60299680000003</v>
      </c>
      <c r="R20" s="278"/>
      <c r="S20" s="769">
        <v>15</v>
      </c>
      <c r="T20" s="770">
        <v>399.27400204999998</v>
      </c>
      <c r="U20" s="770">
        <v>385.77799804</v>
      </c>
      <c r="V20" s="771">
        <v>388.01895332999999</v>
      </c>
    </row>
    <row r="21" spans="1:23" ht="11.25" customHeight="1">
      <c r="A21" s="17"/>
      <c r="B21" s="162"/>
      <c r="C21" s="39"/>
      <c r="D21" s="162"/>
      <c r="E21" s="162"/>
      <c r="F21" s="70"/>
      <c r="G21" s="66"/>
      <c r="H21" s="66"/>
      <c r="I21" s="71"/>
      <c r="J21" s="3"/>
      <c r="K21" s="7"/>
      <c r="L21" s="16"/>
      <c r="N21" s="769">
        <v>16</v>
      </c>
      <c r="O21" s="770">
        <v>314.7409973</v>
      </c>
      <c r="P21" s="770">
        <v>335.73699950000002</v>
      </c>
      <c r="Q21" s="771">
        <v>285.006012</v>
      </c>
      <c r="R21" s="278"/>
      <c r="S21" s="769">
        <v>16</v>
      </c>
      <c r="T21" s="770">
        <v>394.58499913000003</v>
      </c>
      <c r="U21" s="770">
        <v>385.72399323999997</v>
      </c>
      <c r="V21" s="771">
        <v>383.39695458999995</v>
      </c>
    </row>
    <row r="22" spans="1:23" ht="11.25" customHeight="1">
      <c r="A22" s="77"/>
      <c r="B22" s="162"/>
      <c r="C22" s="39"/>
      <c r="D22" s="162"/>
      <c r="E22" s="162"/>
      <c r="F22" s="70"/>
      <c r="G22" s="66"/>
      <c r="H22" s="66"/>
      <c r="I22" s="71"/>
      <c r="J22" s="3"/>
      <c r="K22" s="6"/>
      <c r="L22" s="15"/>
      <c r="N22" s="769">
        <v>17</v>
      </c>
      <c r="O22" s="770">
        <v>305.89001459999997</v>
      </c>
      <c r="P22" s="770">
        <v>335.73699950000002</v>
      </c>
      <c r="Q22" s="771">
        <v>285.00601196289</v>
      </c>
      <c r="R22" s="278"/>
      <c r="S22" s="769">
        <v>17</v>
      </c>
      <c r="T22" s="770">
        <v>392.29800030000007</v>
      </c>
      <c r="U22" s="770">
        <v>388.74200823000001</v>
      </c>
      <c r="V22" s="771">
        <v>381.56399345397853</v>
      </c>
    </row>
    <row r="23" spans="1:23" ht="11.25" customHeight="1">
      <c r="A23" s="77"/>
      <c r="B23" s="162"/>
      <c r="C23" s="39"/>
      <c r="D23" s="162"/>
      <c r="E23" s="162"/>
      <c r="F23" s="70"/>
      <c r="G23" s="66"/>
      <c r="H23" s="66"/>
      <c r="I23" s="71"/>
      <c r="J23" s="3"/>
      <c r="K23" s="6"/>
      <c r="L23" s="15"/>
      <c r="N23" s="769">
        <v>18</v>
      </c>
      <c r="O23" s="770">
        <v>314.7409973</v>
      </c>
      <c r="P23" s="770">
        <v>335.73699950000002</v>
      </c>
      <c r="Q23" s="771">
        <v>285.006012</v>
      </c>
      <c r="R23" s="278"/>
      <c r="S23" s="769">
        <v>18</v>
      </c>
      <c r="T23" s="770">
        <v>390.15600400999995</v>
      </c>
      <c r="U23" s="770">
        <v>386.49800113000003</v>
      </c>
      <c r="V23" s="771">
        <v>379.87400246999994</v>
      </c>
    </row>
    <row r="24" spans="1:23" ht="11.25" customHeight="1">
      <c r="A24" s="77"/>
      <c r="B24" s="162"/>
      <c r="C24" s="39"/>
      <c r="D24" s="162"/>
      <c r="E24" s="162"/>
      <c r="F24" s="70"/>
      <c r="G24" s="66"/>
      <c r="H24" s="66"/>
      <c r="I24" s="71"/>
      <c r="J24" s="6"/>
      <c r="K24" s="6"/>
      <c r="L24" s="15"/>
      <c r="N24" s="769">
        <v>19</v>
      </c>
      <c r="O24" s="770">
        <v>314.7409973</v>
      </c>
      <c r="P24" s="770">
        <v>314.7409973</v>
      </c>
      <c r="Q24" s="771">
        <v>314.7409973</v>
      </c>
      <c r="R24" s="278"/>
      <c r="S24" s="769">
        <v>19</v>
      </c>
      <c r="T24" s="770">
        <v>386.47099490999994</v>
      </c>
      <c r="U24" s="770">
        <v>384.38200000000001</v>
      </c>
      <c r="V24" s="771">
        <v>375.69400404000004</v>
      </c>
    </row>
    <row r="25" spans="1:23" ht="11.25" customHeight="1">
      <c r="A25" s="264" t="s">
        <v>770</v>
      </c>
      <c r="B25" s="162"/>
      <c r="C25" s="39"/>
      <c r="D25" s="162"/>
      <c r="E25" s="162"/>
      <c r="F25" s="70"/>
      <c r="G25" s="66"/>
      <c r="H25" s="66"/>
      <c r="I25" s="71"/>
      <c r="J25" s="3"/>
      <c r="K25" s="7"/>
      <c r="L25" s="16"/>
      <c r="N25" s="774">
        <v>20</v>
      </c>
      <c r="O25" s="770">
        <v>314.7409973</v>
      </c>
      <c r="P25" s="770">
        <v>315.3340149</v>
      </c>
      <c r="Q25" s="771">
        <v>314.14801030000001</v>
      </c>
      <c r="R25" s="278"/>
      <c r="S25" s="769">
        <v>20</v>
      </c>
      <c r="T25" s="770">
        <v>382.00799562999993</v>
      </c>
      <c r="U25" s="770">
        <v>381.56399727000002</v>
      </c>
      <c r="V25" s="771">
        <v>370.56599616999995</v>
      </c>
      <c r="W25" s="775"/>
    </row>
    <row r="26" spans="1:23" ht="11.25" customHeight="1">
      <c r="A26" s="54"/>
      <c r="B26" s="162"/>
      <c r="C26" s="39"/>
      <c r="D26" s="162"/>
      <c r="E26" s="162"/>
      <c r="F26" s="70"/>
      <c r="G26" s="66"/>
      <c r="H26" s="66"/>
      <c r="I26" s="71"/>
      <c r="J26" s="4"/>
      <c r="K26" s="6"/>
      <c r="L26" s="15"/>
      <c r="N26" s="769">
        <v>21</v>
      </c>
      <c r="O26" s="770">
        <v>314.7409973</v>
      </c>
      <c r="P26" s="770">
        <v>311.78100590000003</v>
      </c>
      <c r="Q26" s="771">
        <v>312.37200927734301</v>
      </c>
      <c r="R26" s="776"/>
      <c r="S26" s="769">
        <v>21</v>
      </c>
      <c r="T26" s="770">
        <v>378.52099610999994</v>
      </c>
      <c r="U26" s="770">
        <v>376.47088237999998</v>
      </c>
      <c r="V26" s="771">
        <v>365.52200794219863</v>
      </c>
    </row>
    <row r="27" spans="1:23" ht="11.25" customHeight="1">
      <c r="A27" s="77"/>
      <c r="B27" s="162"/>
      <c r="C27" s="39"/>
      <c r="D27" s="162"/>
      <c r="E27" s="162"/>
      <c r="F27" s="73"/>
      <c r="G27" s="73"/>
      <c r="H27" s="73"/>
      <c r="I27" s="73"/>
      <c r="J27" s="4"/>
      <c r="K27" s="6"/>
      <c r="L27" s="15"/>
      <c r="N27" s="769">
        <v>22</v>
      </c>
      <c r="O27" s="770">
        <v>311.78100590000003</v>
      </c>
      <c r="P27" s="770">
        <v>310.60000609999997</v>
      </c>
      <c r="Q27" s="771">
        <v>310.60000609999997</v>
      </c>
      <c r="R27" s="776"/>
      <c r="S27" s="769">
        <v>22</v>
      </c>
      <c r="T27" s="770">
        <v>375.20999716</v>
      </c>
      <c r="U27" s="770">
        <v>370.73099807</v>
      </c>
      <c r="V27" s="771">
        <v>359.19900507300002</v>
      </c>
    </row>
    <row r="28" spans="1:23" ht="11.25" customHeight="1">
      <c r="A28" s="77"/>
      <c r="B28" s="162"/>
      <c r="C28" s="39"/>
      <c r="D28" s="162"/>
      <c r="E28" s="162"/>
      <c r="F28" s="73"/>
      <c r="G28" s="73"/>
      <c r="H28" s="73"/>
      <c r="I28" s="73"/>
      <c r="J28" s="4"/>
      <c r="K28" s="6"/>
      <c r="L28" s="15"/>
      <c r="N28" s="769">
        <v>23</v>
      </c>
      <c r="O28" s="770">
        <v>308.82998659999998</v>
      </c>
      <c r="P28" s="770">
        <v>307.06500240000003</v>
      </c>
      <c r="Q28" s="771">
        <v>307.06500240000003</v>
      </c>
      <c r="R28" s="776"/>
      <c r="S28" s="769">
        <v>23</v>
      </c>
      <c r="T28" s="770">
        <v>374.07600211999994</v>
      </c>
      <c r="U28" s="770">
        <v>363.24299430999997</v>
      </c>
      <c r="V28" s="771">
        <v>354.24799921000005</v>
      </c>
    </row>
    <row r="29" spans="1:23" ht="11.25" customHeight="1">
      <c r="A29" s="77"/>
      <c r="B29" s="162"/>
      <c r="C29" s="39"/>
      <c r="D29" s="162"/>
      <c r="E29" s="162"/>
      <c r="F29" s="73"/>
      <c r="G29" s="73"/>
      <c r="H29" s="73"/>
      <c r="I29" s="73"/>
      <c r="J29" s="4"/>
      <c r="K29" s="6"/>
      <c r="L29" s="15"/>
      <c r="N29" s="769">
        <v>24</v>
      </c>
      <c r="O29" s="770">
        <v>300.0379944</v>
      </c>
      <c r="P29" s="770">
        <v>302.9590149</v>
      </c>
      <c r="Q29" s="771">
        <v>300.621002197265</v>
      </c>
      <c r="R29" s="776"/>
      <c r="S29" s="769">
        <v>24</v>
      </c>
      <c r="T29" s="770">
        <v>370.89200402</v>
      </c>
      <c r="U29" s="770">
        <v>357.21200376000002</v>
      </c>
      <c r="V29" s="771">
        <v>348.87000203132561</v>
      </c>
    </row>
    <row r="30" spans="1:23" ht="11.25" customHeight="1">
      <c r="A30" s="74"/>
      <c r="B30" s="73"/>
      <c r="C30" s="73"/>
      <c r="D30" s="73"/>
      <c r="E30" s="73"/>
      <c r="F30" s="73"/>
      <c r="G30" s="73"/>
      <c r="H30" s="73"/>
      <c r="I30" s="73"/>
      <c r="J30" s="3"/>
      <c r="K30" s="6"/>
      <c r="L30" s="15"/>
      <c r="N30" s="769">
        <v>25</v>
      </c>
      <c r="O30" s="770">
        <v>294.22500609999997</v>
      </c>
      <c r="P30" s="770">
        <v>300.0379944</v>
      </c>
      <c r="Q30" s="771">
        <v>286.72698969999999</v>
      </c>
      <c r="R30" s="776"/>
      <c r="S30" s="769">
        <v>25</v>
      </c>
      <c r="T30" s="770">
        <v>366.71700096999996</v>
      </c>
      <c r="U30" s="770">
        <v>352.1909981</v>
      </c>
      <c r="V30" s="771">
        <v>343.83099551700002</v>
      </c>
    </row>
    <row r="31" spans="1:23" ht="11.25" customHeight="1">
      <c r="A31" s="74"/>
      <c r="B31" s="73"/>
      <c r="C31" s="73"/>
      <c r="D31" s="73"/>
      <c r="E31" s="73"/>
      <c r="F31" s="73"/>
      <c r="G31" s="73"/>
      <c r="H31" s="73"/>
      <c r="I31" s="73"/>
      <c r="J31" s="3"/>
      <c r="K31" s="6"/>
      <c r="L31" s="15"/>
      <c r="N31" s="769">
        <v>26</v>
      </c>
      <c r="O31" s="770">
        <v>282.71701050000001</v>
      </c>
      <c r="P31" s="770">
        <v>296.06698610000001</v>
      </c>
      <c r="Q31" s="771">
        <v>266.86801150000002</v>
      </c>
      <c r="R31" s="776"/>
      <c r="S31" s="769">
        <v>26</v>
      </c>
      <c r="T31" s="770">
        <v>361.43599508999995</v>
      </c>
      <c r="U31" s="770">
        <v>346.62612917400003</v>
      </c>
      <c r="V31" s="771">
        <v>338.47100355099997</v>
      </c>
    </row>
    <row r="32" spans="1:23" ht="11.25" customHeight="1">
      <c r="A32" s="74"/>
      <c r="B32" s="73"/>
      <c r="C32" s="73"/>
      <c r="D32" s="73"/>
      <c r="E32" s="73"/>
      <c r="F32" s="73"/>
      <c r="G32" s="73"/>
      <c r="H32" s="73"/>
      <c r="I32" s="73"/>
      <c r="J32" s="3"/>
      <c r="K32" s="6"/>
      <c r="L32" s="15"/>
      <c r="N32" s="769">
        <v>27</v>
      </c>
      <c r="O32" s="770">
        <v>271.36</v>
      </c>
      <c r="P32" s="770">
        <v>275.89</v>
      </c>
      <c r="Q32" s="771">
        <v>255.73500061035099</v>
      </c>
      <c r="R32" s="776"/>
      <c r="S32" s="769">
        <v>27</v>
      </c>
      <c r="T32" s="770">
        <v>355.34</v>
      </c>
      <c r="U32" s="770">
        <v>341.25900444999996</v>
      </c>
      <c r="V32" s="771">
        <v>333.23996639251612</v>
      </c>
    </row>
    <row r="33" spans="1:22" ht="11.25" customHeight="1">
      <c r="A33" s="74"/>
      <c r="B33" s="73"/>
      <c r="C33" s="73"/>
      <c r="D33" s="73"/>
      <c r="E33" s="73"/>
      <c r="F33" s="73"/>
      <c r="G33" s="73"/>
      <c r="H33" s="73"/>
      <c r="I33" s="73"/>
      <c r="J33" s="3"/>
      <c r="K33" s="6"/>
      <c r="L33" s="15"/>
      <c r="N33" s="769">
        <v>28</v>
      </c>
      <c r="O33" s="770">
        <v>260.16900629999998</v>
      </c>
      <c r="P33" s="777">
        <v>248.58200070000001</v>
      </c>
      <c r="Q33" s="771">
        <v>244.7590027</v>
      </c>
      <c r="R33" s="776"/>
      <c r="S33" s="769">
        <v>28</v>
      </c>
      <c r="T33" s="770">
        <v>349.01599981000004</v>
      </c>
      <c r="U33" s="770">
        <v>337.18899436699996</v>
      </c>
      <c r="V33" s="771">
        <v>327.71050074999999</v>
      </c>
    </row>
    <row r="34" spans="1:22" ht="11.25" customHeight="1">
      <c r="A34" s="74"/>
      <c r="B34" s="73"/>
      <c r="C34" s="73"/>
      <c r="D34" s="73"/>
      <c r="E34" s="73"/>
      <c r="F34" s="73"/>
      <c r="G34" s="73"/>
      <c r="H34" s="73"/>
      <c r="I34" s="73"/>
      <c r="J34" s="3"/>
      <c r="K34" s="6"/>
      <c r="L34" s="15"/>
      <c r="N34" s="769">
        <v>29</v>
      </c>
      <c r="O34" s="770">
        <v>251.88</v>
      </c>
      <c r="P34" s="770">
        <v>238.787994384765</v>
      </c>
      <c r="Q34" s="771">
        <v>231.25799559999999</v>
      </c>
      <c r="R34" s="776"/>
      <c r="S34" s="769">
        <v>29</v>
      </c>
      <c r="T34" s="770">
        <v>343.97999999999996</v>
      </c>
      <c r="U34" s="770">
        <v>333.50600986443789</v>
      </c>
      <c r="V34" s="771">
        <v>322.11699965099996</v>
      </c>
    </row>
    <row r="35" spans="1:22" ht="11.25" customHeight="1">
      <c r="A35" s="74"/>
      <c r="B35" s="73"/>
      <c r="C35" s="73"/>
      <c r="D35" s="73"/>
      <c r="E35" s="73"/>
      <c r="F35" s="73"/>
      <c r="G35" s="73"/>
      <c r="H35" s="73"/>
      <c r="I35" s="73"/>
      <c r="J35" s="6"/>
      <c r="K35" s="6"/>
      <c r="L35" s="15"/>
      <c r="N35" s="769">
        <v>30</v>
      </c>
      <c r="O35" s="770">
        <v>232.8650055</v>
      </c>
      <c r="P35" s="770">
        <v>229.12</v>
      </c>
      <c r="Q35" s="771">
        <v>219.58000179999999</v>
      </c>
      <c r="R35" s="776"/>
      <c r="S35" s="769">
        <v>30</v>
      </c>
      <c r="T35" s="770">
        <v>342.06599807739167</v>
      </c>
      <c r="U35" s="770">
        <v>324.04999999999995</v>
      </c>
      <c r="V35" s="771">
        <v>316.39600081599997</v>
      </c>
    </row>
    <row r="36" spans="1:22" ht="11.25" customHeight="1">
      <c r="A36" s="74"/>
      <c r="B36" s="73"/>
      <c r="C36" s="73"/>
      <c r="D36" s="73"/>
      <c r="E36" s="73"/>
      <c r="F36" s="73"/>
      <c r="G36" s="73"/>
      <c r="H36" s="73"/>
      <c r="I36" s="73"/>
      <c r="J36" s="3"/>
      <c r="K36" s="6"/>
      <c r="L36" s="15"/>
      <c r="N36" s="769">
        <v>31</v>
      </c>
      <c r="O36" s="770">
        <v>211.726</v>
      </c>
      <c r="P36" s="770">
        <v>219.05400090000001</v>
      </c>
      <c r="Q36" s="771">
        <v>209.128006</v>
      </c>
      <c r="R36" s="776"/>
      <c r="S36" s="769">
        <v>31</v>
      </c>
      <c r="T36" s="770">
        <v>335.23199999999997</v>
      </c>
      <c r="U36" s="770">
        <v>318.10600236499999</v>
      </c>
      <c r="V36" s="771">
        <v>310.66199637099999</v>
      </c>
    </row>
    <row r="37" spans="1:22" ht="11.25" customHeight="1">
      <c r="A37" s="74"/>
      <c r="B37" s="73"/>
      <c r="C37" s="73"/>
      <c r="D37" s="73"/>
      <c r="E37" s="73"/>
      <c r="F37" s="73"/>
      <c r="G37" s="73"/>
      <c r="H37" s="73"/>
      <c r="I37" s="73"/>
      <c r="J37" s="3"/>
      <c r="K37" s="10"/>
      <c r="L37" s="15"/>
      <c r="N37" s="769">
        <v>32</v>
      </c>
      <c r="O37" s="770">
        <v>181.19200129999999</v>
      </c>
      <c r="P37" s="770">
        <v>209.128006</v>
      </c>
      <c r="Q37" s="771">
        <v>201.39199830000001</v>
      </c>
      <c r="R37" s="278"/>
      <c r="S37" s="769">
        <v>32</v>
      </c>
      <c r="T37" s="770">
        <v>329.56800555999996</v>
      </c>
      <c r="U37" s="770">
        <v>312.078003352</v>
      </c>
      <c r="V37" s="771">
        <v>304.63100243800005</v>
      </c>
    </row>
    <row r="38" spans="1:22" ht="11.25" customHeight="1">
      <c r="A38" s="74"/>
      <c r="B38" s="73"/>
      <c r="C38" s="73"/>
      <c r="D38" s="73"/>
      <c r="E38" s="73"/>
      <c r="F38" s="73"/>
      <c r="G38" s="73"/>
      <c r="H38" s="73"/>
      <c r="I38" s="73"/>
      <c r="J38" s="3"/>
      <c r="K38" s="10"/>
      <c r="L38" s="38"/>
      <c r="N38" s="769">
        <v>33</v>
      </c>
      <c r="O38" s="770">
        <v>152.0650024</v>
      </c>
      <c r="P38" s="770">
        <v>199.85499569999999</v>
      </c>
      <c r="Q38" s="771">
        <v>189.6999969</v>
      </c>
      <c r="R38" s="278"/>
      <c r="S38" s="769">
        <v>33</v>
      </c>
      <c r="T38" s="770">
        <v>323.79099748000004</v>
      </c>
      <c r="U38" s="770">
        <v>312.078003352</v>
      </c>
      <c r="V38" s="771">
        <v>299.14499665</v>
      </c>
    </row>
    <row r="39" spans="1:22" ht="11.25" customHeight="1">
      <c r="A39" s="74"/>
      <c r="B39" s="73"/>
      <c r="C39" s="73"/>
      <c r="D39" s="73"/>
      <c r="E39" s="73"/>
      <c r="F39" s="73"/>
      <c r="G39" s="73"/>
      <c r="H39" s="73"/>
      <c r="I39" s="73"/>
      <c r="J39" s="3"/>
      <c r="K39" s="7"/>
      <c r="L39" s="15"/>
      <c r="N39" s="769">
        <v>34</v>
      </c>
      <c r="O39" s="770">
        <v>156.8220062</v>
      </c>
      <c r="P39" s="770">
        <v>188.69299319999999</v>
      </c>
      <c r="Q39" s="771">
        <v>178.71099849999999</v>
      </c>
      <c r="R39" s="278"/>
      <c r="S39" s="769">
        <v>34</v>
      </c>
      <c r="T39" s="770">
        <v>317.64699750999995</v>
      </c>
      <c r="U39" s="770">
        <v>299.58200316099999</v>
      </c>
      <c r="V39" s="771">
        <v>293.22399712800001</v>
      </c>
    </row>
    <row r="40" spans="1:22" ht="11.25" customHeight="1">
      <c r="A40" s="74"/>
      <c r="B40" s="73"/>
      <c r="C40" s="73"/>
      <c r="D40" s="73"/>
      <c r="E40" s="73"/>
      <c r="F40" s="73"/>
      <c r="G40" s="73"/>
      <c r="H40" s="73"/>
      <c r="I40" s="73"/>
      <c r="J40" s="3"/>
      <c r="K40" s="7"/>
      <c r="L40" s="15"/>
      <c r="N40" s="769">
        <v>35</v>
      </c>
      <c r="O40" s="770">
        <v>156.82</v>
      </c>
      <c r="P40" s="778">
        <v>177.72099299999999</v>
      </c>
      <c r="Q40" s="771">
        <v>167.91000366210901</v>
      </c>
      <c r="R40" s="278"/>
      <c r="S40" s="769">
        <v>35</v>
      </c>
      <c r="T40" s="770">
        <v>311.42</v>
      </c>
      <c r="U40" s="770">
        <v>292.71899843200003</v>
      </c>
      <c r="V40" s="771">
        <v>287.11000061035065</v>
      </c>
    </row>
    <row r="41" spans="1:22" ht="11.25" customHeight="1">
      <c r="A41" s="74"/>
      <c r="B41" s="73"/>
      <c r="C41" s="73"/>
      <c r="D41" s="73"/>
      <c r="E41" s="73"/>
      <c r="F41" s="73"/>
      <c r="G41" s="73"/>
      <c r="H41" s="73"/>
      <c r="I41" s="73"/>
      <c r="J41" s="3"/>
      <c r="K41" s="7"/>
      <c r="L41" s="15"/>
      <c r="N41" s="769">
        <v>36</v>
      </c>
      <c r="O41" s="770">
        <v>159.21</v>
      </c>
      <c r="P41" s="778">
        <v>164.99800110000001</v>
      </c>
      <c r="Q41" s="771">
        <v>158.25599670410099</v>
      </c>
      <c r="R41" s="278"/>
      <c r="S41" s="769">
        <v>36</v>
      </c>
      <c r="T41" s="770">
        <v>305.20999999999998</v>
      </c>
      <c r="U41" s="770">
        <v>286.64699412499999</v>
      </c>
      <c r="V41" s="771">
        <v>280.34500217437699</v>
      </c>
    </row>
    <row r="42" spans="1:22" ht="11.25" customHeight="1">
      <c r="A42" s="74"/>
      <c r="B42" s="73"/>
      <c r="C42" s="73"/>
      <c r="D42" s="73"/>
      <c r="E42" s="73"/>
      <c r="F42" s="73"/>
      <c r="G42" s="73"/>
      <c r="H42" s="73"/>
      <c r="I42" s="73"/>
      <c r="J42" s="6"/>
      <c r="K42" s="10"/>
      <c r="L42" s="15"/>
      <c r="N42" s="769">
        <v>37</v>
      </c>
      <c r="O42" s="770">
        <v>159.2149963</v>
      </c>
      <c r="P42" s="778">
        <v>154.53400055</v>
      </c>
      <c r="Q42" s="771">
        <v>147.34800720214801</v>
      </c>
      <c r="R42" s="278"/>
      <c r="S42" s="769">
        <v>37</v>
      </c>
      <c r="T42" s="770">
        <v>299.17000225600003</v>
      </c>
      <c r="U42" s="770">
        <v>280.605003845</v>
      </c>
      <c r="V42" s="771">
        <v>273.90200042724575</v>
      </c>
    </row>
    <row r="43" spans="1:22" ht="11.25" customHeight="1">
      <c r="A43" s="74"/>
      <c r="B43" s="73"/>
      <c r="C43" s="73"/>
      <c r="D43" s="73"/>
      <c r="E43" s="73"/>
      <c r="F43" s="73"/>
      <c r="G43" s="73"/>
      <c r="H43" s="73"/>
      <c r="I43" s="73"/>
      <c r="J43" s="3"/>
      <c r="K43" s="10"/>
      <c r="L43" s="15"/>
      <c r="N43" s="769">
        <v>38</v>
      </c>
      <c r="O43" s="770">
        <v>149.70199579999999</v>
      </c>
      <c r="P43" s="778">
        <v>144.07</v>
      </c>
      <c r="Q43" s="771">
        <v>136.64599609375</v>
      </c>
      <c r="R43" s="278"/>
      <c r="S43" s="769">
        <v>38</v>
      </c>
      <c r="T43" s="770">
        <v>292.45899891799996</v>
      </c>
      <c r="U43" s="770">
        <v>274.21999999999997</v>
      </c>
      <c r="V43" s="771">
        <v>267.16300058364783</v>
      </c>
    </row>
    <row r="44" spans="1:22" ht="11.25" customHeight="1">
      <c r="A44" s="74"/>
      <c r="B44" s="73"/>
      <c r="C44" s="73"/>
      <c r="D44" s="73"/>
      <c r="E44" s="73"/>
      <c r="F44" s="73"/>
      <c r="G44" s="73"/>
      <c r="H44" s="73"/>
      <c r="I44" s="73"/>
      <c r="J44" s="3"/>
      <c r="K44" s="10"/>
      <c r="L44" s="15"/>
      <c r="N44" s="769">
        <v>39</v>
      </c>
      <c r="O44" s="770">
        <v>117.6380005</v>
      </c>
      <c r="P44" s="778">
        <v>135.725006103515</v>
      </c>
      <c r="Q44" s="771">
        <v>131.14500430000001</v>
      </c>
      <c r="R44" s="278"/>
      <c r="S44" s="769">
        <v>39</v>
      </c>
      <c r="T44" s="770">
        <v>286.11999916000002</v>
      </c>
      <c r="U44" s="770">
        <v>267.58499765396107</v>
      </c>
      <c r="V44" s="771">
        <v>262.426999588</v>
      </c>
    </row>
    <row r="45" spans="1:22" ht="11.25" customHeight="1">
      <c r="A45" s="74"/>
      <c r="B45" s="73"/>
      <c r="C45" s="73"/>
      <c r="D45" s="73"/>
      <c r="E45" s="73"/>
      <c r="F45" s="73"/>
      <c r="G45" s="73"/>
      <c r="H45" s="73"/>
      <c r="I45" s="73"/>
      <c r="J45" s="11"/>
      <c r="K45" s="11"/>
      <c r="L45" s="11"/>
      <c r="N45" s="769">
        <v>40</v>
      </c>
      <c r="O45" s="770">
        <v>91.680000309999997</v>
      </c>
      <c r="P45" s="770">
        <v>127.0559998</v>
      </c>
      <c r="Q45" s="771">
        <v>120.7580032</v>
      </c>
      <c r="R45" s="278"/>
      <c r="S45" s="769">
        <v>40</v>
      </c>
      <c r="T45" s="770">
        <v>278.57999837699998</v>
      </c>
      <c r="U45" s="770">
        <v>260.96199703900004</v>
      </c>
      <c r="V45" s="771">
        <v>258.968997</v>
      </c>
    </row>
    <row r="46" spans="1:22" ht="11.25" customHeight="1">
      <c r="A46" s="74"/>
      <c r="B46" s="73"/>
      <c r="C46" s="73"/>
      <c r="D46" s="73"/>
      <c r="E46" s="73"/>
      <c r="F46" s="73"/>
      <c r="G46" s="73"/>
      <c r="H46" s="73"/>
      <c r="I46" s="73"/>
      <c r="J46" s="11"/>
      <c r="K46" s="11"/>
      <c r="L46" s="11"/>
      <c r="N46" s="769">
        <v>41</v>
      </c>
      <c r="O46" s="770">
        <v>71.125</v>
      </c>
      <c r="P46" s="770">
        <v>110.13999939999999</v>
      </c>
      <c r="Q46" s="771">
        <v>102.3249969</v>
      </c>
      <c r="R46" s="278"/>
      <c r="S46" s="769">
        <v>41</v>
      </c>
      <c r="T46" s="770">
        <v>271.23250496387476</v>
      </c>
      <c r="U46" s="770">
        <v>253.29600046600001</v>
      </c>
      <c r="V46" s="771">
        <v>255.76199719799999</v>
      </c>
    </row>
    <row r="47" spans="1:22" ht="11.25" customHeight="1">
      <c r="A47" s="74"/>
      <c r="B47" s="73"/>
      <c r="C47" s="73"/>
      <c r="D47" s="73"/>
      <c r="E47" s="73"/>
      <c r="F47" s="73"/>
      <c r="G47" s="73"/>
      <c r="H47" s="73"/>
      <c r="I47" s="73"/>
      <c r="J47" s="11"/>
      <c r="K47" s="11"/>
      <c r="L47" s="11"/>
      <c r="N47" s="769">
        <v>42</v>
      </c>
      <c r="O47" s="770">
        <v>59.261001586913999</v>
      </c>
      <c r="P47" s="770">
        <v>100.61</v>
      </c>
      <c r="Q47" s="771">
        <v>92.944999694824205</v>
      </c>
      <c r="R47" s="278"/>
      <c r="S47" s="769">
        <v>42</v>
      </c>
      <c r="T47" s="770">
        <v>256.27199935913058</v>
      </c>
      <c r="U47" s="770">
        <v>246.06</v>
      </c>
      <c r="V47" s="771">
        <v>251.31199836730943</v>
      </c>
    </row>
    <row r="48" spans="1:22" ht="11.25" customHeight="1">
      <c r="A48" s="74"/>
      <c r="B48" s="73"/>
      <c r="C48" s="73"/>
      <c r="D48" s="73"/>
      <c r="E48" s="73"/>
      <c r="F48" s="73"/>
      <c r="G48" s="73"/>
      <c r="H48" s="73"/>
      <c r="I48" s="73"/>
      <c r="J48" s="11"/>
      <c r="K48" s="11"/>
      <c r="L48" s="11"/>
      <c r="N48" s="769">
        <v>43</v>
      </c>
      <c r="O48" s="770">
        <v>47.749000549316399</v>
      </c>
      <c r="P48" s="770">
        <v>95.484001160000005</v>
      </c>
      <c r="Q48" s="771">
        <v>84.166999820000001</v>
      </c>
      <c r="R48" s="278"/>
      <c r="S48" s="769">
        <v>43</v>
      </c>
      <c r="T48" s="770">
        <v>249.67099761962871</v>
      </c>
      <c r="U48" s="770">
        <v>241.02699661899999</v>
      </c>
      <c r="V48" s="771">
        <v>245.88199755799999</v>
      </c>
    </row>
    <row r="49" spans="1:22" ht="11.25" customHeight="1">
      <c r="A49" s="74"/>
      <c r="B49" s="73"/>
      <c r="C49" s="73"/>
      <c r="D49" s="73"/>
      <c r="E49" s="73"/>
      <c r="F49" s="73"/>
      <c r="G49" s="73"/>
      <c r="H49" s="73"/>
      <c r="I49" s="73"/>
      <c r="J49" s="11"/>
      <c r="K49" s="11"/>
      <c r="L49" s="11"/>
      <c r="N49" s="769">
        <v>44</v>
      </c>
      <c r="O49" s="770">
        <v>38.424999239999998</v>
      </c>
      <c r="P49" s="770">
        <v>89.581001279999995</v>
      </c>
      <c r="Q49" s="771">
        <v>82.51499939</v>
      </c>
      <c r="R49" s="278"/>
      <c r="S49" s="769">
        <v>44</v>
      </c>
      <c r="T49" s="770">
        <v>249.67099761962871</v>
      </c>
      <c r="U49" s="770">
        <v>234.19399833099999</v>
      </c>
      <c r="V49" s="771">
        <v>239.051002463</v>
      </c>
    </row>
    <row r="50" spans="1:22" ht="13.2">
      <c r="A50" s="74"/>
      <c r="B50" s="73"/>
      <c r="C50" s="73"/>
      <c r="D50" s="73"/>
      <c r="E50" s="73"/>
      <c r="F50" s="73"/>
      <c r="G50" s="73"/>
      <c r="H50" s="73"/>
      <c r="I50" s="73"/>
      <c r="J50" s="11"/>
      <c r="K50" s="11"/>
      <c r="L50" s="11"/>
      <c r="N50" s="769">
        <v>45</v>
      </c>
      <c r="O50" s="770">
        <v>31.142000199999998</v>
      </c>
      <c r="P50" s="770">
        <v>79.638999940000005</v>
      </c>
      <c r="Q50" s="771">
        <v>72.33000183</v>
      </c>
      <c r="R50" s="278"/>
      <c r="S50" s="769">
        <v>45</v>
      </c>
      <c r="T50" s="770">
        <v>243.378839739</v>
      </c>
      <c r="U50" s="770">
        <v>228.64612817499997</v>
      </c>
      <c r="V50" s="771">
        <v>232.679000852</v>
      </c>
    </row>
    <row r="51" spans="1:22" ht="13.2">
      <c r="A51" s="74"/>
      <c r="B51" s="73"/>
      <c r="C51" s="73"/>
      <c r="D51" s="73"/>
      <c r="E51" s="73"/>
      <c r="F51" s="73"/>
      <c r="G51" s="73"/>
      <c r="H51" s="73"/>
      <c r="I51" s="73"/>
      <c r="J51" s="11"/>
      <c r="K51" s="11"/>
      <c r="L51" s="11"/>
      <c r="N51" s="769">
        <v>46</v>
      </c>
      <c r="O51" s="770">
        <v>22.26</v>
      </c>
      <c r="P51" s="770">
        <v>80.049003600000006</v>
      </c>
      <c r="Q51" s="771">
        <v>57.318000789999999</v>
      </c>
      <c r="R51" s="278"/>
      <c r="S51" s="769">
        <v>46</v>
      </c>
      <c r="T51" s="770">
        <v>236.34</v>
      </c>
      <c r="U51" s="770">
        <v>222.81199835999999</v>
      </c>
      <c r="V51" s="771">
        <v>225.80399990800001</v>
      </c>
    </row>
    <row r="52" spans="1:22" ht="13.2">
      <c r="A52" s="74"/>
      <c r="B52" s="73"/>
      <c r="C52" s="73"/>
      <c r="D52" s="73"/>
      <c r="E52" s="73"/>
      <c r="F52" s="73"/>
      <c r="G52" s="73"/>
      <c r="H52" s="73"/>
      <c r="I52" s="73"/>
      <c r="J52" s="11"/>
      <c r="K52" s="11"/>
      <c r="L52" s="11"/>
      <c r="N52" s="769">
        <v>47</v>
      </c>
      <c r="O52" s="770">
        <v>17.044000629999999</v>
      </c>
      <c r="P52" s="770">
        <v>85.825996399999994</v>
      </c>
      <c r="Q52" s="771">
        <v>44.738998410000001</v>
      </c>
      <c r="R52" s="278"/>
      <c r="S52" s="769">
        <v>47</v>
      </c>
      <c r="T52" s="770">
        <v>227.62000255999999</v>
      </c>
      <c r="U52" s="770">
        <v>216.31200409100001</v>
      </c>
      <c r="V52" s="771">
        <v>219.24500608799997</v>
      </c>
    </row>
    <row r="53" spans="1:22" ht="13.2">
      <c r="A53" s="74"/>
      <c r="B53" s="73"/>
      <c r="C53" s="73"/>
      <c r="D53" s="73"/>
      <c r="E53" s="73"/>
      <c r="F53" s="73"/>
      <c r="G53" s="73"/>
      <c r="H53" s="73"/>
      <c r="I53" s="73"/>
      <c r="J53" s="11"/>
      <c r="K53" s="11"/>
      <c r="L53" s="11"/>
      <c r="N53" s="769">
        <v>48</v>
      </c>
      <c r="O53" s="770">
        <v>36.5890007</v>
      </c>
      <c r="P53" s="770">
        <v>77.596000669999995</v>
      </c>
      <c r="Q53" s="771">
        <v>34.763999939999998</v>
      </c>
      <c r="R53" s="278"/>
      <c r="S53" s="769">
        <v>48</v>
      </c>
      <c r="T53" s="770">
        <v>220.01436420799999</v>
      </c>
      <c r="U53" s="770">
        <v>210.250997547</v>
      </c>
      <c r="V53" s="771">
        <v>212.09200192</v>
      </c>
    </row>
    <row r="54" spans="1:22" ht="13.2">
      <c r="A54" s="74"/>
      <c r="B54" s="73"/>
      <c r="C54" s="73"/>
      <c r="D54" s="73"/>
      <c r="E54" s="73"/>
      <c r="F54" s="73"/>
      <c r="G54" s="73"/>
      <c r="H54" s="73"/>
      <c r="I54" s="73"/>
      <c r="J54" s="11"/>
      <c r="K54" s="11"/>
      <c r="L54" s="11"/>
      <c r="N54" s="769">
        <v>49</v>
      </c>
      <c r="O54" s="779">
        <v>36.590000000000003</v>
      </c>
      <c r="P54" s="770">
        <v>54.613998410000001</v>
      </c>
      <c r="Q54" s="771">
        <v>27.915000920000001</v>
      </c>
      <c r="R54" s="278"/>
      <c r="S54" s="769">
        <v>49</v>
      </c>
      <c r="T54" s="770">
        <v>212.37999999999997</v>
      </c>
      <c r="U54" s="770">
        <v>202.73299884100001</v>
      </c>
      <c r="V54" s="771">
        <v>206.70499944799997</v>
      </c>
    </row>
    <row r="55" spans="1:22" ht="13.2">
      <c r="A55" s="74"/>
      <c r="B55" s="73"/>
      <c r="C55" s="73"/>
      <c r="D55" s="73"/>
      <c r="E55" s="73"/>
      <c r="F55" s="73"/>
      <c r="G55" s="73"/>
      <c r="H55" s="73"/>
      <c r="I55" s="73"/>
      <c r="J55" s="11"/>
      <c r="K55" s="11"/>
      <c r="L55" s="11"/>
      <c r="N55" s="769">
        <v>50</v>
      </c>
      <c r="O55" s="770">
        <v>34.763999939999998</v>
      </c>
      <c r="P55" s="770">
        <v>64.358001709999996</v>
      </c>
      <c r="Q55" s="771">
        <v>19.81399918</v>
      </c>
      <c r="R55" s="278"/>
      <c r="S55" s="769">
        <v>50</v>
      </c>
      <c r="T55" s="770">
        <v>205.46782675599999</v>
      </c>
      <c r="U55" s="770">
        <v>195.51400422099999</v>
      </c>
      <c r="V55" s="771">
        <v>200.08300209800001</v>
      </c>
    </row>
    <row r="56" spans="1:22" ht="13.2">
      <c r="A56" s="74"/>
      <c r="B56" s="73"/>
      <c r="C56" s="73"/>
      <c r="D56" s="73"/>
      <c r="E56" s="73"/>
      <c r="F56" s="73"/>
      <c r="G56" s="73"/>
      <c r="H56" s="73"/>
      <c r="I56" s="73"/>
      <c r="J56" s="11"/>
      <c r="K56" s="11"/>
      <c r="L56" s="11"/>
      <c r="N56" s="769">
        <v>51</v>
      </c>
      <c r="O56" s="770">
        <v>38.4</v>
      </c>
      <c r="P56" s="770">
        <v>80.049003600000006</v>
      </c>
      <c r="Q56" s="771">
        <v>22.256999969999999</v>
      </c>
      <c r="R56" s="278"/>
      <c r="S56" s="769">
        <v>51</v>
      </c>
      <c r="T56" s="770">
        <v>199</v>
      </c>
      <c r="U56" s="770">
        <v>188.995997891</v>
      </c>
      <c r="V56" s="771">
        <v>200.81900405299996</v>
      </c>
    </row>
    <row r="57" spans="1:22" ht="13.2">
      <c r="A57" s="74"/>
      <c r="B57" s="73"/>
      <c r="C57" s="73"/>
      <c r="D57" s="73"/>
      <c r="E57" s="73"/>
      <c r="F57" s="73"/>
      <c r="G57" s="73"/>
      <c r="H57" s="73"/>
      <c r="I57" s="73"/>
      <c r="N57" s="769">
        <v>52</v>
      </c>
      <c r="O57" s="770">
        <v>59.261001589999999</v>
      </c>
      <c r="P57" s="770">
        <v>108.82900239999999</v>
      </c>
      <c r="Q57" s="771">
        <v>51.54700089</v>
      </c>
      <c r="R57" s="278"/>
      <c r="S57" s="769">
        <v>52</v>
      </c>
      <c r="T57" s="770">
        <v>192.88799664499999</v>
      </c>
      <c r="U57" s="770">
        <v>184.65400219100002</v>
      </c>
      <c r="V57" s="771">
        <v>217.92999649000001</v>
      </c>
    </row>
    <row r="58" spans="1:22" ht="13.2">
      <c r="A58" s="74"/>
      <c r="B58" s="73"/>
      <c r="C58" s="73"/>
      <c r="D58" s="73"/>
      <c r="E58" s="73"/>
      <c r="F58" s="73"/>
      <c r="G58" s="73"/>
      <c r="H58" s="73"/>
      <c r="I58" s="73"/>
      <c r="N58" s="769">
        <v>53</v>
      </c>
      <c r="O58" s="278"/>
      <c r="P58" s="278">
        <v>140.34500120000001</v>
      </c>
      <c r="Q58" s="278"/>
      <c r="R58" s="278"/>
      <c r="S58" s="769">
        <v>53</v>
      </c>
      <c r="T58" s="770"/>
      <c r="U58" s="770">
        <v>183.63100289100001</v>
      </c>
      <c r="V58" s="771"/>
    </row>
    <row r="59" spans="1:22" ht="13.2">
      <c r="B59" s="73"/>
      <c r="C59" s="73"/>
      <c r="D59" s="73"/>
      <c r="E59" s="73"/>
      <c r="F59" s="73"/>
      <c r="G59" s="73"/>
      <c r="H59" s="73"/>
      <c r="I59" s="73"/>
    </row>
    <row r="60" spans="1:22" ht="13.2">
      <c r="A60" s="74"/>
      <c r="B60" s="73"/>
      <c r="C60" s="73"/>
      <c r="D60" s="73"/>
      <c r="E60" s="73"/>
      <c r="F60" s="73"/>
      <c r="G60" s="73"/>
      <c r="H60" s="73"/>
      <c r="I60" s="73"/>
    </row>
    <row r="63" spans="1:22">
      <c r="A63" s="264" t="s">
        <v>771</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39"/>
  <sheetViews>
    <sheetView showGridLines="0" view="pageBreakPreview" zoomScaleNormal="100" zoomScaleSheetLayoutView="100" zoomScalePageLayoutView="130" workbookViewId="0">
      <selection activeCell="S15" sqref="S15"/>
    </sheetView>
  </sheetViews>
  <sheetFormatPr baseColWidth="10" defaultColWidth="9.28515625" defaultRowHeight="10.199999999999999"/>
  <cols>
    <col min="3" max="3" width="28.42578125" customWidth="1"/>
    <col min="4" max="5" width="12" customWidth="1"/>
    <col min="6" max="6" width="12.28515625" customWidth="1"/>
    <col min="8" max="9" width="9.28515625" customWidth="1"/>
    <col min="10" max="10" width="9.28515625" style="111"/>
    <col min="11" max="11" width="9.28515625" style="660"/>
    <col min="12" max="12" width="3.140625" style="660" bestFit="1" customWidth="1"/>
    <col min="13" max="16" width="9.28515625" style="356"/>
    <col min="17" max="21" width="9.28515625" style="355"/>
  </cols>
  <sheetData>
    <row r="1" spans="1:15" ht="11.25" customHeight="1"/>
    <row r="2" spans="1:15" ht="11.25" customHeight="1">
      <c r="A2" s="17"/>
      <c r="B2" s="17"/>
      <c r="C2" s="17"/>
      <c r="D2" s="17"/>
      <c r="E2" s="73"/>
      <c r="F2" s="73"/>
      <c r="G2" s="73"/>
    </row>
    <row r="3" spans="1:15" ht="17.25" customHeight="1">
      <c r="A3" s="888" t="s">
        <v>381</v>
      </c>
      <c r="B3" s="888"/>
      <c r="C3" s="888"/>
      <c r="D3" s="888"/>
      <c r="E3" s="888"/>
      <c r="F3" s="888"/>
      <c r="G3" s="888"/>
      <c r="H3" s="36"/>
      <c r="I3" s="36"/>
      <c r="K3" s="660" t="s">
        <v>260</v>
      </c>
      <c r="M3" s="356" t="s">
        <v>261</v>
      </c>
      <c r="N3" s="356" t="s">
        <v>262</v>
      </c>
      <c r="O3" s="356" t="s">
        <v>263</v>
      </c>
    </row>
    <row r="4" spans="1:15" ht="11.25" customHeight="1">
      <c r="A4" s="74"/>
      <c r="B4" s="73"/>
      <c r="C4" s="73"/>
      <c r="D4" s="73"/>
      <c r="E4" s="73"/>
      <c r="F4" s="73"/>
      <c r="G4" s="73"/>
      <c r="H4" s="36"/>
      <c r="I4" s="36"/>
      <c r="J4" s="111">
        <v>2018</v>
      </c>
      <c r="K4" s="660">
        <v>1</v>
      </c>
      <c r="L4" s="660">
        <v>1</v>
      </c>
      <c r="M4" s="661">
        <v>29.44</v>
      </c>
      <c r="N4" s="661">
        <v>69.087142857142865</v>
      </c>
      <c r="O4" s="661">
        <v>15.747142857142856</v>
      </c>
    </row>
    <row r="5" spans="1:15" ht="11.25" customHeight="1">
      <c r="A5" s="74"/>
      <c r="B5" s="73"/>
      <c r="C5" s="73"/>
      <c r="D5" s="73"/>
      <c r="E5" s="73"/>
      <c r="F5" s="73"/>
      <c r="G5" s="73"/>
      <c r="H5" s="12"/>
      <c r="I5" s="12"/>
      <c r="L5" s="660">
        <v>2</v>
      </c>
      <c r="M5" s="661">
        <v>42.880857194285717</v>
      </c>
      <c r="N5" s="661">
        <v>96.785858138571413</v>
      </c>
      <c r="O5" s="661">
        <v>37.6</v>
      </c>
    </row>
    <row r="6" spans="1:15" ht="29.25" customHeight="1">
      <c r="A6" s="136"/>
      <c r="C6" s="397" t="s">
        <v>144</v>
      </c>
      <c r="D6" s="400" t="str">
        <f>UPPER('1. Resumen'!Q4)&amp;"
 "&amp;'1. Resumen'!Q5</f>
        <v>ENERO
 2021</v>
      </c>
      <c r="E6" s="401" t="str">
        <f>UPPER('1. Resumen'!Q4)&amp;"
 "&amp;'1. Resumen'!Q5-1</f>
        <v>ENERO
 2020</v>
      </c>
      <c r="F6" s="402" t="s">
        <v>435</v>
      </c>
      <c r="G6" s="138"/>
      <c r="H6" s="24"/>
      <c r="I6" s="12"/>
      <c r="L6" s="660">
        <v>3</v>
      </c>
      <c r="M6" s="661">
        <v>74.002572194285705</v>
      </c>
      <c r="N6" s="661">
        <v>158.17728531428571</v>
      </c>
      <c r="O6" s="661">
        <v>101.26128550142856</v>
      </c>
    </row>
    <row r="7" spans="1:15" ht="11.25" customHeight="1">
      <c r="A7" s="174"/>
      <c r="C7" s="454" t="s">
        <v>145</v>
      </c>
      <c r="D7" s="455">
        <v>67.187419645247886</v>
      </c>
      <c r="E7" s="615">
        <v>92.172323169999999</v>
      </c>
      <c r="F7" s="456">
        <f>IF(E7=0,"",(D7-E7)/E7)</f>
        <v>-0.27106730811884466</v>
      </c>
      <c r="G7" s="138"/>
      <c r="H7" s="25"/>
      <c r="I7" s="3"/>
      <c r="L7" s="660">
        <v>4</v>
      </c>
      <c r="M7" s="661">
        <v>77.812570845714291</v>
      </c>
      <c r="N7" s="661">
        <v>167.02357267142858</v>
      </c>
      <c r="O7" s="661">
        <v>77.354000085714276</v>
      </c>
    </row>
    <row r="8" spans="1:15" ht="11.25" customHeight="1">
      <c r="A8" s="174"/>
      <c r="C8" s="457" t="s">
        <v>151</v>
      </c>
      <c r="D8" s="458">
        <v>33.069935337189662</v>
      </c>
      <c r="E8" s="458">
        <v>30.240613079999999</v>
      </c>
      <c r="F8" s="459">
        <f t="shared" ref="F8:F30" si="0">IF(E8=0,"",(D8-E8)/E8)</f>
        <v>9.3560347130027921E-2</v>
      </c>
      <c r="G8" s="138"/>
      <c r="H8" s="23"/>
      <c r="I8" s="3"/>
      <c r="L8" s="660">
        <v>5</v>
      </c>
      <c r="M8" s="661">
        <v>61.531714848571433</v>
      </c>
      <c r="N8" s="661">
        <v>113.19585745142855</v>
      </c>
      <c r="O8" s="661">
        <v>30.667142595714285</v>
      </c>
    </row>
    <row r="9" spans="1:15" ht="11.25" customHeight="1">
      <c r="A9" s="174"/>
      <c r="C9" s="460" t="s">
        <v>152</v>
      </c>
      <c r="D9" s="461">
        <v>174.25803153745554</v>
      </c>
      <c r="E9" s="461">
        <v>128.7325491</v>
      </c>
      <c r="F9" s="462">
        <f t="shared" si="0"/>
        <v>0.35364391333609924</v>
      </c>
      <c r="G9" s="138"/>
      <c r="H9" s="25"/>
      <c r="I9" s="3"/>
      <c r="L9" s="660">
        <v>6</v>
      </c>
      <c r="M9" s="661">
        <v>54.024142672857138</v>
      </c>
      <c r="N9" s="661">
        <v>88.535714287142852</v>
      </c>
      <c r="O9" s="661">
        <v>32.444142750000005</v>
      </c>
    </row>
    <row r="10" spans="1:15" ht="11.25" customHeight="1">
      <c r="A10" s="174"/>
      <c r="C10" s="457" t="s">
        <v>159</v>
      </c>
      <c r="D10" s="458">
        <v>221.54145296158271</v>
      </c>
      <c r="E10" s="458">
        <v>111.7310001</v>
      </c>
      <c r="F10" s="459">
        <f t="shared" si="0"/>
        <v>0.98281097245439142</v>
      </c>
      <c r="G10" s="138"/>
      <c r="H10" s="25"/>
      <c r="I10" s="3"/>
      <c r="L10" s="660">
        <v>7</v>
      </c>
      <c r="M10" s="661">
        <v>59.271427155714285</v>
      </c>
      <c r="N10" s="661">
        <v>99.37822619047617</v>
      </c>
      <c r="O10" s="661">
        <v>30.338148809523812</v>
      </c>
    </row>
    <row r="11" spans="1:15" ht="11.25" customHeight="1">
      <c r="A11" s="174"/>
      <c r="C11" s="460" t="s">
        <v>160</v>
      </c>
      <c r="D11" s="461">
        <v>61.385257905529322</v>
      </c>
      <c r="E11" s="461">
        <v>26.644128769999998</v>
      </c>
      <c r="F11" s="462">
        <f t="shared" si="0"/>
        <v>1.3038943564424652</v>
      </c>
      <c r="G11" s="138"/>
      <c r="H11" s="25"/>
      <c r="I11" s="3"/>
      <c r="K11" s="660">
        <v>8</v>
      </c>
      <c r="L11" s="660">
        <v>8</v>
      </c>
      <c r="M11" s="661">
        <v>78.025571005714284</v>
      </c>
      <c r="N11" s="661">
        <v>140.28</v>
      </c>
      <c r="O11" s="661">
        <v>62.97</v>
      </c>
    </row>
    <row r="12" spans="1:15" ht="11.25" customHeight="1">
      <c r="A12" s="174"/>
      <c r="C12" s="457" t="s">
        <v>162</v>
      </c>
      <c r="D12" s="458">
        <v>48.627676963806081</v>
      </c>
      <c r="E12" s="458">
        <v>17.031387079999998</v>
      </c>
      <c r="F12" s="459">
        <f t="shared" si="0"/>
        <v>1.8551800705011094</v>
      </c>
      <c r="G12" s="138"/>
      <c r="H12" s="25"/>
      <c r="I12" s="3"/>
      <c r="L12" s="660">
        <v>9</v>
      </c>
      <c r="M12" s="661">
        <v>61.11871501571428</v>
      </c>
      <c r="N12" s="661">
        <v>102.99642836285715</v>
      </c>
      <c r="O12" s="661">
        <v>31.244571685714288</v>
      </c>
    </row>
    <row r="13" spans="1:15" ht="11.25" customHeight="1">
      <c r="A13" s="174"/>
      <c r="C13" s="460" t="s">
        <v>150</v>
      </c>
      <c r="D13" s="461">
        <v>135.39247311827958</v>
      </c>
      <c r="E13" s="461">
        <v>56.315188172043008</v>
      </c>
      <c r="F13" s="462">
        <f t="shared" si="0"/>
        <v>1.404191080826283</v>
      </c>
      <c r="G13" s="138"/>
      <c r="H13" s="23"/>
      <c r="I13" s="3"/>
      <c r="L13" s="660">
        <v>10</v>
      </c>
      <c r="M13" s="661">
        <v>84.500714981428573</v>
      </c>
      <c r="N13" s="661">
        <v>175.90485927142853</v>
      </c>
      <c r="O13" s="661">
        <v>36.038285662857142</v>
      </c>
    </row>
    <row r="14" spans="1:15" ht="11.25" customHeight="1">
      <c r="A14" s="174"/>
      <c r="C14" s="457" t="s">
        <v>251</v>
      </c>
      <c r="D14" s="458">
        <v>94.152235215709908</v>
      </c>
      <c r="E14" s="458">
        <v>69.408746780000001</v>
      </c>
      <c r="F14" s="459">
        <f t="shared" si="0"/>
        <v>0.35648948559952526</v>
      </c>
      <c r="G14" s="138"/>
      <c r="H14" s="25"/>
      <c r="I14" s="3"/>
      <c r="L14" s="660">
        <v>11</v>
      </c>
      <c r="M14" s="661">
        <v>83.643855504285725</v>
      </c>
      <c r="N14" s="661">
        <v>169.64671761428571</v>
      </c>
      <c r="O14" s="661">
        <v>25.076428275714282</v>
      </c>
    </row>
    <row r="15" spans="1:15" ht="11.25" customHeight="1">
      <c r="A15" s="174"/>
      <c r="C15" s="460" t="s">
        <v>252</v>
      </c>
      <c r="D15" s="461">
        <v>274.60725845829086</v>
      </c>
      <c r="E15" s="461">
        <v>299.68032149999999</v>
      </c>
      <c r="F15" s="462">
        <f t="shared" si="0"/>
        <v>-8.3666030909904557E-2</v>
      </c>
      <c r="G15" s="138"/>
      <c r="H15" s="25"/>
      <c r="I15" s="3"/>
      <c r="L15" s="660">
        <v>12</v>
      </c>
      <c r="M15" s="661">
        <v>98.99</v>
      </c>
      <c r="N15" s="661">
        <v>198.22</v>
      </c>
      <c r="O15" s="661">
        <v>24.63</v>
      </c>
    </row>
    <row r="16" spans="1:15" ht="11.25" customHeight="1">
      <c r="A16" s="174"/>
      <c r="C16" s="457" t="s">
        <v>157</v>
      </c>
      <c r="D16" s="458">
        <v>105.59848465457995</v>
      </c>
      <c r="E16" s="458">
        <v>47.726354600000001</v>
      </c>
      <c r="F16" s="459">
        <f t="shared" si="0"/>
        <v>1.2125822418161381</v>
      </c>
      <c r="G16" s="138"/>
      <c r="H16" s="25"/>
      <c r="I16" s="3"/>
      <c r="L16" s="660">
        <v>13</v>
      </c>
      <c r="M16" s="661">
        <v>106.64928652857144</v>
      </c>
      <c r="N16" s="661">
        <v>312.6314304857143</v>
      </c>
      <c r="O16" s="661">
        <v>38.701428550000003</v>
      </c>
    </row>
    <row r="17" spans="1:17" ht="11.25" customHeight="1">
      <c r="A17" s="174"/>
      <c r="C17" s="460" t="s">
        <v>161</v>
      </c>
      <c r="D17" s="461">
        <v>29.644387275941874</v>
      </c>
      <c r="E17" s="461">
        <v>14.480354739999999</v>
      </c>
      <c r="F17" s="462">
        <f t="shared" si="0"/>
        <v>1.0472141607175762</v>
      </c>
      <c r="G17" s="138"/>
      <c r="H17" s="25"/>
      <c r="I17" s="3"/>
      <c r="L17" s="660">
        <v>14</v>
      </c>
      <c r="M17" s="661">
        <v>86.488428389999996</v>
      </c>
      <c r="N17" s="661">
        <v>235.31328691428573</v>
      </c>
      <c r="O17" s="661">
        <v>94.596427907142839</v>
      </c>
    </row>
    <row r="18" spans="1:17" ht="11.25" customHeight="1">
      <c r="A18" s="174"/>
      <c r="C18" s="457" t="s">
        <v>253</v>
      </c>
      <c r="D18" s="458">
        <v>18.325227922008839</v>
      </c>
      <c r="E18" s="458">
        <v>16.298487690000002</v>
      </c>
      <c r="F18" s="459">
        <f t="shared" si="0"/>
        <v>0.12435142882933557</v>
      </c>
      <c r="G18" s="138"/>
      <c r="H18" s="25"/>
      <c r="I18" s="3"/>
      <c r="L18" s="660">
        <v>15</v>
      </c>
      <c r="M18" s="661">
        <v>88.217001778571429</v>
      </c>
      <c r="N18" s="661">
        <v>294.1721409428572</v>
      </c>
      <c r="O18" s="661">
        <v>92.07</v>
      </c>
    </row>
    <row r="19" spans="1:17" ht="11.25" customHeight="1">
      <c r="A19" s="174"/>
      <c r="C19" s="460" t="s">
        <v>254</v>
      </c>
      <c r="D19" s="461">
        <v>34.012284946236583</v>
      </c>
      <c r="E19" s="461">
        <v>35.104761491935434</v>
      </c>
      <c r="F19" s="462">
        <f t="shared" si="0"/>
        <v>-3.1120466263524511E-2</v>
      </c>
      <c r="G19" s="138"/>
      <c r="H19" s="25"/>
      <c r="I19" s="3"/>
      <c r="K19" s="660">
        <v>16</v>
      </c>
      <c r="L19" s="660">
        <v>16</v>
      </c>
      <c r="M19" s="661">
        <v>65.84</v>
      </c>
      <c r="N19" s="661">
        <v>149.18</v>
      </c>
      <c r="O19" s="661">
        <v>45.4</v>
      </c>
      <c r="Q19" s="598"/>
    </row>
    <row r="20" spans="1:17" ht="11.25" customHeight="1">
      <c r="A20" s="174"/>
      <c r="C20" s="457" t="s">
        <v>255</v>
      </c>
      <c r="D20" s="458">
        <v>1.4381612904610128</v>
      </c>
      <c r="E20" s="458">
        <v>1.4547419319999999</v>
      </c>
      <c r="F20" s="459">
        <f t="shared" si="0"/>
        <v>-1.1397651483237155E-2</v>
      </c>
      <c r="G20" s="138"/>
      <c r="H20" s="25"/>
      <c r="I20" s="3"/>
      <c r="L20" s="660">
        <v>17</v>
      </c>
      <c r="M20" s="661">
        <v>51.88</v>
      </c>
      <c r="N20" s="661">
        <v>104.35</v>
      </c>
      <c r="O20" s="661">
        <v>41.47</v>
      </c>
    </row>
    <row r="21" spans="1:17" ht="11.25" customHeight="1">
      <c r="A21" s="174"/>
      <c r="C21" s="460" t="s">
        <v>148</v>
      </c>
      <c r="D21" s="461">
        <v>356.85645220356565</v>
      </c>
      <c r="E21" s="461">
        <v>222.01416159999999</v>
      </c>
      <c r="F21" s="462">
        <f t="shared" si="0"/>
        <v>0.60735896139143253</v>
      </c>
      <c r="G21" s="138"/>
      <c r="H21" s="25"/>
      <c r="I21" s="3"/>
      <c r="L21" s="660">
        <v>18</v>
      </c>
      <c r="M21" s="661">
        <v>49.672285897142856</v>
      </c>
      <c r="N21" s="661">
        <v>78.038143701428567</v>
      </c>
      <c r="O21" s="661">
        <v>65.800999782857133</v>
      </c>
    </row>
    <row r="22" spans="1:17" ht="11.25" customHeight="1">
      <c r="A22" s="174"/>
      <c r="C22" s="457" t="s">
        <v>146</v>
      </c>
      <c r="D22" s="458">
        <v>0.37923332750797251</v>
      </c>
      <c r="E22" s="458">
        <v>0</v>
      </c>
      <c r="F22" s="459" t="str">
        <f t="shared" si="0"/>
        <v/>
      </c>
      <c r="G22" s="138"/>
      <c r="H22" s="25"/>
      <c r="I22" s="3"/>
      <c r="L22" s="660">
        <v>19</v>
      </c>
      <c r="M22" s="661">
        <v>45.203000204285708</v>
      </c>
      <c r="N22" s="661">
        <v>78.313856942857129</v>
      </c>
      <c r="O22" s="661">
        <v>75.104713441428572</v>
      </c>
    </row>
    <row r="23" spans="1:17" ht="11.25" customHeight="1">
      <c r="A23" s="174"/>
      <c r="C23" s="460" t="s">
        <v>147</v>
      </c>
      <c r="D23" s="461">
        <v>2.3808709806011543</v>
      </c>
      <c r="E23" s="461">
        <v>14.85951571</v>
      </c>
      <c r="F23" s="462">
        <f t="shared" si="0"/>
        <v>-0.83977465840297205</v>
      </c>
      <c r="G23" s="138"/>
      <c r="H23" s="25"/>
      <c r="I23" s="3"/>
      <c r="L23" s="660">
        <v>20</v>
      </c>
      <c r="M23" s="661">
        <v>37.385857718571437</v>
      </c>
      <c r="N23" s="661">
        <v>130.92628696285712</v>
      </c>
      <c r="O23" s="661">
        <v>97.861000055714285</v>
      </c>
    </row>
    <row r="24" spans="1:17" ht="11.25" customHeight="1">
      <c r="A24" s="174"/>
      <c r="C24" s="457" t="s">
        <v>163</v>
      </c>
      <c r="D24" s="458">
        <v>22.919935534077265</v>
      </c>
      <c r="E24" s="458">
        <v>34.027741890000001</v>
      </c>
      <c r="F24" s="459">
        <f t="shared" si="0"/>
        <v>-0.32643383718586022</v>
      </c>
      <c r="G24" s="138"/>
      <c r="H24" s="26"/>
      <c r="I24" s="3"/>
      <c r="L24" s="660">
        <v>21</v>
      </c>
      <c r="M24" s="661">
        <v>31.609713962857143</v>
      </c>
      <c r="N24" s="661">
        <v>64.449287412857146</v>
      </c>
      <c r="O24" s="661">
        <v>107.7964292242857</v>
      </c>
    </row>
    <row r="25" spans="1:17" ht="11.25" customHeight="1">
      <c r="A25" s="138"/>
      <c r="C25" s="460" t="s">
        <v>153</v>
      </c>
      <c r="D25" s="461">
        <v>0</v>
      </c>
      <c r="E25" s="461">
        <v>0</v>
      </c>
      <c r="F25" s="462" t="str">
        <f t="shared" si="0"/>
        <v/>
      </c>
      <c r="G25" s="158"/>
      <c r="H25" s="25"/>
      <c r="I25" s="3"/>
      <c r="L25" s="660">
        <v>22</v>
      </c>
      <c r="M25" s="661">
        <v>23.360142844285715</v>
      </c>
      <c r="N25" s="661">
        <v>64.449287412857146</v>
      </c>
      <c r="O25" s="661">
        <v>107.7964292242857</v>
      </c>
    </row>
    <row r="26" spans="1:17" ht="11.25" customHeight="1">
      <c r="A26" s="175"/>
      <c r="C26" s="457" t="s">
        <v>154</v>
      </c>
      <c r="D26" s="458">
        <v>0.82519355656639026</v>
      </c>
      <c r="E26" s="458">
        <v>1.027483873</v>
      </c>
      <c r="F26" s="459">
        <f t="shared" si="0"/>
        <v>-0.19687931046836948</v>
      </c>
      <c r="G26" s="138"/>
      <c r="H26" s="23"/>
      <c r="I26" s="3"/>
      <c r="L26" s="660">
        <v>23</v>
      </c>
      <c r="M26" s="661">
        <v>22.118571418571431</v>
      </c>
      <c r="N26" s="661">
        <v>39.50100054</v>
      </c>
      <c r="O26" s="661">
        <v>35.176713670000005</v>
      </c>
    </row>
    <row r="27" spans="1:17" ht="11.25" customHeight="1">
      <c r="A27" s="138"/>
      <c r="C27" s="460" t="s">
        <v>155</v>
      </c>
      <c r="D27" s="461">
        <v>0</v>
      </c>
      <c r="E27" s="461">
        <v>1.4774193E-2</v>
      </c>
      <c r="F27" s="462">
        <f t="shared" si="0"/>
        <v>-1</v>
      </c>
      <c r="G27" s="138"/>
      <c r="H27" s="23"/>
      <c r="I27" s="3"/>
      <c r="K27" s="660">
        <v>24</v>
      </c>
      <c r="L27" s="660">
        <v>24</v>
      </c>
      <c r="M27" s="661">
        <v>18.655142918571432</v>
      </c>
      <c r="N27" s="661">
        <v>33.690285274285714</v>
      </c>
      <c r="O27" s="661">
        <v>23.41942841571429</v>
      </c>
    </row>
    <row r="28" spans="1:17" ht="11.25" customHeight="1">
      <c r="A28" s="138"/>
      <c r="C28" s="457" t="s">
        <v>156</v>
      </c>
      <c r="D28" s="458">
        <v>0</v>
      </c>
      <c r="E28" s="458">
        <v>0</v>
      </c>
      <c r="F28" s="459" t="str">
        <f t="shared" si="0"/>
        <v/>
      </c>
      <c r="G28" s="138"/>
      <c r="H28" s="23"/>
      <c r="I28" s="3"/>
      <c r="L28" s="660">
        <v>25</v>
      </c>
      <c r="M28" s="661">
        <v>15.664428437142856</v>
      </c>
      <c r="N28" s="661">
        <v>30.228428704285715</v>
      </c>
      <c r="O28" s="661">
        <v>15.98614284142857</v>
      </c>
    </row>
    <row r="29" spans="1:17" ht="11.25" customHeight="1">
      <c r="A29" s="158"/>
      <c r="C29" s="460" t="s">
        <v>158</v>
      </c>
      <c r="D29" s="461">
        <v>0.37964290765023945</v>
      </c>
      <c r="E29" s="461">
        <v>1.294732905</v>
      </c>
      <c r="F29" s="462">
        <f t="shared" si="0"/>
        <v>-0.70677897643279608</v>
      </c>
      <c r="G29" s="176"/>
      <c r="H29" s="23"/>
      <c r="I29" s="3"/>
      <c r="L29" s="660">
        <v>26</v>
      </c>
      <c r="M29" s="661">
        <v>13.848143032857147</v>
      </c>
      <c r="N29" s="661">
        <v>27.872285568571431</v>
      </c>
      <c r="O29" s="661">
        <v>14.09042848857143</v>
      </c>
    </row>
    <row r="30" spans="1:17" ht="11.25" customHeight="1">
      <c r="A30" s="175"/>
      <c r="C30" s="463" t="s">
        <v>149</v>
      </c>
      <c r="D30" s="464">
        <v>15.27016129032258</v>
      </c>
      <c r="E30" s="464">
        <v>9.2983870967741939</v>
      </c>
      <c r="F30" s="465">
        <f t="shared" si="0"/>
        <v>0.64223764093668678</v>
      </c>
      <c r="G30" s="138"/>
      <c r="H30" s="25"/>
      <c r="I30" s="3"/>
      <c r="L30" s="660">
        <v>27</v>
      </c>
      <c r="M30" s="661">
        <v>12.865857259999999</v>
      </c>
      <c r="N30" s="661">
        <v>27.257571358571429</v>
      </c>
      <c r="O30" s="661">
        <v>11.838857105714284</v>
      </c>
    </row>
    <row r="31" spans="1:17" ht="11.25" customHeight="1">
      <c r="A31" s="137"/>
      <c r="C31" s="265" t="str">
        <f>"Cuadro N°10: Promedio de caudales en "&amp;'1. Resumen'!Q4</f>
        <v>Cuadro N°10: Promedio de caudales en enero</v>
      </c>
      <c r="D31" s="137"/>
      <c r="E31" s="137"/>
      <c r="F31" s="137"/>
      <c r="G31" s="137"/>
      <c r="H31" s="25"/>
      <c r="I31" s="6"/>
      <c r="L31" s="660">
        <v>28</v>
      </c>
      <c r="M31" s="661">
        <v>12.915285789999999</v>
      </c>
      <c r="N31" s="661">
        <v>27.217285974285712</v>
      </c>
      <c r="O31" s="661">
        <v>9.7789998731428565</v>
      </c>
    </row>
    <row r="32" spans="1:17" ht="11.25" customHeight="1">
      <c r="A32" s="137"/>
      <c r="B32" s="137"/>
      <c r="C32" s="137"/>
      <c r="D32" s="137"/>
      <c r="E32" s="137"/>
      <c r="F32" s="137"/>
      <c r="G32" s="137"/>
      <c r="H32" s="25"/>
      <c r="I32" s="6"/>
      <c r="L32" s="660">
        <v>29</v>
      </c>
      <c r="M32" s="661">
        <v>15.908571428571426</v>
      </c>
      <c r="N32" s="661">
        <v>24.955714285714286</v>
      </c>
      <c r="O32" s="661">
        <v>8.4957142857142856</v>
      </c>
    </row>
    <row r="33" spans="1:15" ht="11.25" customHeight="1">
      <c r="A33" s="137"/>
      <c r="B33" s="137"/>
      <c r="C33" s="137"/>
      <c r="D33" s="137"/>
      <c r="E33" s="137"/>
      <c r="F33" s="137"/>
      <c r="G33" s="137"/>
      <c r="H33" s="25"/>
      <c r="I33" s="6"/>
      <c r="L33" s="660">
        <v>30</v>
      </c>
      <c r="M33" s="661">
        <v>16.584000042857145</v>
      </c>
      <c r="N33" s="661">
        <v>24.80942862142857</v>
      </c>
      <c r="O33" s="661">
        <v>7.807428428142857</v>
      </c>
    </row>
    <row r="34" spans="1:15" ht="11.25" customHeight="1">
      <c r="A34" s="137"/>
      <c r="B34" s="137"/>
      <c r="C34" s="137"/>
      <c r="D34" s="137"/>
      <c r="E34" s="137"/>
      <c r="F34" s="137"/>
      <c r="G34" s="137"/>
      <c r="H34" s="25"/>
      <c r="I34" s="6"/>
      <c r="L34" s="660">
        <v>31</v>
      </c>
      <c r="M34" s="661">
        <v>18.553000000000001</v>
      </c>
      <c r="N34" s="661">
        <v>25.690999999999999</v>
      </c>
      <c r="O34" s="661">
        <v>7.53</v>
      </c>
    </row>
    <row r="35" spans="1:15" ht="17.25" customHeight="1">
      <c r="A35" s="888" t="s">
        <v>382</v>
      </c>
      <c r="B35" s="888"/>
      <c r="C35" s="888"/>
      <c r="D35" s="888"/>
      <c r="E35" s="888"/>
      <c r="F35" s="888"/>
      <c r="G35" s="888"/>
      <c r="H35" s="25"/>
      <c r="I35" s="6"/>
      <c r="K35" s="660">
        <v>32</v>
      </c>
      <c r="L35" s="660">
        <v>32</v>
      </c>
      <c r="M35" s="661">
        <v>17.769714355714285</v>
      </c>
      <c r="N35" s="661">
        <v>27.630000251428573</v>
      </c>
      <c r="O35" s="661">
        <v>6.4074286734285701</v>
      </c>
    </row>
    <row r="36" spans="1:15" ht="11.25" customHeight="1">
      <c r="A36" s="137"/>
      <c r="B36" s="137"/>
      <c r="C36" s="137"/>
      <c r="D36" s="137"/>
      <c r="E36" s="137"/>
      <c r="F36" s="137"/>
      <c r="G36" s="137"/>
      <c r="H36" s="25"/>
      <c r="I36" s="6"/>
      <c r="L36" s="660">
        <v>33</v>
      </c>
      <c r="M36" s="661">
        <v>14.782857348571428</v>
      </c>
      <c r="N36" s="661">
        <v>23.78</v>
      </c>
      <c r="O36" s="661">
        <v>4.9400000000000004</v>
      </c>
    </row>
    <row r="37" spans="1:15" ht="11.25" customHeight="1">
      <c r="A37" s="136"/>
      <c r="B37" s="138"/>
      <c r="C37" s="138"/>
      <c r="D37" s="138"/>
      <c r="E37" s="138"/>
      <c r="F37" s="138"/>
      <c r="G37" s="138"/>
      <c r="H37" s="26"/>
      <c r="I37" s="6"/>
      <c r="L37" s="660">
        <v>34</v>
      </c>
      <c r="M37" s="661">
        <v>15.984000069999999</v>
      </c>
      <c r="N37" s="661">
        <v>23.527999878571428</v>
      </c>
      <c r="O37" s="661">
        <v>4.6688571658571432</v>
      </c>
    </row>
    <row r="38" spans="1:15" ht="11.25" customHeight="1">
      <c r="A38" s="74"/>
      <c r="B38" s="73"/>
      <c r="C38" s="73"/>
      <c r="D38" s="73"/>
      <c r="E38" s="73"/>
      <c r="F38" s="73"/>
      <c r="G38" s="73"/>
      <c r="H38" s="3"/>
      <c r="I38" s="6"/>
      <c r="L38" s="660">
        <v>35</v>
      </c>
      <c r="M38" s="661">
        <v>15.55</v>
      </c>
      <c r="N38" s="661">
        <v>23.29</v>
      </c>
      <c r="O38" s="661">
        <v>4.5999999999999996</v>
      </c>
    </row>
    <row r="39" spans="1:15" ht="11.25" customHeight="1">
      <c r="A39" s="74"/>
      <c r="B39" s="73"/>
      <c r="C39" s="73"/>
      <c r="D39" s="73"/>
      <c r="E39" s="73"/>
      <c r="F39" s="73"/>
      <c r="G39" s="73"/>
      <c r="H39" s="3"/>
      <c r="I39" s="10"/>
      <c r="L39" s="660">
        <v>36</v>
      </c>
      <c r="M39" s="661">
        <v>15.042857142857143</v>
      </c>
      <c r="N39" s="661">
        <v>23.007142857142856</v>
      </c>
      <c r="O39" s="661">
        <v>3.9657142857142857</v>
      </c>
    </row>
    <row r="40" spans="1:15" ht="11.25" customHeight="1">
      <c r="A40" s="74"/>
      <c r="B40" s="73"/>
      <c r="C40" s="73"/>
      <c r="D40" s="73"/>
      <c r="E40" s="73"/>
      <c r="F40" s="73"/>
      <c r="G40" s="73"/>
      <c r="H40" s="3"/>
      <c r="I40" s="10"/>
      <c r="L40" s="660">
        <v>37</v>
      </c>
      <c r="M40" s="661">
        <v>13.386857033</v>
      </c>
      <c r="N40" s="661">
        <v>23.173571724285711</v>
      </c>
      <c r="O40" s="661">
        <v>3.5334285327142858</v>
      </c>
    </row>
    <row r="41" spans="1:15" ht="11.25" customHeight="1">
      <c r="A41" s="74"/>
      <c r="B41" s="73"/>
      <c r="C41" s="73"/>
      <c r="D41" s="73"/>
      <c r="E41" s="73"/>
      <c r="F41" s="73"/>
      <c r="G41" s="73"/>
      <c r="H41" s="3"/>
      <c r="I41" s="7"/>
      <c r="L41" s="660">
        <v>38</v>
      </c>
      <c r="M41" s="661">
        <v>12.963714189999999</v>
      </c>
      <c r="N41" s="661">
        <v>26.454000201428567</v>
      </c>
      <c r="O41" s="661">
        <v>6.4914285118571433</v>
      </c>
    </row>
    <row r="42" spans="1:15" ht="11.25" customHeight="1">
      <c r="A42" s="74"/>
      <c r="B42" s="73"/>
      <c r="C42" s="73"/>
      <c r="D42" s="73"/>
      <c r="E42" s="73"/>
      <c r="F42" s="73"/>
      <c r="G42" s="73"/>
      <c r="H42" s="3"/>
      <c r="I42" s="7"/>
      <c r="L42" s="660">
        <v>39</v>
      </c>
      <c r="M42" s="661">
        <v>9.4700000000000006</v>
      </c>
      <c r="N42" s="661">
        <v>23.7</v>
      </c>
      <c r="O42" s="661">
        <v>4.9000000000000004</v>
      </c>
    </row>
    <row r="43" spans="1:15" ht="11.25" customHeight="1">
      <c r="A43" s="74"/>
      <c r="B43" s="73"/>
      <c r="C43" s="73"/>
      <c r="D43" s="73"/>
      <c r="E43" s="73"/>
      <c r="F43" s="73"/>
      <c r="G43" s="73"/>
      <c r="H43" s="3"/>
      <c r="I43" s="7"/>
      <c r="K43" s="660">
        <v>40</v>
      </c>
      <c r="L43" s="660">
        <v>40</v>
      </c>
      <c r="M43" s="661">
        <v>9.6714286802857146</v>
      </c>
      <c r="N43" s="661">
        <v>23.695143017142858</v>
      </c>
      <c r="O43" s="661">
        <v>4.898285797571428</v>
      </c>
    </row>
    <row r="44" spans="1:15" ht="11.25" customHeight="1">
      <c r="A44" s="74"/>
      <c r="B44" s="73"/>
      <c r="C44" s="73"/>
      <c r="D44" s="73"/>
      <c r="E44" s="73"/>
      <c r="F44" s="73"/>
      <c r="G44" s="73"/>
      <c r="H44" s="6"/>
      <c r="I44" s="10"/>
      <c r="L44" s="660">
        <v>41</v>
      </c>
      <c r="M44" s="661">
        <v>13.23900018419533</v>
      </c>
      <c r="N44" s="661">
        <v>28.113285882132363</v>
      </c>
      <c r="O44" s="661">
        <v>8.3430000032697169</v>
      </c>
    </row>
    <row r="45" spans="1:15" ht="11.25" customHeight="1">
      <c r="A45" s="74"/>
      <c r="B45" s="73"/>
      <c r="C45" s="73"/>
      <c r="D45" s="73"/>
      <c r="E45" s="73"/>
      <c r="F45" s="73"/>
      <c r="G45" s="73"/>
      <c r="H45" s="3"/>
      <c r="I45" s="10"/>
      <c r="L45" s="660">
        <v>42</v>
      </c>
      <c r="M45" s="661">
        <v>13.085142816816015</v>
      </c>
      <c r="N45" s="661">
        <v>37.073285511561743</v>
      </c>
      <c r="O45" s="661">
        <v>7.2735712868826683</v>
      </c>
    </row>
    <row r="46" spans="1:15" ht="11.25" customHeight="1">
      <c r="A46" s="74"/>
      <c r="B46" s="73"/>
      <c r="C46" s="73"/>
      <c r="D46" s="73"/>
      <c r="E46" s="73"/>
      <c r="F46" s="73"/>
      <c r="G46" s="73"/>
      <c r="H46" s="3"/>
      <c r="I46" s="10"/>
      <c r="L46" s="660">
        <v>43</v>
      </c>
      <c r="M46" s="661">
        <v>24.981571742466489</v>
      </c>
      <c r="N46" s="661">
        <v>70.535571507045162</v>
      </c>
      <c r="O46" s="661">
        <v>7.4324284962245324</v>
      </c>
    </row>
    <row r="47" spans="1:15" ht="11.25" customHeight="1">
      <c r="A47" s="74"/>
      <c r="B47" s="73"/>
      <c r="C47" s="73"/>
      <c r="D47" s="73"/>
      <c r="E47" s="73"/>
      <c r="F47" s="73"/>
      <c r="G47" s="73"/>
      <c r="H47" s="11"/>
      <c r="I47" s="11"/>
      <c r="L47" s="660">
        <v>44</v>
      </c>
      <c r="M47" s="661">
        <v>20.55814279714286</v>
      </c>
      <c r="N47" s="661">
        <v>55.183714184285712</v>
      </c>
      <c r="O47" s="661">
        <v>15.801856994857145</v>
      </c>
    </row>
    <row r="48" spans="1:15" ht="11.25" customHeight="1">
      <c r="A48" s="74"/>
      <c r="B48" s="73"/>
      <c r="C48" s="73"/>
      <c r="D48" s="73"/>
      <c r="E48" s="73"/>
      <c r="F48" s="73"/>
      <c r="G48" s="73"/>
      <c r="H48" s="11"/>
      <c r="I48" s="11"/>
      <c r="L48" s="660">
        <v>45</v>
      </c>
      <c r="M48" s="661">
        <v>26.170000077142856</v>
      </c>
      <c r="N48" s="661">
        <v>60.445714132857141</v>
      </c>
      <c r="O48" s="661">
        <v>26.432857787142858</v>
      </c>
    </row>
    <row r="49" spans="1:15" ht="11.25" customHeight="1">
      <c r="A49" s="74"/>
      <c r="B49" s="73"/>
      <c r="C49" s="73"/>
      <c r="D49" s="73"/>
      <c r="E49" s="73"/>
      <c r="F49" s="73"/>
      <c r="G49" s="73"/>
      <c r="H49" s="11"/>
      <c r="I49" s="11"/>
      <c r="L49" s="660">
        <v>46</v>
      </c>
      <c r="M49" s="661">
        <v>19.728571428571428</v>
      </c>
      <c r="N49" s="661">
        <v>57.005714285714291</v>
      </c>
      <c r="O49" s="661">
        <v>53.502857142857145</v>
      </c>
    </row>
    <row r="50" spans="1:15" ht="11.25" customHeight="1">
      <c r="A50" s="74"/>
      <c r="B50" s="73"/>
      <c r="C50" s="73"/>
      <c r="D50" s="73"/>
      <c r="E50" s="73"/>
      <c r="F50" s="73"/>
      <c r="G50" s="73"/>
      <c r="H50" s="11"/>
      <c r="I50" s="11"/>
      <c r="L50" s="660">
        <v>47</v>
      </c>
      <c r="M50" s="661">
        <v>39.656714302857139</v>
      </c>
      <c r="N50" s="661">
        <v>103.00771440714287</v>
      </c>
      <c r="O50" s="661">
        <v>53.459142955714292</v>
      </c>
    </row>
    <row r="51" spans="1:15" ht="11.25" customHeight="1">
      <c r="A51" s="74"/>
      <c r="B51" s="73"/>
      <c r="C51" s="73"/>
      <c r="D51" s="73"/>
      <c r="E51" s="73"/>
      <c r="F51" s="73"/>
      <c r="G51" s="73"/>
      <c r="H51" s="11"/>
      <c r="I51" s="11"/>
      <c r="L51" s="660">
        <v>48</v>
      </c>
      <c r="M51" s="661">
        <v>39.656714302857139</v>
      </c>
      <c r="N51" s="661">
        <v>99.828000734285709</v>
      </c>
      <c r="O51" s="661">
        <v>45.539571760000008</v>
      </c>
    </row>
    <row r="52" spans="1:15" ht="11.25" customHeight="1">
      <c r="A52" s="74"/>
      <c r="B52" s="73"/>
      <c r="C52" s="73"/>
      <c r="D52" s="73"/>
      <c r="E52" s="73"/>
      <c r="F52" s="73"/>
      <c r="G52" s="73"/>
      <c r="H52" s="11"/>
      <c r="I52" s="11"/>
      <c r="L52" s="660">
        <v>49</v>
      </c>
      <c r="M52" s="661">
        <v>22.62857142857143</v>
      </c>
      <c r="N52" s="661">
        <v>60.27571428571428</v>
      </c>
      <c r="O52" s="661">
        <v>17.955714285714286</v>
      </c>
    </row>
    <row r="53" spans="1:15" ht="11.25" customHeight="1">
      <c r="A53" s="74"/>
      <c r="B53" s="73"/>
      <c r="C53" s="73"/>
      <c r="D53" s="73"/>
      <c r="E53" s="73"/>
      <c r="F53" s="73"/>
      <c r="G53" s="73"/>
      <c r="H53" s="11"/>
      <c r="I53" s="11"/>
      <c r="L53" s="660">
        <v>50</v>
      </c>
      <c r="M53" s="661">
        <v>17.776714461428572</v>
      </c>
      <c r="N53" s="661">
        <v>46.701999664285715</v>
      </c>
      <c r="O53" s="661">
        <v>13.432571411428571</v>
      </c>
    </row>
    <row r="54" spans="1:15" ht="11.25" customHeight="1">
      <c r="A54" s="74"/>
      <c r="B54" s="73"/>
      <c r="C54" s="73"/>
      <c r="D54" s="73"/>
      <c r="E54" s="73"/>
      <c r="F54" s="73"/>
      <c r="G54" s="73"/>
      <c r="H54" s="11"/>
      <c r="I54" s="11"/>
      <c r="L54" s="660">
        <v>51</v>
      </c>
      <c r="M54" s="661">
        <v>34.085714285714282</v>
      </c>
      <c r="N54" s="661">
        <v>68.7</v>
      </c>
      <c r="O54" s="661">
        <v>39.414285714285711</v>
      </c>
    </row>
    <row r="55" spans="1:15" ht="13.2">
      <c r="A55" s="74"/>
      <c r="B55" s="73"/>
      <c r="C55" s="73"/>
      <c r="D55" s="73"/>
      <c r="E55" s="73"/>
      <c r="F55" s="73"/>
      <c r="G55" s="73"/>
      <c r="H55" s="11"/>
      <c r="I55" s="11"/>
      <c r="K55" s="660">
        <v>52</v>
      </c>
      <c r="L55" s="660">
        <v>52</v>
      </c>
      <c r="M55" s="661">
        <v>52.094142914285719</v>
      </c>
      <c r="N55" s="661">
        <v>97.347143448571416</v>
      </c>
      <c r="O55" s="661">
        <v>65.679429182857149</v>
      </c>
    </row>
    <row r="56" spans="1:15" ht="13.2">
      <c r="A56" s="74"/>
      <c r="B56" s="73"/>
      <c r="C56" s="73"/>
      <c r="D56" s="73"/>
      <c r="E56" s="73"/>
      <c r="F56" s="73"/>
      <c r="G56" s="73"/>
      <c r="H56" s="11"/>
      <c r="I56" s="11"/>
      <c r="J56" s="111">
        <v>2019</v>
      </c>
      <c r="K56" s="660">
        <v>1</v>
      </c>
      <c r="L56" s="660">
        <v>1</v>
      </c>
      <c r="M56" s="661">
        <v>27.79999951142857</v>
      </c>
      <c r="N56" s="661">
        <v>78.298570904285711</v>
      </c>
      <c r="O56" s="661">
        <v>21.927143370000003</v>
      </c>
    </row>
    <row r="57" spans="1:15" ht="13.2">
      <c r="A57" s="74"/>
      <c r="B57" s="73"/>
      <c r="C57" s="73"/>
      <c r="D57" s="73"/>
      <c r="E57" s="73"/>
      <c r="F57" s="73"/>
      <c r="G57" s="73"/>
      <c r="H57" s="11"/>
      <c r="I57" s="11"/>
      <c r="L57" s="660">
        <v>2</v>
      </c>
      <c r="M57" s="661">
        <v>28.678571428571427</v>
      </c>
      <c r="N57" s="661">
        <v>95.081715179999989</v>
      </c>
      <c r="O57" s="661">
        <v>22.397999900000002</v>
      </c>
    </row>
    <row r="58" spans="1:15" ht="13.2">
      <c r="A58" s="74"/>
      <c r="B58" s="73"/>
      <c r="C58" s="73"/>
      <c r="D58" s="73"/>
      <c r="E58" s="73"/>
      <c r="F58" s="73"/>
      <c r="G58" s="73"/>
      <c r="H58" s="11"/>
      <c r="I58" s="11"/>
      <c r="L58" s="660">
        <v>3</v>
      </c>
      <c r="M58" s="661">
        <v>44.51</v>
      </c>
      <c r="N58" s="661">
        <v>95.65</v>
      </c>
      <c r="O58" s="661">
        <v>17.61</v>
      </c>
    </row>
    <row r="59" spans="1:15" ht="13.2">
      <c r="A59" s="74"/>
      <c r="B59" s="73"/>
      <c r="C59" s="73"/>
      <c r="D59" s="73"/>
      <c r="E59" s="73"/>
      <c r="F59" s="73"/>
      <c r="G59" s="73"/>
      <c r="H59" s="11"/>
      <c r="I59" s="11"/>
      <c r="L59" s="660">
        <v>4</v>
      </c>
      <c r="M59" s="661">
        <v>73.323141914285699</v>
      </c>
      <c r="N59" s="661">
        <v>109.29957036285714</v>
      </c>
      <c r="O59" s="661">
        <v>17.638000354285712</v>
      </c>
    </row>
    <row r="60" spans="1:15" ht="13.2">
      <c r="A60" s="74"/>
      <c r="B60" s="73"/>
      <c r="C60" s="73"/>
      <c r="D60" s="73"/>
      <c r="E60" s="73"/>
      <c r="F60" s="73"/>
      <c r="G60" s="73"/>
      <c r="H60" s="11"/>
      <c r="I60" s="11"/>
      <c r="L60" s="660">
        <v>5</v>
      </c>
      <c r="M60" s="661">
        <v>103.17716724333333</v>
      </c>
      <c r="N60" s="661">
        <v>149.65083311999999</v>
      </c>
      <c r="O60" s="661">
        <v>19.218833289999999</v>
      </c>
    </row>
    <row r="61" spans="1:15" ht="13.2">
      <c r="A61" s="265" t="s">
        <v>772</v>
      </c>
      <c r="B61" s="73"/>
      <c r="C61" s="73"/>
      <c r="D61" s="73"/>
      <c r="E61" s="73"/>
      <c r="F61" s="73"/>
      <c r="G61" s="73"/>
      <c r="H61" s="11"/>
      <c r="I61" s="11"/>
      <c r="L61" s="660">
        <v>6</v>
      </c>
      <c r="M61" s="661">
        <v>79.165714285714287</v>
      </c>
      <c r="N61" s="661">
        <v>136.57714285714286</v>
      </c>
      <c r="O61" s="661">
        <v>57.185714285714276</v>
      </c>
    </row>
    <row r="62" spans="1:15">
      <c r="L62" s="660">
        <v>7</v>
      </c>
      <c r="M62" s="661">
        <v>120.02256992142858</v>
      </c>
      <c r="N62" s="661">
        <v>224.71071514285714</v>
      </c>
      <c r="O62" s="661">
        <v>118.06042697857141</v>
      </c>
    </row>
    <row r="63" spans="1:15">
      <c r="K63" s="660">
        <v>8</v>
      </c>
      <c r="L63" s="660">
        <v>8</v>
      </c>
      <c r="M63" s="661">
        <v>97.560142514285715</v>
      </c>
      <c r="N63" s="661">
        <v>198.04342652857142</v>
      </c>
      <c r="O63" s="661">
        <v>106.29885756428571</v>
      </c>
    </row>
    <row r="64" spans="1:15">
      <c r="L64" s="660">
        <v>9</v>
      </c>
      <c r="M64" s="661">
        <v>97.560142514285715</v>
      </c>
      <c r="N64" s="661">
        <v>191.0112849857143</v>
      </c>
      <c r="O64" s="661">
        <v>142.12385776285717</v>
      </c>
    </row>
    <row r="65" spans="11:15">
      <c r="L65" s="660">
        <v>10</v>
      </c>
      <c r="M65" s="661">
        <v>97.497286117142863</v>
      </c>
      <c r="N65" s="661">
        <v>215.64014109999999</v>
      </c>
      <c r="O65" s="661">
        <v>164.59685624285717</v>
      </c>
    </row>
    <row r="66" spans="11:15">
      <c r="L66" s="660">
        <v>11</v>
      </c>
      <c r="M66" s="661">
        <v>98.21585736955906</v>
      </c>
      <c r="N66" s="661">
        <v>236.76099940708642</v>
      </c>
      <c r="O66" s="661">
        <v>121.6507121494835</v>
      </c>
    </row>
    <row r="67" spans="11:15">
      <c r="L67" s="660">
        <v>12</v>
      </c>
      <c r="M67" s="661">
        <v>91.857713972857141</v>
      </c>
      <c r="N67" s="661">
        <v>250.8679761904763</v>
      </c>
      <c r="O67" s="661">
        <v>166.63136904761905</v>
      </c>
    </row>
    <row r="68" spans="11:15">
      <c r="L68" s="660">
        <v>13</v>
      </c>
      <c r="M68" s="661">
        <v>100.0137132957143</v>
      </c>
      <c r="N68" s="661">
        <v>301.45971681428574</v>
      </c>
      <c r="O68" s="661">
        <v>180.07000078571429</v>
      </c>
    </row>
    <row r="69" spans="11:15">
      <c r="L69" s="660">
        <v>14</v>
      </c>
      <c r="M69" s="661">
        <v>84.272714885714294</v>
      </c>
      <c r="N69" s="661">
        <v>253.08542525714284</v>
      </c>
      <c r="O69" s="661">
        <v>143.43971579999999</v>
      </c>
    </row>
    <row r="70" spans="11:15">
      <c r="L70" s="660">
        <v>15</v>
      </c>
      <c r="M70" s="661">
        <v>61.074856892857142</v>
      </c>
      <c r="N70" s="661">
        <v>253.08542525714284</v>
      </c>
      <c r="O70" s="661">
        <v>152.6561442857143</v>
      </c>
    </row>
    <row r="71" spans="11:15">
      <c r="K71" s="660">
        <v>16</v>
      </c>
      <c r="L71" s="660">
        <v>16</v>
      </c>
      <c r="M71" s="661">
        <v>47.843714031428576</v>
      </c>
      <c r="N71" s="661">
        <v>141.0458592</v>
      </c>
      <c r="O71" s="661">
        <v>83.844285145714295</v>
      </c>
    </row>
    <row r="72" spans="11:15">
      <c r="L72" s="660">
        <v>17</v>
      </c>
      <c r="M72" s="661">
        <v>50.907143728571427</v>
      </c>
      <c r="N72" s="661">
        <v>123.86656951428571</v>
      </c>
      <c r="O72" s="661">
        <v>125.28814153857142</v>
      </c>
    </row>
    <row r="73" spans="11:15">
      <c r="L73" s="660">
        <v>18</v>
      </c>
      <c r="M73" s="661">
        <v>39.120999471428568</v>
      </c>
      <c r="N73" s="661">
        <v>85.173857551428583</v>
      </c>
      <c r="O73" s="661">
        <v>66.347143447142855</v>
      </c>
    </row>
    <row r="74" spans="11:15">
      <c r="L74" s="660">
        <v>19</v>
      </c>
      <c r="M74" s="661">
        <v>35.410856791428571</v>
      </c>
      <c r="N74" s="661">
        <v>71.224285714285699</v>
      </c>
      <c r="O74" s="661">
        <v>42.216071428571425</v>
      </c>
    </row>
    <row r="75" spans="11:15">
      <c r="L75" s="660">
        <v>20</v>
      </c>
      <c r="M75" s="661">
        <v>32.405142920000003</v>
      </c>
      <c r="N75" s="661">
        <v>76.857142859999996</v>
      </c>
      <c r="O75" s="661">
        <v>58.324429100000003</v>
      </c>
    </row>
    <row r="76" spans="11:15">
      <c r="L76" s="660">
        <v>21</v>
      </c>
      <c r="M76" s="661">
        <v>26.58385740142857</v>
      </c>
      <c r="N76" s="661">
        <v>47.97114345</v>
      </c>
      <c r="O76" s="661">
        <v>34.032571519999998</v>
      </c>
    </row>
    <row r="77" spans="11:15">
      <c r="L77" s="660">
        <v>22</v>
      </c>
      <c r="M77" s="661">
        <v>19.653714315714286</v>
      </c>
      <c r="N77" s="661">
        <v>37.624285945285713</v>
      </c>
      <c r="O77" s="661">
        <v>40.524285998571429</v>
      </c>
    </row>
    <row r="78" spans="11:15">
      <c r="L78" s="660">
        <v>23</v>
      </c>
      <c r="M78" s="661">
        <v>16.50400011857143</v>
      </c>
      <c r="N78" s="661">
        <v>37.806285858571421</v>
      </c>
      <c r="O78" s="661">
        <v>25.010571342857141</v>
      </c>
    </row>
    <row r="79" spans="11:15">
      <c r="L79" s="660">
        <v>24</v>
      </c>
      <c r="M79" s="661">
        <v>14.890428544285713</v>
      </c>
      <c r="N79" s="661">
        <v>35.468714032857143</v>
      </c>
      <c r="O79" s="661">
        <v>18.242713997857145</v>
      </c>
    </row>
    <row r="80" spans="11:15">
      <c r="L80" s="660">
        <v>25</v>
      </c>
      <c r="M80" s="661">
        <v>15.340000017142858</v>
      </c>
      <c r="N80" s="661">
        <v>33.200142724285719</v>
      </c>
      <c r="O80" s="661">
        <v>16.013142995714286</v>
      </c>
    </row>
    <row r="81" spans="11:15">
      <c r="K81" s="660">
        <v>26</v>
      </c>
      <c r="L81" s="660">
        <v>26</v>
      </c>
      <c r="M81" s="661">
        <v>15.521142687142857</v>
      </c>
      <c r="N81" s="661">
        <v>28.376285825714287</v>
      </c>
      <c r="O81" s="661">
        <v>12.961571557142857</v>
      </c>
    </row>
    <row r="82" spans="11:15">
      <c r="L82" s="660">
        <v>27</v>
      </c>
      <c r="M82" s="661">
        <v>15.32</v>
      </c>
      <c r="N82" s="661">
        <v>28.47</v>
      </c>
      <c r="O82" s="661">
        <v>11.39</v>
      </c>
    </row>
    <row r="83" spans="11:15">
      <c r="L83" s="660">
        <v>28</v>
      </c>
      <c r="M83" s="661">
        <v>14.809428488571427</v>
      </c>
      <c r="N83" s="661">
        <v>28.920333226666667</v>
      </c>
      <c r="O83" s="661">
        <v>11.405166626666668</v>
      </c>
    </row>
    <row r="84" spans="11:15">
      <c r="L84" s="660">
        <v>29</v>
      </c>
      <c r="M84" s="661">
        <v>13.666428565978956</v>
      </c>
      <c r="N84" s="661">
        <v>24.422333717346149</v>
      </c>
      <c r="O84" s="661">
        <v>10.173999945322651</v>
      </c>
    </row>
    <row r="85" spans="11:15">
      <c r="L85" s="660">
        <v>30</v>
      </c>
      <c r="M85" s="661">
        <v>13.392857142857142</v>
      </c>
      <c r="N85" s="661">
        <v>24.086666666666662</v>
      </c>
      <c r="O85" s="661">
        <v>9.1716666666666669</v>
      </c>
    </row>
    <row r="86" spans="11:15">
      <c r="L86" s="660">
        <v>31</v>
      </c>
      <c r="M86" s="661">
        <v>13.098428589999999</v>
      </c>
      <c r="N86" s="661">
        <v>22.471285411428575</v>
      </c>
      <c r="O86" s="661">
        <v>8.5915715354285727</v>
      </c>
    </row>
    <row r="87" spans="11:15">
      <c r="L87" s="660">
        <v>32</v>
      </c>
      <c r="M87" s="661">
        <v>12.228285654285713</v>
      </c>
      <c r="N87" s="661">
        <v>25.212714058571429</v>
      </c>
      <c r="O87" s="661">
        <v>6.6260000637142857</v>
      </c>
    </row>
    <row r="88" spans="11:15">
      <c r="L88" s="660">
        <v>33</v>
      </c>
      <c r="M88" s="661">
        <v>12.838714327142856</v>
      </c>
      <c r="N88" s="661">
        <v>28.061000278571431</v>
      </c>
      <c r="O88" s="661">
        <v>5.9311428751428581</v>
      </c>
    </row>
    <row r="89" spans="11:15">
      <c r="K89" s="660">
        <v>34</v>
      </c>
      <c r="L89" s="660">
        <v>34</v>
      </c>
      <c r="M89" s="661">
        <v>12.37928554</v>
      </c>
      <c r="N89" s="661">
        <v>28.455856868571431</v>
      </c>
      <c r="O89" s="661">
        <v>5.2604285648571434</v>
      </c>
    </row>
    <row r="90" spans="11:15">
      <c r="L90" s="660">
        <v>35</v>
      </c>
      <c r="M90" s="661">
        <v>11.92371409142857</v>
      </c>
      <c r="N90" s="661">
        <v>26.646000226666668</v>
      </c>
      <c r="O90" s="661">
        <v>4.7316666444999997</v>
      </c>
    </row>
    <row r="91" spans="11:15">
      <c r="L91" s="660">
        <v>36</v>
      </c>
      <c r="M91" s="661">
        <v>10.731857162857143</v>
      </c>
      <c r="N91" s="661">
        <v>27.720570974285714</v>
      </c>
      <c r="O91" s="661">
        <v>4.5542856622857144</v>
      </c>
    </row>
    <row r="92" spans="11:15">
      <c r="L92" s="660">
        <v>37</v>
      </c>
      <c r="M92" s="661">
        <v>11.481428825714286</v>
      </c>
      <c r="N92" s="661">
        <v>27.967571258571429</v>
      </c>
      <c r="O92" s="661">
        <v>4.1919999124285718</v>
      </c>
    </row>
    <row r="93" spans="11:15">
      <c r="L93" s="660">
        <v>38</v>
      </c>
      <c r="M93" s="661">
        <v>12.217142857142859</v>
      </c>
      <c r="N93" s="661">
        <v>31.354000000000003</v>
      </c>
      <c r="O93" s="661">
        <v>4.1759999999999993</v>
      </c>
    </row>
    <row r="94" spans="11:15">
      <c r="L94" s="660">
        <v>39</v>
      </c>
      <c r="M94" s="661">
        <v>15.0261430740356</v>
      </c>
      <c r="N94" s="661">
        <v>37.146399307250938</v>
      </c>
      <c r="O94" s="661">
        <v>4.8932001113891559</v>
      </c>
    </row>
    <row r="95" spans="11:15">
      <c r="L95" s="660">
        <v>40</v>
      </c>
      <c r="M95" s="661">
        <v>13.292000225714288</v>
      </c>
      <c r="N95" s="661">
        <v>29.934999783333328</v>
      </c>
      <c r="O95" s="661">
        <v>5.3130000431666664</v>
      </c>
    </row>
    <row r="96" spans="11:15">
      <c r="L96" s="660">
        <v>41</v>
      </c>
      <c r="M96" s="661">
        <v>15.472143037142859</v>
      </c>
      <c r="N96" s="661">
        <v>31.668000084285715</v>
      </c>
      <c r="O96" s="661">
        <v>8.3924286701428574</v>
      </c>
    </row>
    <row r="97" spans="10:15">
      <c r="L97" s="660">
        <v>42</v>
      </c>
      <c r="M97" s="661">
        <v>14.602857142857143</v>
      </c>
      <c r="N97" s="661">
        <v>30.061428571428571</v>
      </c>
      <c r="O97" s="661">
        <v>9.2871428571428574</v>
      </c>
    </row>
    <row r="98" spans="10:15">
      <c r="L98" s="660">
        <v>43</v>
      </c>
      <c r="M98" s="661">
        <v>18.763999527142854</v>
      </c>
      <c r="N98" s="661">
        <v>48.129999975714291</v>
      </c>
      <c r="O98" s="661">
        <v>18.153714861428572</v>
      </c>
    </row>
    <row r="99" spans="10:15">
      <c r="K99" s="660">
        <v>44</v>
      </c>
      <c r="L99" s="660">
        <v>44</v>
      </c>
      <c r="M99" s="661">
        <v>12.722428322857143</v>
      </c>
      <c r="N99" s="661">
        <v>37.781833011666663</v>
      </c>
      <c r="O99" s="661">
        <v>19.903499760000003</v>
      </c>
    </row>
    <row r="100" spans="10:15">
      <c r="L100" s="660">
        <v>45</v>
      </c>
      <c r="M100" s="661">
        <v>22.372000012857146</v>
      </c>
      <c r="N100" s="661">
        <v>60.721429549999996</v>
      </c>
      <c r="O100" s="661">
        <v>69.077428547142844</v>
      </c>
    </row>
    <row r="101" spans="10:15">
      <c r="L101" s="660">
        <v>46</v>
      </c>
      <c r="M101" s="661">
        <v>28.101571491428576</v>
      </c>
      <c r="N101" s="661">
        <v>68.569856369999997</v>
      </c>
      <c r="O101" s="661">
        <v>51.190428054285711</v>
      </c>
    </row>
    <row r="102" spans="10:15">
      <c r="L102" s="660">
        <v>47</v>
      </c>
      <c r="M102" s="661">
        <v>22.222285951428574</v>
      </c>
      <c r="N102" s="661">
        <v>51.534999302857152</v>
      </c>
      <c r="O102" s="661">
        <v>21.676285608571426</v>
      </c>
    </row>
    <row r="103" spans="10:15">
      <c r="L103" s="660">
        <v>48</v>
      </c>
      <c r="M103" s="661">
        <v>18.796428408571426</v>
      </c>
      <c r="N103" s="661">
        <v>45.115714484285718</v>
      </c>
      <c r="O103" s="661">
        <v>19.428714208571428</v>
      </c>
    </row>
    <row r="104" spans="10:15">
      <c r="L104" s="660">
        <v>49</v>
      </c>
      <c r="M104" s="661">
        <v>40.459857124285712</v>
      </c>
      <c r="N104" s="661">
        <v>84.846428458571424</v>
      </c>
      <c r="O104" s="661">
        <v>67.787142617142862</v>
      </c>
    </row>
    <row r="105" spans="10:15">
      <c r="L105" s="660">
        <v>50</v>
      </c>
      <c r="M105" s="661">
        <v>55.208571570000004</v>
      </c>
      <c r="N105" s="661">
        <v>99.139714364285723</v>
      </c>
      <c r="O105" s="661">
        <v>46.000713344285714</v>
      </c>
    </row>
    <row r="106" spans="10:15">
      <c r="L106" s="660">
        <v>51</v>
      </c>
      <c r="M106" s="661">
        <v>84.778857641428559</v>
      </c>
      <c r="N106" s="661">
        <v>201.52657207142857</v>
      </c>
      <c r="O106" s="661">
        <v>43.586286274285712</v>
      </c>
    </row>
    <row r="107" spans="10:15">
      <c r="K107" s="660">
        <v>52</v>
      </c>
      <c r="L107" s="660">
        <v>52</v>
      </c>
      <c r="M107" s="661">
        <v>90.21400125571428</v>
      </c>
      <c r="N107" s="661">
        <v>224.1094316857143</v>
      </c>
      <c r="O107" s="661">
        <v>50.483570642857153</v>
      </c>
    </row>
    <row r="108" spans="10:15">
      <c r="L108" s="660">
        <v>53</v>
      </c>
      <c r="M108" s="661">
        <v>80.061285835714287</v>
      </c>
      <c r="N108" s="661">
        <v>205.2461395</v>
      </c>
      <c r="O108" s="661">
        <v>83.637714931428576</v>
      </c>
    </row>
    <row r="109" spans="10:15">
      <c r="J109" s="111">
        <v>2020</v>
      </c>
      <c r="L109" s="660">
        <v>1</v>
      </c>
      <c r="M109" s="661">
        <v>42.7519994463239</v>
      </c>
      <c r="N109" s="661">
        <v>129.33128356933543</v>
      </c>
      <c r="O109" s="661">
        <v>35.412713732038192</v>
      </c>
    </row>
    <row r="110" spans="10:15">
      <c r="L110" s="660">
        <v>2</v>
      </c>
      <c r="M110" s="661">
        <v>30.679571151428568</v>
      </c>
      <c r="N110" s="661">
        <v>73.393001012857141</v>
      </c>
      <c r="O110" s="661">
        <v>22.044856754285714</v>
      </c>
    </row>
    <row r="111" spans="10:15">
      <c r="L111" s="660">
        <v>3</v>
      </c>
      <c r="M111" s="661">
        <v>46.443999700000006</v>
      </c>
      <c r="N111" s="661">
        <v>73.092571804285726</v>
      </c>
      <c r="O111" s="661">
        <v>18.210142817142859</v>
      </c>
    </row>
    <row r="112" spans="10:15">
      <c r="L112" s="660">
        <v>4</v>
      </c>
      <c r="M112" s="661">
        <v>56.559571404285713</v>
      </c>
      <c r="N112" s="661">
        <v>140.69343129999999</v>
      </c>
      <c r="O112" s="661">
        <v>15.934428624285713</v>
      </c>
    </row>
    <row r="113" spans="11:15">
      <c r="L113" s="660">
        <v>5</v>
      </c>
      <c r="M113" s="661">
        <v>85.997285015714283</v>
      </c>
      <c r="N113" s="661">
        <v>189.96014404285714</v>
      </c>
      <c r="O113" s="661">
        <v>16.347999845714288</v>
      </c>
    </row>
    <row r="114" spans="11:15">
      <c r="L114" s="660">
        <v>6</v>
      </c>
      <c r="M114" s="661">
        <v>79.643857683454215</v>
      </c>
      <c r="N114" s="661">
        <v>184.55100359235459</v>
      </c>
      <c r="O114" s="661">
        <v>24.545571190970243</v>
      </c>
    </row>
    <row r="115" spans="11:15">
      <c r="L115" s="660">
        <v>7</v>
      </c>
      <c r="M115" s="661">
        <v>62.11542837857143</v>
      </c>
      <c r="N115" s="661">
        <v>141.4891401142857</v>
      </c>
      <c r="O115" s="661">
        <v>17.933714184285712</v>
      </c>
    </row>
    <row r="116" spans="11:15">
      <c r="K116" s="660">
        <v>8</v>
      </c>
      <c r="L116" s="660">
        <v>8</v>
      </c>
      <c r="M116" s="661">
        <v>41.134571620396166</v>
      </c>
      <c r="N116" s="661">
        <v>83.969571794782198</v>
      </c>
      <c r="O116" s="661">
        <v>15.5625712530953</v>
      </c>
    </row>
    <row r="117" spans="11:15">
      <c r="L117" s="660">
        <v>9</v>
      </c>
      <c r="M117" s="661">
        <v>70.027142117142859</v>
      </c>
      <c r="N117" s="661">
        <v>124.34114185428572</v>
      </c>
      <c r="O117" s="661">
        <v>23.340428760000002</v>
      </c>
    </row>
    <row r="118" spans="11:15">
      <c r="L118" s="660">
        <v>10</v>
      </c>
      <c r="M118" s="661">
        <v>51.713285718571434</v>
      </c>
      <c r="N118" s="661">
        <v>110.96499854142857</v>
      </c>
      <c r="O118" s="661">
        <v>51.143429344285714</v>
      </c>
    </row>
    <row r="119" spans="11:15">
      <c r="L119" s="660">
        <v>11</v>
      </c>
      <c r="M119" s="661">
        <v>64.999999455714274</v>
      </c>
      <c r="N119" s="661">
        <v>130.17914037142856</v>
      </c>
      <c r="O119" s="661">
        <v>73.820713587142862</v>
      </c>
    </row>
    <row r="120" spans="11:15">
      <c r="L120" s="660">
        <v>12</v>
      </c>
      <c r="M120" s="661">
        <v>70.530143192836164</v>
      </c>
      <c r="N120" s="661">
        <v>127.86657169886942</v>
      </c>
      <c r="O120" s="661">
        <v>34.1388571602957</v>
      </c>
    </row>
    <row r="121" spans="11:15">
      <c r="L121" s="660">
        <v>13</v>
      </c>
      <c r="M121" s="661">
        <v>73.710714612688278</v>
      </c>
      <c r="N121" s="661">
        <v>138.12900325230143</v>
      </c>
      <c r="O121" s="661">
        <v>66.457714898245612</v>
      </c>
    </row>
    <row r="122" spans="11:15">
      <c r="L122" s="660">
        <v>14</v>
      </c>
      <c r="M122" s="661">
        <v>57.796857017142862</v>
      </c>
      <c r="N122" s="661">
        <v>109.14457049285714</v>
      </c>
      <c r="O122" s="661">
        <v>82.626999985714278</v>
      </c>
    </row>
    <row r="123" spans="11:15">
      <c r="L123" s="660">
        <v>15</v>
      </c>
      <c r="M123" s="661">
        <v>44.430285317142861</v>
      </c>
      <c r="N123" s="661">
        <v>80.133571635714276</v>
      </c>
      <c r="O123" s="661">
        <v>89.91342707714287</v>
      </c>
    </row>
    <row r="124" spans="11:15">
      <c r="K124" s="660">
        <v>16</v>
      </c>
      <c r="L124" s="660">
        <v>16</v>
      </c>
      <c r="M124" s="661">
        <v>30.701856885714285</v>
      </c>
      <c r="N124" s="661">
        <v>57.13714327142857</v>
      </c>
      <c r="O124" s="661">
        <v>73.487428932857142</v>
      </c>
    </row>
    <row r="125" spans="11:15">
      <c r="L125" s="660">
        <v>17</v>
      </c>
      <c r="M125" s="661">
        <v>24.932857240949314</v>
      </c>
      <c r="N125" s="661">
        <v>55.184285845075259</v>
      </c>
      <c r="O125" s="661">
        <v>80.585714067731558</v>
      </c>
    </row>
    <row r="126" spans="11:15">
      <c r="L126" s="660">
        <v>18</v>
      </c>
      <c r="M126" s="661">
        <v>46.867285591428576</v>
      </c>
      <c r="N126" s="661">
        <v>80.201000221428572</v>
      </c>
      <c r="O126" s="661">
        <v>93.131286082857144</v>
      </c>
    </row>
    <row r="127" spans="11:15">
      <c r="L127" s="660">
        <v>19</v>
      </c>
      <c r="M127" s="661">
        <v>39.880857740000003</v>
      </c>
      <c r="N127" s="661">
        <v>73.398713792857151</v>
      </c>
      <c r="O127" s="661">
        <v>43.960427964285714</v>
      </c>
    </row>
    <row r="128" spans="11:15">
      <c r="L128" s="660">
        <v>20</v>
      </c>
      <c r="M128" s="661">
        <v>34.332998821428575</v>
      </c>
      <c r="N128" s="661">
        <v>57.629714421428567</v>
      </c>
      <c r="O128" s="661">
        <v>29.038571492857141</v>
      </c>
    </row>
    <row r="129" spans="11:15">
      <c r="L129" s="660">
        <v>21</v>
      </c>
      <c r="M129" s="661">
        <v>28.39914212908057</v>
      </c>
      <c r="N129" s="661">
        <v>47.208427974155924</v>
      </c>
      <c r="O129" s="661">
        <v>20.747856957571798</v>
      </c>
    </row>
    <row r="130" spans="11:15">
      <c r="L130" s="660">
        <v>22</v>
      </c>
      <c r="M130" s="661">
        <v>19.016142710000004</v>
      </c>
      <c r="N130" s="661">
        <v>39.635571071428572</v>
      </c>
      <c r="O130" s="661">
        <v>28.597570964285715</v>
      </c>
    </row>
    <row r="131" spans="11:15">
      <c r="L131" s="660">
        <v>23</v>
      </c>
      <c r="M131" s="661">
        <v>16.323713982857143</v>
      </c>
      <c r="N131" s="661">
        <v>49.136857168571431</v>
      </c>
      <c r="O131" s="661">
        <v>19.104714530000003</v>
      </c>
    </row>
    <row r="132" spans="11:15">
      <c r="K132" s="660">
        <v>24</v>
      </c>
      <c r="L132" s="660">
        <v>24</v>
      </c>
      <c r="M132" s="661">
        <v>14.458999906267413</v>
      </c>
      <c r="N132" s="661">
        <v>34.150428227015844</v>
      </c>
      <c r="O132" s="661">
        <v>14.211285591125442</v>
      </c>
    </row>
    <row r="133" spans="11:15">
      <c r="L133" s="660">
        <v>25</v>
      </c>
      <c r="M133" s="661">
        <v>13.476999827142858</v>
      </c>
      <c r="N133" s="661">
        <v>32.288857598571425</v>
      </c>
      <c r="O133" s="661">
        <v>11.628714288571429</v>
      </c>
    </row>
    <row r="134" spans="11:15">
      <c r="L134" s="660">
        <v>26</v>
      </c>
      <c r="M134" s="661">
        <v>14.175142699999999</v>
      </c>
      <c r="N134" s="661">
        <v>29.45585686714286</v>
      </c>
      <c r="O134" s="661">
        <v>11.67571422</v>
      </c>
    </row>
    <row r="135" spans="11:15">
      <c r="L135" s="660">
        <v>27</v>
      </c>
      <c r="M135" s="661">
        <v>12.859571456909155</v>
      </c>
      <c r="N135" s="662">
        <v>27.986428669520745</v>
      </c>
      <c r="O135" s="661">
        <v>27.48885754176543</v>
      </c>
    </row>
    <row r="136" spans="11:15">
      <c r="L136" s="660">
        <v>28</v>
      </c>
      <c r="M136" s="661">
        <v>11.472142902857144</v>
      </c>
      <c r="N136" s="662">
        <v>24.371857235714284</v>
      </c>
      <c r="O136" s="661">
        <v>32.395143782857147</v>
      </c>
    </row>
    <row r="137" spans="11:15">
      <c r="L137" s="660">
        <v>29</v>
      </c>
      <c r="M137" s="661">
        <v>11.32885715142857</v>
      </c>
      <c r="N137" s="662">
        <v>23.620857238571428</v>
      </c>
      <c r="O137" s="661">
        <v>14.974999971428572</v>
      </c>
    </row>
    <row r="138" spans="11:15">
      <c r="L138" s="660">
        <v>30</v>
      </c>
      <c r="M138" s="661">
        <v>11.152000155714285</v>
      </c>
      <c r="N138" s="662">
        <v>26.757428577142853</v>
      </c>
      <c r="O138" s="661">
        <v>14.12842846</v>
      </c>
    </row>
    <row r="139" spans="11:15">
      <c r="L139" s="660">
        <v>31</v>
      </c>
      <c r="M139" s="661">
        <v>10.852571488571428</v>
      </c>
      <c r="N139" s="662">
        <v>26.481285638571428</v>
      </c>
      <c r="O139" s="661">
        <v>10.121857098285714</v>
      </c>
    </row>
    <row r="140" spans="11:15">
      <c r="K140" s="660">
        <v>32</v>
      </c>
      <c r="L140" s="660">
        <v>32</v>
      </c>
      <c r="M140" s="661">
        <v>10.338285718645329</v>
      </c>
      <c r="N140" s="662">
        <v>25.506571633475126</v>
      </c>
      <c r="O140" s="661">
        <v>7.7241428239004906</v>
      </c>
    </row>
    <row r="141" spans="11:15">
      <c r="L141" s="660">
        <v>33</v>
      </c>
      <c r="M141" s="661">
        <v>11.413999967142857</v>
      </c>
      <c r="N141" s="662">
        <v>31.441428594285707</v>
      </c>
      <c r="O141" s="661">
        <v>8.5772858349999996</v>
      </c>
    </row>
    <row r="142" spans="11:15">
      <c r="L142" s="660">
        <v>34</v>
      </c>
      <c r="M142" s="661">
        <v>11.662143027142859</v>
      </c>
      <c r="N142" s="662">
        <v>33.365713935714282</v>
      </c>
      <c r="O142" s="661">
        <v>6.7090001108571427</v>
      </c>
    </row>
    <row r="143" spans="11:15">
      <c r="L143" s="660">
        <v>35</v>
      </c>
      <c r="M143" s="661">
        <v>11.541428702218141</v>
      </c>
      <c r="N143" s="661">
        <v>29.068999699183816</v>
      </c>
      <c r="O143" s="661">
        <v>5.7295714105878517</v>
      </c>
    </row>
    <row r="144" spans="11:15">
      <c r="L144" s="660">
        <v>36</v>
      </c>
      <c r="M144" s="661">
        <v>13.286857196262856</v>
      </c>
      <c r="N144" s="661">
        <v>26.005428859165701</v>
      </c>
      <c r="O144" s="661">
        <v>5.6865714618137853</v>
      </c>
    </row>
    <row r="145" spans="11:15">
      <c r="L145" s="660">
        <v>37</v>
      </c>
      <c r="M145" s="661">
        <v>15.49071434565947</v>
      </c>
      <c r="N145" s="661">
        <v>25.021857125418485</v>
      </c>
      <c r="O145" s="661">
        <v>5.3568570954459016</v>
      </c>
    </row>
    <row r="146" spans="11:15">
      <c r="L146" s="660">
        <v>38</v>
      </c>
      <c r="M146" s="661">
        <v>16.166143281119158</v>
      </c>
      <c r="N146" s="661">
        <v>27.854714257376486</v>
      </c>
      <c r="O146" s="661">
        <v>6.9268571308680906</v>
      </c>
    </row>
    <row r="147" spans="11:15">
      <c r="L147" s="660">
        <v>39</v>
      </c>
      <c r="M147" s="661">
        <v>16.810999734285712</v>
      </c>
      <c r="N147" s="663">
        <v>27.986571175714282</v>
      </c>
      <c r="O147" s="661">
        <v>9.9768571861428565</v>
      </c>
    </row>
    <row r="148" spans="11:15">
      <c r="K148" s="660">
        <v>40</v>
      </c>
      <c r="L148" s="660">
        <v>40</v>
      </c>
      <c r="M148" s="661">
        <v>14.579285758571428</v>
      </c>
      <c r="N148" s="663">
        <v>25.258999961428572</v>
      </c>
      <c r="O148" s="661">
        <v>7.1328571184285705</v>
      </c>
    </row>
    <row r="149" spans="11:15">
      <c r="L149" s="660">
        <v>41</v>
      </c>
      <c r="M149" s="661">
        <v>13.048857279999998</v>
      </c>
      <c r="N149" s="663">
        <v>25.185571671428566</v>
      </c>
      <c r="O149" s="661">
        <v>4.9102856772857146</v>
      </c>
    </row>
    <row r="150" spans="11:15">
      <c r="L150" s="660">
        <v>42</v>
      </c>
      <c r="M150" s="661">
        <v>14.871000289916955</v>
      </c>
      <c r="N150" s="663">
        <v>33.125999450683558</v>
      </c>
      <c r="O150" s="661">
        <v>6.3367142677306969</v>
      </c>
    </row>
    <row r="151" spans="11:15">
      <c r="L151" s="660">
        <v>43</v>
      </c>
      <c r="M151" s="661">
        <v>21.991714477142857</v>
      </c>
      <c r="N151" s="663">
        <v>41.127143314285711</v>
      </c>
      <c r="O151" s="661">
        <v>11.867142950714285</v>
      </c>
    </row>
    <row r="152" spans="11:15">
      <c r="L152" s="660">
        <v>44</v>
      </c>
      <c r="M152" s="661">
        <v>13.904857091428573</v>
      </c>
      <c r="N152" s="661">
        <v>33.038428169999996</v>
      </c>
      <c r="O152" s="661">
        <v>5.2337141718571427</v>
      </c>
    </row>
    <row r="153" spans="11:15">
      <c r="L153" s="660">
        <v>45</v>
      </c>
      <c r="M153" s="661">
        <v>13.184428621428571</v>
      </c>
      <c r="N153" s="661">
        <v>40.115713391428571</v>
      </c>
      <c r="O153" s="661">
        <v>5.0682858059999996</v>
      </c>
    </row>
    <row r="154" spans="11:15">
      <c r="L154" s="660">
        <v>46</v>
      </c>
      <c r="M154" s="661">
        <v>13.14228561857143</v>
      </c>
      <c r="N154" s="661">
        <v>43.881571090000001</v>
      </c>
      <c r="O154" s="661">
        <v>4.7745714188571426</v>
      </c>
    </row>
    <row r="155" spans="11:15">
      <c r="L155" s="660">
        <v>47</v>
      </c>
      <c r="M155" s="661">
        <v>15.124714305714289</v>
      </c>
      <c r="N155" s="661">
        <v>42.811571392857147</v>
      </c>
      <c r="O155" s="661">
        <v>5.635714394571429</v>
      </c>
    </row>
    <row r="156" spans="11:15">
      <c r="L156" s="660">
        <v>48</v>
      </c>
      <c r="M156" s="661">
        <v>27.692142758571432</v>
      </c>
      <c r="N156" s="661">
        <v>66.262570518571422</v>
      </c>
      <c r="O156" s="661">
        <v>27.02714340957143</v>
      </c>
    </row>
    <row r="157" spans="11:15">
      <c r="L157" s="660">
        <v>49</v>
      </c>
      <c r="M157" s="661">
        <v>64.694000790000004</v>
      </c>
      <c r="N157" s="661">
        <v>122.24228668571428</v>
      </c>
      <c r="O157" s="661">
        <v>80.020142697142845</v>
      </c>
    </row>
    <row r="158" spans="11:15">
      <c r="L158" s="660">
        <v>50</v>
      </c>
      <c r="M158" s="661">
        <v>43.356857299999994</v>
      </c>
      <c r="N158" s="661">
        <v>78.250285555714285</v>
      </c>
      <c r="O158" s="661">
        <v>98.373141695714281</v>
      </c>
    </row>
    <row r="159" spans="11:15">
      <c r="L159" s="660">
        <v>51</v>
      </c>
      <c r="M159" s="661">
        <v>66.695286888571431</v>
      </c>
      <c r="N159" s="661">
        <v>123.13128661428571</v>
      </c>
      <c r="O159" s="661">
        <v>141.80585590000001</v>
      </c>
    </row>
    <row r="160" spans="11:15">
      <c r="K160" s="660">
        <v>52</v>
      </c>
      <c r="L160" s="660">
        <v>52</v>
      </c>
      <c r="M160" s="661">
        <v>79.132000515714282</v>
      </c>
      <c r="N160" s="661">
        <v>151.04400198571429</v>
      </c>
      <c r="O160" s="661">
        <v>62.055856431428573</v>
      </c>
    </row>
    <row r="161" spans="10:15">
      <c r="J161" s="111">
        <v>2021</v>
      </c>
      <c r="L161" s="660">
        <v>1</v>
      </c>
      <c r="M161" s="661">
        <v>93.616000575714295</v>
      </c>
      <c r="N161" s="661">
        <v>194.93985855714286</v>
      </c>
      <c r="O161" s="661">
        <v>38.49128532428572</v>
      </c>
    </row>
    <row r="162" spans="10:15">
      <c r="L162" s="660">
        <v>2</v>
      </c>
      <c r="M162" s="661">
        <v>109.19371577142856</v>
      </c>
      <c r="N162" s="661">
        <v>191.56657192857145</v>
      </c>
      <c r="O162" s="661">
        <v>52.185428618571436</v>
      </c>
    </row>
    <row r="163" spans="10:15">
      <c r="L163" s="660">
        <v>3</v>
      </c>
      <c r="M163" s="661">
        <v>111.32100131428571</v>
      </c>
      <c r="N163" s="661">
        <v>253.28128705714289</v>
      </c>
      <c r="O163" s="661">
        <v>72.971142360000002</v>
      </c>
    </row>
    <row r="164" spans="10:15">
      <c r="L164" s="660">
        <v>4</v>
      </c>
      <c r="M164" s="661">
        <v>111.11885721428568</v>
      </c>
      <c r="N164" s="661">
        <v>244.7925720428571</v>
      </c>
      <c r="O164" s="661">
        <v>82.663999837142867</v>
      </c>
    </row>
    <row r="165" spans="10:15">
      <c r="K165" s="660">
        <v>5</v>
      </c>
      <c r="L165" s="660">
        <v>5</v>
      </c>
      <c r="M165" s="661">
        <v>108.66071318571429</v>
      </c>
      <c r="N165" s="661">
        <v>220.6247188142857</v>
      </c>
      <c r="O165" s="661">
        <v>54.198429654285711</v>
      </c>
    </row>
    <row r="166" spans="10:15">
      <c r="M166" s="661"/>
      <c r="N166" s="661"/>
      <c r="O166" s="661"/>
    </row>
    <row r="167" spans="10:15">
      <c r="M167" s="661"/>
      <c r="N167" s="661"/>
      <c r="O167" s="661"/>
    </row>
    <row r="168" spans="10:15">
      <c r="M168" s="661"/>
      <c r="N168" s="661"/>
      <c r="O168" s="661"/>
    </row>
    <row r="169" spans="10:15">
      <c r="M169" s="661"/>
      <c r="N169" s="661"/>
      <c r="O169" s="661"/>
    </row>
    <row r="170" spans="10:15">
      <c r="M170" s="661" t="s">
        <v>261</v>
      </c>
      <c r="N170" s="661" t="s">
        <v>262</v>
      </c>
      <c r="O170" s="661" t="s">
        <v>263</v>
      </c>
    </row>
    <row r="171" spans="10:15">
      <c r="M171" s="661"/>
      <c r="N171" s="661"/>
      <c r="O171" s="661"/>
    </row>
    <row r="172" spans="10:15">
      <c r="M172" s="661"/>
      <c r="N172" s="661"/>
      <c r="O172" s="661"/>
    </row>
    <row r="173" spans="10:15">
      <c r="M173" s="661"/>
      <c r="N173" s="661"/>
      <c r="O173" s="661"/>
    </row>
    <row r="174" spans="10:15">
      <c r="M174" s="661"/>
      <c r="N174" s="661"/>
      <c r="O174" s="661"/>
    </row>
    <row r="175" spans="10:15">
      <c r="K175" s="664"/>
      <c r="M175" s="661"/>
      <c r="N175" s="661"/>
      <c r="O175" s="661"/>
    </row>
    <row r="176" spans="10:15">
      <c r="K176" s="664"/>
      <c r="M176" s="661"/>
      <c r="N176" s="661"/>
      <c r="O176" s="661"/>
    </row>
    <row r="177" spans="10:21" s="598" customFormat="1">
      <c r="J177" s="111"/>
      <c r="K177" s="664"/>
      <c r="L177" s="660"/>
      <c r="M177" s="661"/>
      <c r="N177" s="661"/>
      <c r="O177" s="661"/>
      <c r="P177" s="356"/>
      <c r="Q177" s="355"/>
      <c r="R177" s="355"/>
      <c r="S177" s="355"/>
      <c r="T177" s="355"/>
      <c r="U177" s="355"/>
    </row>
    <row r="178" spans="10:21" s="598" customFormat="1">
      <c r="J178" s="111"/>
      <c r="K178" s="664"/>
      <c r="L178" s="660"/>
      <c r="M178" s="661"/>
      <c r="N178" s="661"/>
      <c r="O178" s="661"/>
      <c r="P178" s="356"/>
      <c r="Q178" s="355"/>
      <c r="R178" s="355"/>
      <c r="S178" s="355"/>
      <c r="T178" s="355"/>
      <c r="U178" s="355"/>
    </row>
    <row r="179" spans="10:21" s="598" customFormat="1">
      <c r="J179" s="111"/>
      <c r="K179" s="664"/>
      <c r="L179" s="660"/>
      <c r="M179" s="661"/>
      <c r="N179" s="661"/>
      <c r="O179" s="661"/>
      <c r="P179" s="356"/>
      <c r="Q179" s="355"/>
      <c r="R179" s="355"/>
      <c r="S179" s="355"/>
      <c r="T179" s="355"/>
      <c r="U179" s="355"/>
    </row>
    <row r="180" spans="10:21" s="598" customFormat="1">
      <c r="J180" s="111"/>
      <c r="K180" s="664"/>
      <c r="L180" s="660"/>
      <c r="M180" s="661"/>
      <c r="N180" s="661"/>
      <c r="O180" s="661"/>
      <c r="P180" s="356"/>
      <c r="Q180" s="355"/>
      <c r="R180" s="355"/>
      <c r="S180" s="355"/>
      <c r="T180" s="355"/>
      <c r="U180" s="355"/>
    </row>
    <row r="181" spans="10:21" s="598" customFormat="1">
      <c r="J181" s="111"/>
      <c r="K181" s="664"/>
      <c r="L181" s="660"/>
      <c r="M181" s="661"/>
      <c r="N181" s="661"/>
      <c r="O181" s="661"/>
      <c r="P181" s="356"/>
      <c r="Q181" s="355"/>
      <c r="R181" s="355"/>
      <c r="S181" s="355"/>
      <c r="T181" s="355"/>
      <c r="U181" s="355"/>
    </row>
    <row r="182" spans="10:21" s="598" customFormat="1">
      <c r="J182" s="111"/>
      <c r="K182" s="664"/>
      <c r="L182" s="660"/>
      <c r="M182" s="661"/>
      <c r="N182" s="661"/>
      <c r="O182" s="661"/>
      <c r="P182" s="356"/>
      <c r="Q182" s="355"/>
      <c r="R182" s="355"/>
      <c r="S182" s="355"/>
      <c r="T182" s="355"/>
      <c r="U182" s="355"/>
    </row>
    <row r="183" spans="10:21" s="598" customFormat="1">
      <c r="J183" s="111"/>
      <c r="K183" s="664"/>
      <c r="L183" s="660"/>
      <c r="M183" s="661"/>
      <c r="N183" s="661"/>
      <c r="O183" s="661"/>
      <c r="P183" s="356"/>
      <c r="Q183" s="355"/>
      <c r="R183" s="355"/>
      <c r="S183" s="355"/>
      <c r="T183" s="355"/>
      <c r="U183" s="355"/>
    </row>
    <row r="184" spans="10:21" s="598" customFormat="1">
      <c r="J184" s="111"/>
      <c r="K184" s="664"/>
      <c r="L184" s="660"/>
      <c r="M184" s="661"/>
      <c r="N184" s="661"/>
      <c r="O184" s="661"/>
      <c r="P184" s="356"/>
      <c r="Q184" s="355"/>
      <c r="R184" s="355"/>
      <c r="S184" s="355"/>
      <c r="T184" s="355"/>
      <c r="U184" s="355"/>
    </row>
    <row r="185" spans="10:21" s="598" customFormat="1">
      <c r="J185" s="111"/>
      <c r="K185" s="664"/>
      <c r="L185" s="660"/>
      <c r="M185" s="661"/>
      <c r="N185" s="661"/>
      <c r="O185" s="661"/>
      <c r="P185" s="356"/>
      <c r="Q185" s="355"/>
      <c r="R185" s="355"/>
      <c r="S185" s="355"/>
      <c r="T185" s="355"/>
      <c r="U185" s="355"/>
    </row>
    <row r="186" spans="10:21" s="598" customFormat="1">
      <c r="J186" s="111"/>
      <c r="K186" s="664"/>
      <c r="L186" s="660"/>
      <c r="M186" s="661"/>
      <c r="N186" s="661"/>
      <c r="O186" s="661"/>
      <c r="P186" s="356"/>
      <c r="Q186" s="355"/>
      <c r="R186" s="355"/>
      <c r="S186" s="355"/>
      <c r="T186" s="355"/>
      <c r="U186" s="355"/>
    </row>
    <row r="187" spans="10:21" s="598" customFormat="1">
      <c r="J187" s="111"/>
      <c r="K187" s="664"/>
      <c r="L187" s="660"/>
      <c r="M187" s="661"/>
      <c r="N187" s="661"/>
      <c r="O187" s="661"/>
      <c r="P187" s="356"/>
      <c r="Q187" s="355"/>
      <c r="R187" s="355"/>
      <c r="S187" s="355"/>
      <c r="T187" s="355"/>
      <c r="U187" s="355"/>
    </row>
    <row r="188" spans="10:21" s="598" customFormat="1">
      <c r="J188" s="111"/>
      <c r="K188" s="664"/>
      <c r="L188" s="660"/>
      <c r="M188" s="661"/>
      <c r="N188" s="661"/>
      <c r="O188" s="661"/>
      <c r="P188" s="356"/>
      <c r="Q188" s="355"/>
      <c r="R188" s="355"/>
      <c r="S188" s="355"/>
      <c r="T188" s="355"/>
      <c r="U188" s="355"/>
    </row>
    <row r="189" spans="10:21" s="598" customFormat="1">
      <c r="J189" s="111"/>
      <c r="K189" s="664"/>
      <c r="L189" s="660"/>
      <c r="M189" s="661"/>
      <c r="N189" s="661"/>
      <c r="O189" s="661"/>
      <c r="P189" s="356"/>
      <c r="Q189" s="355"/>
      <c r="R189" s="355"/>
      <c r="S189" s="355"/>
      <c r="T189" s="355"/>
      <c r="U189" s="355"/>
    </row>
    <row r="190" spans="10:21" s="598" customFormat="1">
      <c r="J190" s="111"/>
      <c r="K190" s="664"/>
      <c r="L190" s="660"/>
      <c r="M190" s="661"/>
      <c r="N190" s="661"/>
      <c r="O190" s="661"/>
      <c r="P190" s="356"/>
      <c r="Q190" s="355"/>
      <c r="R190" s="355"/>
      <c r="S190" s="355"/>
      <c r="T190" s="355"/>
      <c r="U190" s="355"/>
    </row>
    <row r="191" spans="10:21" s="598" customFormat="1">
      <c r="J191" s="111"/>
      <c r="K191" s="664"/>
      <c r="L191" s="660"/>
      <c r="M191" s="661"/>
      <c r="N191" s="661"/>
      <c r="O191" s="661"/>
      <c r="P191" s="356"/>
      <c r="Q191" s="355"/>
      <c r="R191" s="355"/>
      <c r="S191" s="355"/>
      <c r="T191" s="355"/>
      <c r="U191" s="355"/>
    </row>
    <row r="192" spans="10:21" s="598" customFormat="1">
      <c r="J192" s="111"/>
      <c r="K192" s="664"/>
      <c r="L192" s="660"/>
      <c r="M192" s="661"/>
      <c r="N192" s="661"/>
      <c r="O192" s="661"/>
      <c r="P192" s="356"/>
      <c r="Q192" s="355"/>
      <c r="R192" s="355"/>
      <c r="S192" s="355"/>
      <c r="T192" s="355"/>
      <c r="U192" s="355"/>
    </row>
    <row r="193" spans="10:21" s="598" customFormat="1">
      <c r="J193" s="111"/>
      <c r="K193" s="664"/>
      <c r="L193" s="660"/>
      <c r="M193" s="661"/>
      <c r="N193" s="661"/>
      <c r="O193" s="661"/>
      <c r="P193" s="356"/>
      <c r="Q193" s="355"/>
      <c r="R193" s="355"/>
      <c r="S193" s="355"/>
      <c r="T193" s="355"/>
      <c r="U193" s="355"/>
    </row>
    <row r="194" spans="10:21" s="598" customFormat="1">
      <c r="J194" s="111"/>
      <c r="K194" s="664"/>
      <c r="L194" s="660"/>
      <c r="M194" s="661"/>
      <c r="N194" s="661"/>
      <c r="O194" s="661"/>
      <c r="P194" s="356"/>
      <c r="Q194" s="355"/>
      <c r="R194" s="355"/>
      <c r="S194" s="355"/>
      <c r="T194" s="355"/>
      <c r="U194" s="355"/>
    </row>
    <row r="195" spans="10:21">
      <c r="K195" s="664"/>
      <c r="M195" s="661"/>
      <c r="N195" s="661"/>
      <c r="O195" s="661"/>
    </row>
    <row r="196" spans="10:21">
      <c r="K196" s="664"/>
      <c r="M196" s="655"/>
      <c r="N196" s="655"/>
      <c r="O196" s="655"/>
    </row>
    <row r="197" spans="10:21">
      <c r="K197" s="664"/>
      <c r="L197" s="664"/>
      <c r="M197" s="655"/>
      <c r="N197" s="655"/>
      <c r="O197" s="655"/>
    </row>
    <row r="198" spans="10:21">
      <c r="K198" s="664"/>
      <c r="L198" s="664"/>
      <c r="M198" s="655"/>
      <c r="N198" s="655"/>
      <c r="O198" s="655"/>
    </row>
    <row r="199" spans="10:21">
      <c r="K199" s="664"/>
      <c r="L199" s="664"/>
      <c r="M199" s="655"/>
      <c r="N199" s="655"/>
      <c r="O199" s="655"/>
    </row>
    <row r="200" spans="10:21">
      <c r="K200" s="664"/>
      <c r="L200" s="664"/>
      <c r="M200" s="655"/>
      <c r="N200" s="655"/>
      <c r="O200" s="655"/>
    </row>
    <row r="201" spans="10:21">
      <c r="K201" s="664"/>
      <c r="L201" s="664"/>
      <c r="M201" s="655"/>
      <c r="N201" s="655"/>
      <c r="O201" s="655"/>
    </row>
    <row r="202" spans="10:21">
      <c r="K202" s="664"/>
      <c r="L202" s="664"/>
      <c r="M202" s="655"/>
      <c r="N202" s="655"/>
      <c r="O202" s="655"/>
    </row>
    <row r="203" spans="10:21">
      <c r="K203" s="664"/>
      <c r="L203" s="664"/>
      <c r="M203" s="655"/>
      <c r="N203" s="655"/>
      <c r="O203" s="655"/>
    </row>
    <row r="204" spans="10:21" s="598" customFormat="1">
      <c r="J204" s="111"/>
      <c r="K204" s="664"/>
      <c r="L204" s="664"/>
      <c r="M204" s="655"/>
      <c r="N204" s="655"/>
      <c r="O204" s="655"/>
      <c r="P204" s="356"/>
      <c r="Q204" s="355"/>
      <c r="R204" s="355"/>
      <c r="S204" s="355"/>
      <c r="T204" s="355"/>
      <c r="U204" s="355"/>
    </row>
    <row r="205" spans="10:21" s="598" customFormat="1">
      <c r="J205" s="111"/>
      <c r="K205" s="664"/>
      <c r="L205" s="664"/>
      <c r="M205" s="655"/>
      <c r="N205" s="655"/>
      <c r="O205" s="655"/>
      <c r="P205" s="356"/>
      <c r="Q205" s="355"/>
      <c r="R205" s="355"/>
      <c r="S205" s="355"/>
      <c r="T205" s="355"/>
      <c r="U205" s="355"/>
    </row>
    <row r="206" spans="10:21" s="598" customFormat="1">
      <c r="J206" s="111"/>
      <c r="K206" s="664"/>
      <c r="L206" s="664"/>
      <c r="M206" s="655"/>
      <c r="N206" s="655"/>
      <c r="O206" s="655"/>
      <c r="P206" s="356"/>
      <c r="Q206" s="355"/>
      <c r="R206" s="355"/>
      <c r="S206" s="355"/>
      <c r="T206" s="355"/>
      <c r="U206" s="355"/>
    </row>
    <row r="207" spans="10:21" s="598" customFormat="1">
      <c r="J207" s="111"/>
      <c r="K207" s="664"/>
      <c r="L207" s="664"/>
      <c r="M207" s="655"/>
      <c r="N207" s="655"/>
      <c r="O207" s="655"/>
      <c r="P207" s="356"/>
      <c r="Q207" s="355"/>
      <c r="R207" s="355"/>
      <c r="S207" s="355"/>
      <c r="T207" s="355"/>
      <c r="U207" s="355"/>
    </row>
    <row r="208" spans="10:21" s="598" customFormat="1">
      <c r="J208" s="111"/>
      <c r="K208" s="664"/>
      <c r="L208" s="664"/>
      <c r="M208" s="655"/>
      <c r="N208" s="655"/>
      <c r="O208" s="655"/>
      <c r="P208" s="356"/>
      <c r="Q208" s="355"/>
      <c r="R208" s="355"/>
      <c r="S208" s="355"/>
      <c r="T208" s="355"/>
      <c r="U208" s="355"/>
    </row>
    <row r="209" spans="10:21" s="598" customFormat="1">
      <c r="J209" s="111"/>
      <c r="K209" s="664"/>
      <c r="L209" s="664"/>
      <c r="M209" s="655"/>
      <c r="N209" s="655"/>
      <c r="O209" s="655"/>
      <c r="P209" s="356"/>
      <c r="Q209" s="355"/>
      <c r="R209" s="355"/>
      <c r="S209" s="355"/>
      <c r="T209" s="355"/>
      <c r="U209" s="355"/>
    </row>
    <row r="210" spans="10:21" s="598" customFormat="1">
      <c r="J210" s="111"/>
      <c r="K210" s="664"/>
      <c r="L210" s="664"/>
      <c r="M210" s="655"/>
      <c r="N210" s="655"/>
      <c r="O210" s="655"/>
      <c r="P210" s="356"/>
      <c r="Q210" s="355"/>
      <c r="R210" s="355"/>
      <c r="S210" s="355"/>
      <c r="T210" s="355"/>
      <c r="U210" s="355"/>
    </row>
    <row r="211" spans="10:21" s="598" customFormat="1">
      <c r="J211" s="111"/>
      <c r="K211" s="664"/>
      <c r="L211" s="664"/>
      <c r="M211" s="655"/>
      <c r="N211" s="655"/>
      <c r="O211" s="655"/>
      <c r="P211" s="356"/>
      <c r="Q211" s="355"/>
      <c r="R211" s="355"/>
      <c r="S211" s="355"/>
      <c r="T211" s="355"/>
      <c r="U211" s="355"/>
    </row>
    <row r="212" spans="10:21">
      <c r="K212" s="664"/>
      <c r="L212" s="664"/>
      <c r="M212" s="655"/>
      <c r="N212" s="655"/>
      <c r="O212" s="655"/>
    </row>
    <row r="213" spans="10:21">
      <c r="K213" s="664"/>
      <c r="L213" s="664"/>
      <c r="M213" s="661"/>
      <c r="N213" s="661"/>
      <c r="O213" s="661"/>
    </row>
    <row r="214" spans="10:21">
      <c r="K214" s="664"/>
      <c r="L214" s="664"/>
      <c r="M214" s="661"/>
      <c r="N214" s="661"/>
      <c r="O214" s="661"/>
    </row>
    <row r="215" spans="10:21">
      <c r="K215" s="664"/>
      <c r="L215" s="664"/>
    </row>
    <row r="216" spans="10:21">
      <c r="K216" s="664"/>
      <c r="L216" s="664"/>
      <c r="M216" s="661"/>
      <c r="N216" s="661"/>
      <c r="O216" s="661"/>
    </row>
    <row r="217" spans="10:21">
      <c r="K217" s="664"/>
      <c r="L217" s="664"/>
      <c r="M217" s="661"/>
      <c r="N217" s="661"/>
      <c r="O217" s="661"/>
    </row>
    <row r="218" spans="10:21">
      <c r="K218" s="664"/>
      <c r="L218" s="664"/>
      <c r="M218" s="661"/>
      <c r="N218" s="661"/>
      <c r="O218" s="661"/>
    </row>
    <row r="219" spans="10:21">
      <c r="K219" s="664"/>
      <c r="L219" s="664"/>
      <c r="M219" s="661"/>
      <c r="N219" s="661"/>
      <c r="O219" s="661"/>
    </row>
    <row r="220" spans="10:21">
      <c r="K220" s="664"/>
      <c r="L220" s="664"/>
      <c r="M220" s="661"/>
      <c r="N220" s="661"/>
      <c r="O220" s="661"/>
    </row>
    <row r="221" spans="10:21">
      <c r="K221" s="664"/>
      <c r="L221" s="664"/>
      <c r="M221" s="661"/>
      <c r="N221" s="661"/>
      <c r="O221" s="661"/>
    </row>
    <row r="222" spans="10:21">
      <c r="K222" s="664"/>
      <c r="L222" s="664"/>
      <c r="M222" s="661"/>
      <c r="N222" s="661"/>
      <c r="O222" s="661"/>
    </row>
    <row r="223" spans="10:21">
      <c r="K223" s="664"/>
      <c r="L223" s="664"/>
      <c r="M223" s="661"/>
      <c r="N223" s="661"/>
      <c r="O223" s="661"/>
    </row>
    <row r="224" spans="10:21">
      <c r="M224" s="661"/>
      <c r="N224" s="661"/>
      <c r="O224" s="661"/>
    </row>
    <row r="225" spans="13:15">
      <c r="M225" s="661"/>
      <c r="N225" s="661"/>
      <c r="O225" s="661"/>
    </row>
    <row r="226" spans="13:15">
      <c r="M226" s="661"/>
      <c r="N226" s="661"/>
      <c r="O226" s="661"/>
    </row>
    <row r="227" spans="13:15">
      <c r="M227" s="661"/>
      <c r="N227" s="661"/>
      <c r="O227" s="661"/>
    </row>
    <row r="228" spans="13:15">
      <c r="M228" s="661"/>
      <c r="N228" s="661"/>
      <c r="O228" s="661"/>
    </row>
    <row r="229" spans="13:15">
      <c r="M229" s="661"/>
      <c r="N229" s="661"/>
      <c r="O229" s="661"/>
    </row>
    <row r="230" spans="13:15">
      <c r="M230" s="661"/>
      <c r="N230" s="661"/>
      <c r="O230" s="661"/>
    </row>
    <row r="231" spans="13:15">
      <c r="M231" s="661"/>
      <c r="N231" s="661"/>
      <c r="O231" s="661"/>
    </row>
    <row r="232" spans="13:15">
      <c r="M232" s="661"/>
      <c r="N232" s="661"/>
      <c r="O232" s="661"/>
    </row>
    <row r="233" spans="13:15">
      <c r="M233" s="661"/>
      <c r="N233" s="661"/>
      <c r="O233" s="661"/>
    </row>
    <row r="234" spans="13:15">
      <c r="M234" s="661"/>
      <c r="N234" s="661"/>
      <c r="O234" s="661"/>
    </row>
    <row r="235" spans="13:15">
      <c r="M235" s="661"/>
      <c r="N235" s="661"/>
      <c r="O235" s="661"/>
    </row>
    <row r="236" spans="13:15">
      <c r="M236" s="661"/>
      <c r="N236" s="661"/>
      <c r="O236" s="661"/>
    </row>
    <row r="237" spans="13:15">
      <c r="M237" s="661"/>
      <c r="N237" s="661"/>
      <c r="O237" s="661"/>
    </row>
    <row r="239" spans="13:15">
      <c r="M239" s="356" t="s">
        <v>261</v>
      </c>
      <c r="N239" s="356" t="s">
        <v>262</v>
      </c>
      <c r="O239" s="356" t="s">
        <v>263</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Mensual-Enero 2021
INFSGI-MES-01-2021
09/02/2021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51"/>
  <sheetViews>
    <sheetView showGridLines="0" view="pageBreakPreview" zoomScale="130" zoomScaleNormal="100" zoomScaleSheetLayoutView="130" zoomScalePageLayoutView="85" workbookViewId="0">
      <selection activeCell="S15" sqref="S15"/>
    </sheetView>
  </sheetViews>
  <sheetFormatPr baseColWidth="10" defaultColWidth="9.28515625" defaultRowHeight="10.199999999999999"/>
  <cols>
    <col min="10" max="11" width="9.28515625" customWidth="1"/>
    <col min="13" max="13" width="9.28515625" style="355"/>
    <col min="14" max="16" width="9.28515625" style="283"/>
    <col min="17" max="17" width="11.7109375" style="283" bestFit="1" customWidth="1"/>
    <col min="18" max="18" width="15.140625" style="283" customWidth="1"/>
    <col min="19" max="19" width="14.28515625" style="283" customWidth="1"/>
    <col min="20" max="20" width="14.42578125" style="283" customWidth="1"/>
    <col min="21" max="21" width="9.42578125" style="283" bestFit="1" customWidth="1"/>
    <col min="22" max="22" width="14.7109375" style="283" customWidth="1"/>
    <col min="23" max="23" width="9.42578125" style="283" customWidth="1"/>
    <col min="24" max="24" width="9.7109375" style="283" bestFit="1" customWidth="1"/>
    <col min="25" max="25" width="9.42578125" style="283" bestFit="1" customWidth="1"/>
    <col min="26" max="26" width="9.28515625" style="283"/>
    <col min="27" max="30" width="9.28515625" style="295"/>
    <col min="31" max="32" width="9.28515625" style="283"/>
  </cols>
  <sheetData>
    <row r="1" spans="1:25" ht="11.25" customHeight="1"/>
    <row r="2" spans="1:25" ht="11.25" customHeight="1">
      <c r="A2" s="296"/>
      <c r="B2" s="297"/>
      <c r="C2" s="297"/>
      <c r="D2" s="297"/>
      <c r="E2" s="297"/>
      <c r="F2" s="297"/>
      <c r="G2" s="174"/>
      <c r="H2" s="174"/>
      <c r="I2" s="132"/>
    </row>
    <row r="3" spans="1:25" ht="11.25" customHeight="1">
      <c r="A3" s="132"/>
      <c r="B3" s="132"/>
      <c r="C3" s="132"/>
      <c r="D3" s="132"/>
      <c r="E3" s="132"/>
      <c r="F3" s="132"/>
      <c r="G3" s="138"/>
      <c r="H3" s="138"/>
      <c r="I3" s="138"/>
      <c r="J3" s="148"/>
      <c r="K3" s="148"/>
      <c r="L3" s="148"/>
      <c r="O3" s="283" t="s">
        <v>260</v>
      </c>
      <c r="P3" s="657"/>
      <c r="Q3" s="283" t="s">
        <v>264</v>
      </c>
      <c r="R3" s="283" t="s">
        <v>265</v>
      </c>
      <c r="S3" s="283" t="s">
        <v>266</v>
      </c>
      <c r="T3" s="283" t="s">
        <v>267</v>
      </c>
      <c r="U3" s="283" t="s">
        <v>268</v>
      </c>
      <c r="V3" s="283" t="s">
        <v>269</v>
      </c>
      <c r="W3" s="283" t="s">
        <v>270</v>
      </c>
      <c r="X3" s="283" t="s">
        <v>271</v>
      </c>
      <c r="Y3" s="283" t="s">
        <v>272</v>
      </c>
    </row>
    <row r="4" spans="1:25" ht="11.25" customHeight="1">
      <c r="A4" s="132"/>
      <c r="B4" s="132"/>
      <c r="C4" s="132"/>
      <c r="D4" s="132"/>
      <c r="E4" s="132"/>
      <c r="F4" s="132"/>
      <c r="G4" s="138"/>
      <c r="H4" s="138"/>
      <c r="I4" s="138"/>
      <c r="J4" s="148"/>
      <c r="K4" s="148"/>
      <c r="L4" s="148"/>
      <c r="N4" s="283">
        <v>2018</v>
      </c>
      <c r="O4" s="283">
        <v>1</v>
      </c>
      <c r="P4" s="657">
        <v>1</v>
      </c>
      <c r="Q4" s="782">
        <v>10.34</v>
      </c>
      <c r="R4" s="782">
        <v>4.4628571428571426</v>
      </c>
      <c r="S4" s="782">
        <v>140.04142857142858</v>
      </c>
      <c r="T4" s="782">
        <v>143.09</v>
      </c>
      <c r="U4" s="782">
        <v>20.63</v>
      </c>
      <c r="V4" s="782">
        <v>13</v>
      </c>
      <c r="W4" s="782">
        <v>1.64</v>
      </c>
      <c r="X4" s="782">
        <v>201.2428571428571</v>
      </c>
      <c r="Y4" s="782">
        <v>63.23</v>
      </c>
    </row>
    <row r="5" spans="1:25" ht="11.25" customHeight="1">
      <c r="A5" s="176"/>
      <c r="B5" s="176"/>
      <c r="C5" s="176"/>
      <c r="D5" s="176"/>
      <c r="E5" s="176"/>
      <c r="F5" s="176"/>
      <c r="G5" s="176"/>
      <c r="H5" s="176"/>
      <c r="I5" s="176"/>
      <c r="J5" s="24"/>
      <c r="K5" s="24"/>
      <c r="L5" s="131"/>
      <c r="P5" s="657">
        <v>2</v>
      </c>
      <c r="Q5" s="782">
        <v>13.730999947142859</v>
      </c>
      <c r="R5" s="782">
        <v>3.5944285392857145</v>
      </c>
      <c r="S5" s="782">
        <v>209.91800362857143</v>
      </c>
      <c r="T5" s="782">
        <v>160.98214394285716</v>
      </c>
      <c r="U5" s="782">
        <v>36.213856559999996</v>
      </c>
      <c r="V5" s="782">
        <v>11.774285724285715</v>
      </c>
      <c r="W5" s="782">
        <v>1.5914286031428568</v>
      </c>
      <c r="X5" s="782">
        <v>229.4250030571429</v>
      </c>
      <c r="Y5" s="782">
        <v>56.654285431428562</v>
      </c>
    </row>
    <row r="6" spans="1:25" ht="11.25" customHeight="1">
      <c r="A6" s="132"/>
      <c r="B6" s="298"/>
      <c r="C6" s="299"/>
      <c r="D6" s="300"/>
      <c r="E6" s="300"/>
      <c r="F6" s="177"/>
      <c r="G6" s="178"/>
      <c r="H6" s="178"/>
      <c r="I6" s="179"/>
      <c r="J6" s="24"/>
      <c r="K6" s="24"/>
      <c r="L6" s="19"/>
      <c r="P6" s="657">
        <v>3</v>
      </c>
      <c r="Q6" s="782">
        <v>15.983285902857142</v>
      </c>
      <c r="R6" s="782">
        <v>8.3045714242857152</v>
      </c>
      <c r="S6" s="782">
        <v>223.6645725857143</v>
      </c>
      <c r="T6" s="782">
        <v>190.44042751428574</v>
      </c>
      <c r="U6" s="782">
        <v>30.819142750000001</v>
      </c>
      <c r="V6" s="782">
        <v>11.857142857142858</v>
      </c>
      <c r="W6" s="782">
        <v>1.5814286125714285</v>
      </c>
      <c r="X6" s="782">
        <v>261.56357028571426</v>
      </c>
      <c r="Y6" s="782">
        <v>68.516428267142857</v>
      </c>
    </row>
    <row r="7" spans="1:25" ht="11.25" customHeight="1">
      <c r="A7" s="132"/>
      <c r="B7" s="180"/>
      <c r="C7" s="180"/>
      <c r="D7" s="181"/>
      <c r="E7" s="181"/>
      <c r="F7" s="177"/>
      <c r="G7" s="178"/>
      <c r="H7" s="178"/>
      <c r="I7" s="179"/>
      <c r="J7" s="25"/>
      <c r="K7" s="25"/>
      <c r="L7" s="22"/>
      <c r="P7" s="657">
        <v>4</v>
      </c>
      <c r="Q7" s="782">
        <v>21.988571574285714</v>
      </c>
      <c r="R7" s="782">
        <v>15.598142828000002</v>
      </c>
      <c r="S7" s="782">
        <v>346.88342720000003</v>
      </c>
      <c r="T7" s="782">
        <v>205.5832868285714</v>
      </c>
      <c r="U7" s="782">
        <v>40.893000467142862</v>
      </c>
      <c r="V7" s="782">
        <v>18.734285627142857</v>
      </c>
      <c r="W7" s="782">
        <v>1.5700000519999997</v>
      </c>
      <c r="X7" s="782">
        <v>261.98000009999998</v>
      </c>
      <c r="Y7" s="782">
        <v>58.935427530000005</v>
      </c>
    </row>
    <row r="8" spans="1:25" ht="11.25" customHeight="1">
      <c r="A8" s="132"/>
      <c r="B8" s="182"/>
      <c r="C8" s="132"/>
      <c r="D8" s="156"/>
      <c r="E8" s="156"/>
      <c r="F8" s="177"/>
      <c r="G8" s="178"/>
      <c r="H8" s="178"/>
      <c r="I8" s="179"/>
      <c r="J8" s="23"/>
      <c r="K8" s="23"/>
      <c r="L8" s="24"/>
      <c r="P8" s="657">
        <v>5</v>
      </c>
      <c r="Q8" s="782">
        <v>17.729000225714284</v>
      </c>
      <c r="R8" s="782">
        <v>13.724571365714285</v>
      </c>
      <c r="S8" s="782">
        <v>214.95928737142859</v>
      </c>
      <c r="T8" s="782">
        <v>93.607142857142861</v>
      </c>
      <c r="U8" s="782">
        <v>17.748285841428572</v>
      </c>
      <c r="V8" s="782">
        <v>23.390000208571426</v>
      </c>
      <c r="W8" s="782">
        <v>1.5700000519999997</v>
      </c>
      <c r="X8" s="782">
        <v>141.83571514285714</v>
      </c>
      <c r="Y8" s="782">
        <v>45.332857951428579</v>
      </c>
    </row>
    <row r="9" spans="1:25" ht="11.25" customHeight="1">
      <c r="A9" s="132"/>
      <c r="B9" s="182"/>
      <c r="C9" s="132"/>
      <c r="D9" s="156"/>
      <c r="E9" s="156"/>
      <c r="F9" s="177"/>
      <c r="G9" s="178"/>
      <c r="H9" s="178"/>
      <c r="I9" s="179"/>
      <c r="J9" s="25"/>
      <c r="K9" s="26"/>
      <c r="L9" s="22"/>
      <c r="P9" s="657">
        <v>6</v>
      </c>
      <c r="Q9" s="782">
        <v>13.582571572857143</v>
      </c>
      <c r="R9" s="782">
        <v>8.6634286477142854</v>
      </c>
      <c r="S9" s="782">
        <v>166.34242902857142</v>
      </c>
      <c r="T9" s="782">
        <v>108.25571334000001</v>
      </c>
      <c r="U9" s="782">
        <v>18.79157175142857</v>
      </c>
      <c r="V9" s="782">
        <v>20.201017107142857</v>
      </c>
      <c r="W9" s="782">
        <v>2.3694285491428571</v>
      </c>
      <c r="X9" s="782">
        <v>164.55714089999998</v>
      </c>
      <c r="Y9" s="782">
        <v>65.987571171428584</v>
      </c>
    </row>
    <row r="10" spans="1:25" ht="11.25" customHeight="1">
      <c r="A10" s="132"/>
      <c r="B10" s="182"/>
      <c r="C10" s="132"/>
      <c r="D10" s="156"/>
      <c r="E10" s="156"/>
      <c r="F10" s="177"/>
      <c r="G10" s="178"/>
      <c r="H10" s="178"/>
      <c r="I10" s="179"/>
      <c r="J10" s="25"/>
      <c r="K10" s="25"/>
      <c r="L10" s="22"/>
      <c r="P10" s="657">
        <v>7</v>
      </c>
      <c r="Q10" s="782">
        <v>14.722571237142859</v>
      </c>
      <c r="R10" s="782">
        <v>11.071428435428571</v>
      </c>
      <c r="S10" s="782">
        <v>239.50057330000001</v>
      </c>
      <c r="T10" s="782">
        <v>202.98199900000003</v>
      </c>
      <c r="U10" s="782">
        <v>42.088571821428573</v>
      </c>
      <c r="V10" s="782">
        <v>15.283185821428571</v>
      </c>
      <c r="W10" s="782">
        <v>3.1689999100000001</v>
      </c>
      <c r="X10" s="782">
        <v>355.31285748571423</v>
      </c>
      <c r="Y10" s="782">
        <v>97.722999031428586</v>
      </c>
    </row>
    <row r="11" spans="1:25" ht="11.25" customHeight="1">
      <c r="A11" s="132"/>
      <c r="B11" s="156"/>
      <c r="C11" s="132"/>
      <c r="D11" s="156"/>
      <c r="E11" s="156"/>
      <c r="F11" s="177"/>
      <c r="G11" s="178"/>
      <c r="H11" s="178"/>
      <c r="I11" s="179"/>
      <c r="J11" s="25"/>
      <c r="K11" s="25"/>
      <c r="L11" s="22"/>
      <c r="O11" s="283">
        <v>8</v>
      </c>
      <c r="P11" s="657">
        <v>8</v>
      </c>
      <c r="Q11" s="782">
        <v>18.48</v>
      </c>
      <c r="R11" s="782">
        <v>14.97</v>
      </c>
      <c r="S11" s="782">
        <v>357.61814662857148</v>
      </c>
      <c r="T11" s="782">
        <v>251.1</v>
      </c>
      <c r="U11" s="782">
        <v>43.74</v>
      </c>
      <c r="V11" s="782">
        <v>16.564</v>
      </c>
      <c r="W11" s="782">
        <v>3.16</v>
      </c>
      <c r="X11" s="782">
        <v>437.78</v>
      </c>
      <c r="Y11" s="782">
        <v>142.13</v>
      </c>
    </row>
    <row r="12" spans="1:25" ht="11.25" customHeight="1">
      <c r="A12" s="132"/>
      <c r="B12" s="156"/>
      <c r="C12" s="132"/>
      <c r="D12" s="156"/>
      <c r="E12" s="156"/>
      <c r="F12" s="177"/>
      <c r="G12" s="178"/>
      <c r="H12" s="178"/>
      <c r="I12" s="179"/>
      <c r="J12" s="25"/>
      <c r="K12" s="25"/>
      <c r="L12" s="22"/>
      <c r="P12" s="657">
        <v>9</v>
      </c>
      <c r="Q12" s="782">
        <v>21.652428627142854</v>
      </c>
      <c r="R12" s="782">
        <v>14.185285431142857</v>
      </c>
      <c r="S12" s="782">
        <v>333.90885488571433</v>
      </c>
      <c r="T12" s="782">
        <v>204.95843285714287</v>
      </c>
      <c r="U12" s="782">
        <v>31.755000522857138</v>
      </c>
      <c r="V12" s="782">
        <v>15.852976190476195</v>
      </c>
      <c r="W12" s="782">
        <v>3.1689999100000001</v>
      </c>
      <c r="X12" s="782">
        <v>424.14571271428576</v>
      </c>
      <c r="Y12" s="782">
        <v>142.13857270714286</v>
      </c>
    </row>
    <row r="13" spans="1:25" ht="11.25" customHeight="1">
      <c r="A13" s="132"/>
      <c r="B13" s="156"/>
      <c r="C13" s="132"/>
      <c r="D13" s="156"/>
      <c r="E13" s="156"/>
      <c r="F13" s="177"/>
      <c r="G13" s="178"/>
      <c r="H13" s="178"/>
      <c r="I13" s="179"/>
      <c r="J13" s="23"/>
      <c r="K13" s="23"/>
      <c r="L13" s="24"/>
      <c r="P13" s="657">
        <v>10</v>
      </c>
      <c r="Q13" s="782">
        <v>30.272714344285713</v>
      </c>
      <c r="R13" s="782">
        <v>17.434571538571429</v>
      </c>
      <c r="S13" s="782">
        <v>431.64157101428572</v>
      </c>
      <c r="T13" s="782">
        <v>177.15485925714287</v>
      </c>
      <c r="U13" s="782">
        <v>31.196571622857142</v>
      </c>
      <c r="V13" s="782">
        <v>14.442</v>
      </c>
      <c r="W13" s="782">
        <v>4.7437142644285712</v>
      </c>
      <c r="X13" s="782">
        <v>293.69142804285718</v>
      </c>
      <c r="Y13" s="782">
        <v>72.30971418</v>
      </c>
    </row>
    <row r="14" spans="1:25" ht="11.25" customHeight="1">
      <c r="A14" s="132"/>
      <c r="B14" s="156"/>
      <c r="C14" s="132"/>
      <c r="D14" s="156"/>
      <c r="E14" s="156"/>
      <c r="F14" s="177"/>
      <c r="G14" s="178"/>
      <c r="H14" s="178"/>
      <c r="I14" s="179"/>
      <c r="J14" s="25"/>
      <c r="K14" s="26"/>
      <c r="L14" s="22"/>
      <c r="P14" s="657">
        <v>11</v>
      </c>
      <c r="Q14" s="782">
        <v>28.071857179999999</v>
      </c>
      <c r="R14" s="782">
        <v>17.048571724285715</v>
      </c>
      <c r="S14" s="782">
        <v>485.98543439999997</v>
      </c>
      <c r="T14" s="782">
        <v>169.375</v>
      </c>
      <c r="U14" s="782">
        <v>52.626284462857136</v>
      </c>
      <c r="V14" s="782">
        <v>18.273</v>
      </c>
      <c r="W14" s="782">
        <v>3.0879999738571429</v>
      </c>
      <c r="X14" s="782">
        <v>511.54500034285724</v>
      </c>
      <c r="Y14" s="782">
        <v>119.7894287057143</v>
      </c>
    </row>
    <row r="15" spans="1:25" ht="11.25" customHeight="1">
      <c r="A15" s="132"/>
      <c r="B15" s="156"/>
      <c r="C15" s="132"/>
      <c r="D15" s="156"/>
      <c r="E15" s="156"/>
      <c r="F15" s="177"/>
      <c r="G15" s="178"/>
      <c r="H15" s="178"/>
      <c r="I15" s="179"/>
      <c r="J15" s="25"/>
      <c r="K15" s="26"/>
      <c r="L15" s="22"/>
      <c r="P15" s="657">
        <v>12</v>
      </c>
      <c r="Q15" s="782">
        <v>29.90999984714286</v>
      </c>
      <c r="R15" s="782">
        <v>21.62</v>
      </c>
      <c r="S15" s="782">
        <v>465.24414497142863</v>
      </c>
      <c r="T15" s="782">
        <v>201.58328465714288</v>
      </c>
      <c r="U15" s="782">
        <v>57.669144221428567</v>
      </c>
      <c r="V15" s="782">
        <v>23.244</v>
      </c>
      <c r="W15" s="782">
        <v>4.5095714328571432</v>
      </c>
      <c r="X15" s="782">
        <v>433.89143152857145</v>
      </c>
      <c r="Y15" s="782">
        <v>152.80443028571429</v>
      </c>
    </row>
    <row r="16" spans="1:25" ht="11.25" customHeight="1">
      <c r="A16" s="132"/>
      <c r="B16" s="156"/>
      <c r="C16" s="132"/>
      <c r="D16" s="156"/>
      <c r="E16" s="156"/>
      <c r="F16" s="177"/>
      <c r="G16" s="178"/>
      <c r="H16" s="178"/>
      <c r="I16" s="179"/>
      <c r="J16" s="25"/>
      <c r="K16" s="26"/>
      <c r="L16" s="22"/>
      <c r="P16" s="657">
        <v>13</v>
      </c>
      <c r="Q16" s="782">
        <v>28.360142844285718</v>
      </c>
      <c r="R16" s="782">
        <v>17.439428465714283</v>
      </c>
      <c r="S16" s="782">
        <v>396.37686155714289</v>
      </c>
      <c r="T16" s="782">
        <v>163.75585502857143</v>
      </c>
      <c r="U16" s="782">
        <v>35.725570951428573</v>
      </c>
      <c r="V16" s="782">
        <v>23.143392837142859</v>
      </c>
      <c r="W16" s="782">
        <v>3.3929999999999998</v>
      </c>
      <c r="X16" s="782">
        <v>281.79928587142859</v>
      </c>
      <c r="Y16" s="782">
        <v>107.32928468714286</v>
      </c>
    </row>
    <row r="17" spans="1:25" ht="11.25" customHeight="1">
      <c r="A17" s="132"/>
      <c r="B17" s="156"/>
      <c r="C17" s="132"/>
      <c r="D17" s="156"/>
      <c r="E17" s="156"/>
      <c r="F17" s="177"/>
      <c r="G17" s="178"/>
      <c r="H17" s="178"/>
      <c r="I17" s="179"/>
      <c r="J17" s="25"/>
      <c r="K17" s="26"/>
      <c r="L17" s="22"/>
      <c r="P17" s="657">
        <v>14</v>
      </c>
      <c r="Q17" s="782">
        <v>23.830285752857144</v>
      </c>
      <c r="R17" s="782">
        <v>12.833285604571429</v>
      </c>
      <c r="S17" s="782">
        <v>226.32643345714288</v>
      </c>
      <c r="T17" s="782">
        <v>133.53585814285714</v>
      </c>
      <c r="U17" s="782">
        <v>28.622000282857147</v>
      </c>
      <c r="V17" s="782">
        <v>19.16</v>
      </c>
      <c r="W17" s="782">
        <v>1.736</v>
      </c>
      <c r="X17" s="782">
        <v>176.23214502857144</v>
      </c>
      <c r="Y17" s="782">
        <v>80.936570849999995</v>
      </c>
    </row>
    <row r="18" spans="1:25" ht="11.25" customHeight="1">
      <c r="A18" s="889" t="s">
        <v>773</v>
      </c>
      <c r="B18" s="889"/>
      <c r="C18" s="889"/>
      <c r="D18" s="889"/>
      <c r="E18" s="889"/>
      <c r="F18" s="889"/>
      <c r="G18" s="889"/>
      <c r="H18" s="889"/>
      <c r="I18" s="889"/>
      <c r="J18" s="889"/>
      <c r="K18" s="889"/>
      <c r="L18" s="889"/>
      <c r="P18" s="657">
        <v>15</v>
      </c>
      <c r="Q18" s="782">
        <v>27</v>
      </c>
      <c r="R18" s="782">
        <v>15.571285655714286</v>
      </c>
      <c r="S18" s="782">
        <v>207.40800040000002</v>
      </c>
      <c r="T18" s="782">
        <v>107.59514291428572</v>
      </c>
      <c r="U18" s="782">
        <v>30.753999982857145</v>
      </c>
      <c r="V18" s="782">
        <v>14.377143042857142</v>
      </c>
      <c r="W18" s="782">
        <v>1.8612856864285716</v>
      </c>
      <c r="X18" s="782">
        <v>130.09</v>
      </c>
      <c r="Y18" s="782">
        <v>42.693143572857146</v>
      </c>
    </row>
    <row r="19" spans="1:25" ht="11.25" customHeight="1">
      <c r="A19" s="25"/>
      <c r="B19" s="156"/>
      <c r="C19" s="132"/>
      <c r="D19" s="156"/>
      <c r="E19" s="156"/>
      <c r="F19" s="177"/>
      <c r="G19" s="178"/>
      <c r="H19" s="178"/>
      <c r="I19" s="179"/>
      <c r="J19" s="25"/>
      <c r="K19" s="26"/>
      <c r="L19" s="22"/>
      <c r="O19" s="283">
        <v>16</v>
      </c>
      <c r="P19" s="657">
        <v>16</v>
      </c>
      <c r="Q19" s="782">
        <v>19.899999999999999</v>
      </c>
      <c r="R19" s="782">
        <v>12.83</v>
      </c>
      <c r="S19" s="782">
        <v>166.38871437142856</v>
      </c>
      <c r="T19" s="782">
        <v>95.78</v>
      </c>
      <c r="U19" s="782">
        <v>29.88</v>
      </c>
      <c r="V19" s="782">
        <v>12.36</v>
      </c>
      <c r="W19" s="782">
        <v>1.9</v>
      </c>
      <c r="X19" s="782">
        <v>96.9</v>
      </c>
      <c r="Y19" s="782">
        <v>33.717142651428574</v>
      </c>
    </row>
    <row r="20" spans="1:25" ht="11.25" customHeight="1">
      <c r="A20" s="132"/>
      <c r="B20" s="156"/>
      <c r="C20" s="132"/>
      <c r="D20" s="156"/>
      <c r="E20" s="156"/>
      <c r="F20" s="177"/>
      <c r="G20" s="178"/>
      <c r="H20" s="178"/>
      <c r="I20" s="179"/>
      <c r="J20" s="25"/>
      <c r="K20" s="26"/>
      <c r="L20" s="22"/>
      <c r="P20" s="657">
        <v>17</v>
      </c>
      <c r="Q20" s="782">
        <v>19.14</v>
      </c>
      <c r="R20" s="782">
        <v>13.52</v>
      </c>
      <c r="S20" s="782">
        <v>168.19342804285716</v>
      </c>
      <c r="T20" s="782">
        <v>95.39</v>
      </c>
      <c r="U20" s="782">
        <v>22.257285525714284</v>
      </c>
      <c r="V20" s="782">
        <v>13.4</v>
      </c>
      <c r="W20" s="782">
        <v>1.7940000124285713</v>
      </c>
      <c r="X20" s="782">
        <v>89.59</v>
      </c>
      <c r="Y20" s="782">
        <v>27.06</v>
      </c>
    </row>
    <row r="21" spans="1:25" ht="11.25" customHeight="1">
      <c r="A21" s="132"/>
      <c r="B21" s="156"/>
      <c r="C21" s="132"/>
      <c r="D21" s="156"/>
      <c r="E21" s="156"/>
      <c r="F21" s="177"/>
      <c r="G21" s="178"/>
      <c r="H21" s="178"/>
      <c r="I21" s="179"/>
      <c r="J21" s="25"/>
      <c r="K21" s="29"/>
      <c r="L21" s="30"/>
      <c r="P21" s="657">
        <v>18</v>
      </c>
      <c r="Q21" s="782">
        <v>19.703571455714286</v>
      </c>
      <c r="R21" s="782">
        <v>14.166857039571427</v>
      </c>
      <c r="S21" s="782">
        <v>171.5428597714286</v>
      </c>
      <c r="T21" s="782">
        <v>85.958285739999994</v>
      </c>
      <c r="U21" s="782">
        <v>21.651714052857141</v>
      </c>
      <c r="V21" s="782">
        <v>12.785805702857145</v>
      </c>
      <c r="W21" s="782">
        <v>2.3024285860000004</v>
      </c>
      <c r="X21" s="782">
        <v>89.602142331428567</v>
      </c>
      <c r="Y21" s="782">
        <v>22.269714081428571</v>
      </c>
    </row>
    <row r="22" spans="1:25" ht="11.25" customHeight="1">
      <c r="A22" s="137"/>
      <c r="B22" s="156"/>
      <c r="C22" s="132"/>
      <c r="D22" s="156"/>
      <c r="E22" s="156"/>
      <c r="F22" s="177"/>
      <c r="G22" s="178"/>
      <c r="H22" s="178"/>
      <c r="I22" s="179"/>
      <c r="J22" s="25"/>
      <c r="K22" s="26"/>
      <c r="L22" s="22"/>
      <c r="P22" s="657">
        <v>19</v>
      </c>
      <c r="Q22" s="782">
        <v>15.48828561</v>
      </c>
      <c r="R22" s="782">
        <v>12.650857108142857</v>
      </c>
      <c r="S22" s="782">
        <v>146.54485865714287</v>
      </c>
      <c r="T22" s="782">
        <v>88.244000028571435</v>
      </c>
      <c r="U22" s="782">
        <v>19.037142890000002</v>
      </c>
      <c r="V22" s="782">
        <v>11.328391347142857</v>
      </c>
      <c r="W22" s="782">
        <v>1.8057142665714285</v>
      </c>
      <c r="X22" s="782">
        <v>75.568572998571426</v>
      </c>
      <c r="Y22" s="782">
        <v>17.565999711428571</v>
      </c>
    </row>
    <row r="23" spans="1:25" ht="11.25" customHeight="1">
      <c r="A23" s="137"/>
      <c r="B23" s="156"/>
      <c r="C23" s="132"/>
      <c r="D23" s="156"/>
      <c r="E23" s="156"/>
      <c r="F23" s="177"/>
      <c r="G23" s="178"/>
      <c r="H23" s="178"/>
      <c r="I23" s="179"/>
      <c r="J23" s="25"/>
      <c r="K23" s="26"/>
      <c r="L23" s="22"/>
      <c r="P23" s="657">
        <v>20</v>
      </c>
      <c r="Q23" s="782">
        <v>14.601142882857145</v>
      </c>
      <c r="R23" s="782">
        <v>10.013285772</v>
      </c>
      <c r="S23" s="782">
        <v>112.76242937142857</v>
      </c>
      <c r="T23" s="782">
        <v>64.809571402857145</v>
      </c>
      <c r="U23" s="782">
        <v>16.531571660000001</v>
      </c>
      <c r="V23" s="782">
        <v>10.899261474285714</v>
      </c>
      <c r="W23" s="782">
        <v>1.7767143248571429</v>
      </c>
      <c r="X23" s="782">
        <v>62.208570752857149</v>
      </c>
      <c r="Y23" s="782">
        <v>14.502285821428572</v>
      </c>
    </row>
    <row r="24" spans="1:25" ht="11.25" customHeight="1">
      <c r="A24" s="137"/>
      <c r="B24" s="156"/>
      <c r="C24" s="132"/>
      <c r="D24" s="156"/>
      <c r="E24" s="156"/>
      <c r="F24" s="177"/>
      <c r="G24" s="178"/>
      <c r="H24" s="178"/>
      <c r="I24" s="179"/>
      <c r="J24" s="26"/>
      <c r="K24" s="26"/>
      <c r="L24" s="22"/>
      <c r="P24" s="657">
        <v>21</v>
      </c>
      <c r="Q24" s="782">
        <v>13.411285537142858</v>
      </c>
      <c r="R24" s="782">
        <v>7.8631429672857154</v>
      </c>
      <c r="S24" s="782">
        <v>94.636570517142857</v>
      </c>
      <c r="T24" s="782">
        <v>49.303714208571428</v>
      </c>
      <c r="U24" s="782">
        <v>13.450571468571427</v>
      </c>
      <c r="V24" s="782">
        <v>11.166911400000002</v>
      </c>
      <c r="W24" s="782">
        <v>1.8437143055714282</v>
      </c>
      <c r="X24" s="782">
        <v>54.38714218285714</v>
      </c>
      <c r="Y24" s="782">
        <v>12.214999879999999</v>
      </c>
    </row>
    <row r="25" spans="1:25" ht="11.25" customHeight="1">
      <c r="A25" s="137"/>
      <c r="B25" s="156"/>
      <c r="C25" s="132"/>
      <c r="D25" s="156"/>
      <c r="E25" s="156"/>
      <c r="F25" s="177"/>
      <c r="G25" s="178"/>
      <c r="H25" s="178"/>
      <c r="I25" s="179"/>
      <c r="J25" s="25"/>
      <c r="K25" s="29"/>
      <c r="L25" s="30"/>
      <c r="P25" s="657">
        <v>22</v>
      </c>
      <c r="Q25" s="782">
        <v>12.490285737142855</v>
      </c>
      <c r="R25" s="782">
        <v>6.4215714250000007</v>
      </c>
      <c r="S25" s="782">
        <v>81.718714031428576</v>
      </c>
      <c r="T25" s="782">
        <v>42.928571428571431</v>
      </c>
      <c r="U25" s="782">
        <v>11.897571562857141</v>
      </c>
      <c r="V25" s="782">
        <v>10.57333578442857</v>
      </c>
      <c r="W25" s="782">
        <v>1.8770000252857142</v>
      </c>
      <c r="X25" s="782">
        <v>48.837857382857138</v>
      </c>
      <c r="Y25" s="782">
        <v>10.894571441428569</v>
      </c>
    </row>
    <row r="26" spans="1:25" ht="11.25" customHeight="1">
      <c r="A26" s="137"/>
      <c r="B26" s="156"/>
      <c r="C26" s="132"/>
      <c r="D26" s="156"/>
      <c r="E26" s="156"/>
      <c r="F26" s="138"/>
      <c r="G26" s="138"/>
      <c r="H26" s="138"/>
      <c r="I26" s="138"/>
      <c r="J26" s="23"/>
      <c r="K26" s="26"/>
      <c r="L26" s="22"/>
      <c r="P26" s="657">
        <v>23</v>
      </c>
      <c r="Q26" s="782">
        <v>12.278000014285713</v>
      </c>
      <c r="R26" s="782">
        <v>5.5577142921428564</v>
      </c>
      <c r="S26" s="782">
        <v>83.760285512857152</v>
      </c>
      <c r="T26" s="782">
        <v>67.797571451428567</v>
      </c>
      <c r="U26" s="782">
        <v>15.801714215714284</v>
      </c>
      <c r="V26" s="782">
        <v>11.341294289999999</v>
      </c>
      <c r="W26" s="782">
        <v>1.7928571701428571</v>
      </c>
      <c r="X26" s="782">
        <v>58.175000328571436</v>
      </c>
      <c r="Y26" s="782">
        <v>13.860571451428571</v>
      </c>
    </row>
    <row r="27" spans="1:25" ht="11.25" customHeight="1">
      <c r="A27" s="137"/>
      <c r="B27" s="156"/>
      <c r="C27" s="132"/>
      <c r="D27" s="156"/>
      <c r="E27" s="156"/>
      <c r="F27" s="138"/>
      <c r="G27" s="138"/>
      <c r="H27" s="138"/>
      <c r="I27" s="138"/>
      <c r="J27" s="23"/>
      <c r="K27" s="26"/>
      <c r="L27" s="22"/>
      <c r="O27" s="283">
        <v>24</v>
      </c>
      <c r="P27" s="657">
        <v>24</v>
      </c>
      <c r="Q27" s="782">
        <v>10.882714271142857</v>
      </c>
      <c r="R27" s="782">
        <v>5.3317142215714286</v>
      </c>
      <c r="S27" s="782">
        <v>82.799001421428557</v>
      </c>
      <c r="T27" s="782">
        <v>63.982142857142854</v>
      </c>
      <c r="U27" s="782">
        <v>15.595999989999999</v>
      </c>
      <c r="V27" s="782">
        <v>11.96411841142857</v>
      </c>
      <c r="W27" s="782">
        <v>2.0252857377142854</v>
      </c>
      <c r="X27" s="782">
        <v>61.988572801428582</v>
      </c>
      <c r="Y27" s="782">
        <v>13.392856871428572</v>
      </c>
    </row>
    <row r="28" spans="1:25" ht="11.25" customHeight="1">
      <c r="A28" s="136"/>
      <c r="B28" s="138"/>
      <c r="C28" s="138"/>
      <c r="D28" s="138"/>
      <c r="E28" s="138"/>
      <c r="F28" s="138"/>
      <c r="G28" s="138"/>
      <c r="H28" s="138"/>
      <c r="I28" s="138"/>
      <c r="J28" s="25"/>
      <c r="K28" s="26"/>
      <c r="L28" s="22"/>
      <c r="P28" s="657">
        <v>25</v>
      </c>
      <c r="Q28" s="782">
        <v>10.290999957142857</v>
      </c>
      <c r="R28" s="782">
        <v>3.7498572211428569</v>
      </c>
      <c r="S28" s="782">
        <v>74.093855721428568</v>
      </c>
      <c r="T28" s="782">
        <v>53.035571505714287</v>
      </c>
      <c r="U28" s="782">
        <v>14.135857038571428</v>
      </c>
      <c r="V28" s="782">
        <v>11.79</v>
      </c>
      <c r="W28" s="782">
        <v>2.0514285564285717</v>
      </c>
      <c r="X28" s="782">
        <v>51.970714024285719</v>
      </c>
      <c r="Y28" s="782">
        <v>10.749428476857142</v>
      </c>
    </row>
    <row r="29" spans="1:25" ht="11.25" customHeight="1">
      <c r="A29" s="136"/>
      <c r="B29" s="138"/>
      <c r="C29" s="138"/>
      <c r="D29" s="138"/>
      <c r="E29" s="138"/>
      <c r="F29" s="138"/>
      <c r="G29" s="138"/>
      <c r="H29" s="138"/>
      <c r="I29" s="138"/>
      <c r="J29" s="25"/>
      <c r="K29" s="26"/>
      <c r="L29" s="22"/>
      <c r="P29" s="657">
        <v>26</v>
      </c>
      <c r="Q29" s="782">
        <v>9.5591429302857147</v>
      </c>
      <c r="R29" s="782">
        <v>3.5651427677142853</v>
      </c>
      <c r="S29" s="782">
        <v>66.795142037142867</v>
      </c>
      <c r="T29" s="782">
        <v>40.369000025714286</v>
      </c>
      <c r="U29" s="782">
        <v>10.912428581428573</v>
      </c>
      <c r="V29" s="782">
        <v>10.93</v>
      </c>
      <c r="W29" s="782">
        <v>2.1038571597142854</v>
      </c>
      <c r="X29" s="782">
        <v>44.390714371428579</v>
      </c>
      <c r="Y29" s="782">
        <v>9.1145714351428584</v>
      </c>
    </row>
    <row r="30" spans="1:25" ht="11.25" customHeight="1">
      <c r="A30" s="136"/>
      <c r="B30" s="138"/>
      <c r="C30" s="138"/>
      <c r="D30" s="138"/>
      <c r="E30" s="138"/>
      <c r="F30" s="138"/>
      <c r="G30" s="138"/>
      <c r="H30" s="138"/>
      <c r="I30" s="138"/>
      <c r="J30" s="25"/>
      <c r="K30" s="26"/>
      <c r="L30" s="22"/>
      <c r="P30" s="657">
        <v>27</v>
      </c>
      <c r="Q30" s="782">
        <v>9.3137141635714293</v>
      </c>
      <c r="R30" s="782">
        <v>4.7600000245714282</v>
      </c>
      <c r="S30" s="782">
        <v>67.368571689999996</v>
      </c>
      <c r="T30" s="782">
        <v>33.409999999999997</v>
      </c>
      <c r="U30" s="782">
        <v>9.4035714009999989</v>
      </c>
      <c r="V30" s="782">
        <v>12.51</v>
      </c>
      <c r="W30" s="782">
        <v>2.0499999999999998</v>
      </c>
      <c r="X30" s="782">
        <v>39.173571994285716</v>
      </c>
      <c r="Y30" s="782">
        <v>7.6487142698571438</v>
      </c>
    </row>
    <row r="31" spans="1:25" ht="11.25" customHeight="1">
      <c r="A31" s="136"/>
      <c r="B31" s="138"/>
      <c r="C31" s="138"/>
      <c r="D31" s="138"/>
      <c r="E31" s="138"/>
      <c r="F31" s="138"/>
      <c r="G31" s="138"/>
      <c r="H31" s="138"/>
      <c r="I31" s="138"/>
      <c r="J31" s="25"/>
      <c r="K31" s="26"/>
      <c r="L31" s="22"/>
      <c r="P31" s="657">
        <v>28</v>
      </c>
      <c r="Q31" s="782">
        <v>8.7544284548571447</v>
      </c>
      <c r="R31" s="782">
        <v>2.5707143034285713</v>
      </c>
      <c r="S31" s="782">
        <v>65.073571887142847</v>
      </c>
      <c r="T31" s="782">
        <v>33.160714285714285</v>
      </c>
      <c r="U31" s="782">
        <v>9.4155716217142871</v>
      </c>
      <c r="V31" s="782">
        <v>12.3</v>
      </c>
      <c r="W31" s="782">
        <v>2.2505714212857142</v>
      </c>
      <c r="X31" s="782">
        <v>36.999285560000011</v>
      </c>
      <c r="Y31" s="782">
        <v>7.0544285774285713</v>
      </c>
    </row>
    <row r="32" spans="1:25" ht="11.25" customHeight="1">
      <c r="A32" s="136"/>
      <c r="B32" s="138"/>
      <c r="C32" s="138"/>
      <c r="D32" s="138"/>
      <c r="E32" s="138"/>
      <c r="F32" s="138"/>
      <c r="G32" s="138"/>
      <c r="H32" s="138"/>
      <c r="I32" s="138"/>
      <c r="J32" s="26"/>
      <c r="K32" s="26"/>
      <c r="L32" s="22"/>
      <c r="P32" s="657">
        <v>29</v>
      </c>
      <c r="Q32" s="782">
        <v>8.6149000000000004</v>
      </c>
      <c r="R32" s="782">
        <v>3.7006000000000001</v>
      </c>
      <c r="S32" s="782">
        <v>62.515714285714289</v>
      </c>
      <c r="T32" s="782">
        <v>35.738</v>
      </c>
      <c r="U32" s="782">
        <v>9.5503999999999998</v>
      </c>
      <c r="V32" s="782">
        <v>12.245714285714286</v>
      </c>
      <c r="W32" s="782">
        <v>1.9771428571428571</v>
      </c>
      <c r="X32" s="782">
        <v>38.677142857142861</v>
      </c>
      <c r="Y32" s="782">
        <v>6.3400000000000007</v>
      </c>
    </row>
    <row r="33" spans="1:25" ht="11.25" customHeight="1">
      <c r="A33" s="136"/>
      <c r="B33" s="138"/>
      <c r="C33" s="138"/>
      <c r="D33" s="138"/>
      <c r="E33" s="138"/>
      <c r="F33" s="138"/>
      <c r="G33" s="138"/>
      <c r="H33" s="138"/>
      <c r="I33" s="138"/>
      <c r="J33" s="25"/>
      <c r="K33" s="26"/>
      <c r="L33" s="22"/>
      <c r="P33" s="657">
        <v>30</v>
      </c>
      <c r="Q33" s="782">
        <v>8.1221428598571439</v>
      </c>
      <c r="R33" s="782">
        <v>4.9111429789999992</v>
      </c>
      <c r="S33" s="782">
        <v>57.148857115714286</v>
      </c>
      <c r="T33" s="782">
        <v>85.065429679999994</v>
      </c>
      <c r="U33" s="782">
        <v>15.534142631428571</v>
      </c>
      <c r="V33" s="782">
        <v>10.995952741142858</v>
      </c>
      <c r="W33" s="782">
        <v>2.2859999964285715</v>
      </c>
      <c r="X33" s="782">
        <v>56.166428702857139</v>
      </c>
      <c r="Y33" s="782">
        <v>9.4385714285714304</v>
      </c>
    </row>
    <row r="34" spans="1:25" ht="11.25" customHeight="1">
      <c r="A34" s="136"/>
      <c r="B34" s="138"/>
      <c r="C34" s="138"/>
      <c r="D34" s="138"/>
      <c r="E34" s="138"/>
      <c r="F34" s="138"/>
      <c r="G34" s="138"/>
      <c r="H34" s="138"/>
      <c r="I34" s="138"/>
      <c r="J34" s="25"/>
      <c r="K34" s="34"/>
      <c r="L34" s="22"/>
      <c r="P34" s="657">
        <v>31</v>
      </c>
      <c r="Q34" s="782">
        <v>7.5620000000000003</v>
      </c>
      <c r="R34" s="782">
        <v>3.28</v>
      </c>
      <c r="S34" s="782">
        <v>58.768000000000001</v>
      </c>
      <c r="T34" s="782">
        <v>40.375</v>
      </c>
      <c r="U34" s="782">
        <v>8.5579999999999998</v>
      </c>
      <c r="V34" s="782">
        <v>13.18</v>
      </c>
      <c r="W34" s="782">
        <v>2</v>
      </c>
      <c r="X34" s="782">
        <v>50.215000000000003</v>
      </c>
      <c r="Y34" s="782">
        <v>8.5770238095238049</v>
      </c>
    </row>
    <row r="35" spans="1:25" ht="11.25" customHeight="1">
      <c r="A35" s="136"/>
      <c r="B35" s="138"/>
      <c r="C35" s="138"/>
      <c r="D35" s="138"/>
      <c r="E35" s="138"/>
      <c r="F35" s="138"/>
      <c r="G35" s="138"/>
      <c r="H35" s="138"/>
      <c r="I35" s="138"/>
      <c r="J35" s="25"/>
      <c r="K35" s="34"/>
      <c r="L35" s="38"/>
      <c r="O35" s="283">
        <v>32</v>
      </c>
      <c r="P35" s="657">
        <v>32</v>
      </c>
      <c r="Q35" s="782">
        <v>8.4994284765714276</v>
      </c>
      <c r="R35" s="782">
        <v>4.8781427315714287</v>
      </c>
      <c r="S35" s="782">
        <v>54.703428540000004</v>
      </c>
      <c r="T35" s="782">
        <v>52.946428571428569</v>
      </c>
      <c r="U35" s="782">
        <v>10.739857128857144</v>
      </c>
      <c r="V35" s="782">
        <v>10.850328444285712</v>
      </c>
      <c r="W35" s="782">
        <v>2.0667142697142857</v>
      </c>
      <c r="X35" s="782">
        <v>50.460713522857141</v>
      </c>
      <c r="Y35" s="782">
        <v>9.7962856299999999</v>
      </c>
    </row>
    <row r="36" spans="1:25" ht="11.25" customHeight="1">
      <c r="A36" s="136"/>
      <c r="B36" s="138"/>
      <c r="C36" s="138"/>
      <c r="D36" s="138"/>
      <c r="E36" s="138"/>
      <c r="F36" s="138"/>
      <c r="G36" s="138"/>
      <c r="H36" s="138"/>
      <c r="I36" s="138"/>
      <c r="J36" s="25"/>
      <c r="K36" s="29"/>
      <c r="L36" s="22"/>
      <c r="P36" s="657">
        <v>33</v>
      </c>
      <c r="Q36" s="782">
        <v>7.8117142411428571</v>
      </c>
      <c r="R36" s="782">
        <v>4.5999999999999996</v>
      </c>
      <c r="S36" s="782">
        <v>59.066285269999995</v>
      </c>
      <c r="T36" s="782">
        <v>47.13</v>
      </c>
      <c r="U36" s="782">
        <v>9.23</v>
      </c>
      <c r="V36" s="782">
        <v>10.84</v>
      </c>
      <c r="W36" s="782">
        <v>2.0499999999999998</v>
      </c>
      <c r="X36" s="782">
        <v>44.64</v>
      </c>
      <c r="Y36" s="782">
        <v>8.7822855541428577</v>
      </c>
    </row>
    <row r="37" spans="1:25" ht="11.25" customHeight="1">
      <c r="A37" s="136"/>
      <c r="B37" s="138"/>
      <c r="C37" s="138"/>
      <c r="D37" s="138"/>
      <c r="E37" s="138"/>
      <c r="F37" s="138"/>
      <c r="G37" s="138"/>
      <c r="H37" s="138"/>
      <c r="I37" s="138"/>
      <c r="J37" s="25"/>
      <c r="K37" s="29"/>
      <c r="L37" s="22"/>
      <c r="P37" s="657">
        <v>34</v>
      </c>
      <c r="Q37" s="782">
        <v>6.44</v>
      </c>
      <c r="R37" s="782">
        <v>5.1568571165714285</v>
      </c>
      <c r="S37" s="782">
        <v>82.033571515714272</v>
      </c>
      <c r="T37" s="782">
        <v>63.892999920000001</v>
      </c>
      <c r="U37" s="782">
        <v>10.917285918714287</v>
      </c>
      <c r="V37" s="782">
        <v>10.534582955714285</v>
      </c>
      <c r="W37" s="782">
        <v>1.8788571358571429</v>
      </c>
      <c r="X37" s="782">
        <v>35.627857751428571</v>
      </c>
      <c r="Y37" s="782">
        <v>11.383714402571428</v>
      </c>
    </row>
    <row r="38" spans="1:25" ht="11.25" customHeight="1">
      <c r="A38" s="136"/>
      <c r="B38" s="138"/>
      <c r="C38" s="138"/>
      <c r="D38" s="138"/>
      <c r="E38" s="138"/>
      <c r="F38" s="138"/>
      <c r="G38" s="138"/>
      <c r="H38" s="138"/>
      <c r="I38" s="138"/>
      <c r="J38" s="25"/>
      <c r="K38" s="29"/>
      <c r="L38" s="22"/>
      <c r="P38" s="657">
        <v>35</v>
      </c>
      <c r="Q38" s="782">
        <v>7.5428571428571427</v>
      </c>
      <c r="R38" s="782">
        <v>2.15</v>
      </c>
      <c r="S38" s="782">
        <v>71.48</v>
      </c>
      <c r="T38" s="782">
        <v>45.64</v>
      </c>
      <c r="U38" s="782">
        <v>9.4700000000000006</v>
      </c>
      <c r="V38" s="782">
        <v>10.92</v>
      </c>
      <c r="W38" s="782">
        <v>1.88</v>
      </c>
      <c r="X38" s="782">
        <v>32.979999999999997</v>
      </c>
      <c r="Y38" s="782">
        <v>7.88</v>
      </c>
    </row>
    <row r="39" spans="1:25" ht="11.25" customHeight="1">
      <c r="P39" s="657">
        <v>36</v>
      </c>
      <c r="Q39" s="782">
        <v>7.1671427998571433</v>
      </c>
      <c r="R39" s="782">
        <v>4.8342857142857136</v>
      </c>
      <c r="S39" s="782">
        <v>63.092857142857149</v>
      </c>
      <c r="T39" s="782">
        <v>34.571428571428569</v>
      </c>
      <c r="U39" s="782">
        <v>7.5942857142857134</v>
      </c>
      <c r="V39" s="782">
        <v>11.091428571428571</v>
      </c>
      <c r="W39" s="782">
        <v>1.8442857142857143</v>
      </c>
      <c r="X39" s="782">
        <v>31.20428571428571</v>
      </c>
      <c r="Y39" s="782">
        <v>8.0857142857142854</v>
      </c>
    </row>
    <row r="40" spans="1:25" ht="11.25" customHeight="1">
      <c r="A40" s="889" t="s">
        <v>774</v>
      </c>
      <c r="B40" s="889"/>
      <c r="C40" s="889"/>
      <c r="D40" s="889"/>
      <c r="E40" s="889"/>
      <c r="F40" s="889"/>
      <c r="G40" s="889"/>
      <c r="H40" s="889"/>
      <c r="I40" s="889"/>
      <c r="J40" s="889"/>
      <c r="K40" s="889"/>
      <c r="L40" s="889"/>
      <c r="P40" s="657">
        <v>37</v>
      </c>
      <c r="Q40" s="782">
        <v>7.1637143408571422</v>
      </c>
      <c r="R40" s="782">
        <v>3.1535714688571423</v>
      </c>
      <c r="S40" s="782">
        <v>61.141713821428574</v>
      </c>
      <c r="T40" s="782">
        <v>28.744000025714286</v>
      </c>
      <c r="U40" s="782">
        <v>6.5637142318571433</v>
      </c>
      <c r="V40" s="782">
        <v>10.825238499999999</v>
      </c>
      <c r="W40" s="782">
        <v>1.8114285809999999</v>
      </c>
      <c r="X40" s="782">
        <v>29.614285605714283</v>
      </c>
      <c r="Y40" s="782">
        <v>8.6452856064285708</v>
      </c>
    </row>
    <row r="41" spans="1:25" ht="11.25" customHeight="1">
      <c r="P41" s="657">
        <v>38</v>
      </c>
      <c r="Q41" s="782">
        <v>8.31</v>
      </c>
      <c r="R41" s="782">
        <v>3.3441428289999995</v>
      </c>
      <c r="S41" s="782">
        <v>49.664428712857145</v>
      </c>
      <c r="T41" s="782">
        <v>35.571571351428574</v>
      </c>
      <c r="U41" s="782">
        <v>7.2939999444285712</v>
      </c>
      <c r="V41" s="782">
        <v>11.159824370000001</v>
      </c>
      <c r="W41" s="782">
        <v>1.8427142925714282</v>
      </c>
      <c r="X41" s="782">
        <v>30.912857054285716</v>
      </c>
      <c r="Y41" s="782">
        <v>8.6452856064285708</v>
      </c>
    </row>
    <row r="42" spans="1:25" ht="11.25" customHeight="1">
      <c r="A42" s="136"/>
      <c r="B42" s="138"/>
      <c r="C42" s="138"/>
      <c r="D42" s="138"/>
      <c r="E42" s="138"/>
      <c r="F42" s="138"/>
      <c r="G42" s="138"/>
      <c r="H42" s="138"/>
      <c r="I42" s="138"/>
      <c r="P42" s="657">
        <v>39</v>
      </c>
      <c r="Q42" s="782">
        <v>7.621428489714285</v>
      </c>
      <c r="R42" s="782">
        <v>4.6500000000000004</v>
      </c>
      <c r="S42" s="782">
        <v>42.24</v>
      </c>
      <c r="T42" s="782">
        <v>39.39</v>
      </c>
      <c r="U42" s="782">
        <v>7.68</v>
      </c>
      <c r="V42" s="782">
        <v>11.33</v>
      </c>
      <c r="W42" s="782">
        <v>1.64</v>
      </c>
      <c r="X42" s="782">
        <v>37.200000000000003</v>
      </c>
      <c r="Y42" s="782">
        <v>7.4194285528571422</v>
      </c>
    </row>
    <row r="43" spans="1:25" ht="11.25" customHeight="1">
      <c r="A43" s="136"/>
      <c r="B43" s="138"/>
      <c r="C43" s="138"/>
      <c r="D43" s="138"/>
      <c r="E43" s="138"/>
      <c r="F43" s="138"/>
      <c r="G43" s="138"/>
      <c r="H43" s="138"/>
      <c r="I43" s="138"/>
      <c r="O43" s="283">
        <v>40</v>
      </c>
      <c r="P43" s="657">
        <v>40</v>
      </c>
      <c r="Q43" s="782">
        <v>7.621428489714285</v>
      </c>
      <c r="R43" s="782">
        <v>5.128571373571428</v>
      </c>
      <c r="S43" s="782">
        <v>38.906285422857138</v>
      </c>
      <c r="T43" s="782">
        <v>41.34000069857143</v>
      </c>
      <c r="U43" s="782">
        <v>9.112857137571428</v>
      </c>
      <c r="V43" s="782">
        <v>11.565001485714285</v>
      </c>
      <c r="W43" s="782">
        <v>1.8221428395714285</v>
      </c>
      <c r="X43" s="782">
        <v>42.197143011428572</v>
      </c>
      <c r="Y43" s="782">
        <v>9.6005713597142837</v>
      </c>
    </row>
    <row r="44" spans="1:25" ht="11.25" customHeight="1">
      <c r="A44" s="136"/>
      <c r="B44" s="138"/>
      <c r="C44" s="138"/>
      <c r="D44" s="138"/>
      <c r="E44" s="138"/>
      <c r="F44" s="138"/>
      <c r="G44" s="138"/>
      <c r="H44" s="138"/>
      <c r="I44" s="138"/>
      <c r="P44" s="657">
        <v>41</v>
      </c>
      <c r="Q44" s="782">
        <v>7.2698572022574259</v>
      </c>
      <c r="R44" s="782">
        <v>4.8594285079410948</v>
      </c>
      <c r="S44" s="782">
        <v>42.923713956560341</v>
      </c>
      <c r="T44" s="782">
        <v>56.607142857142847</v>
      </c>
      <c r="U44" s="782">
        <v>11.170142854962995</v>
      </c>
      <c r="V44" s="782">
        <v>12.740178653172041</v>
      </c>
      <c r="W44" s="782">
        <v>1.7041428429739784</v>
      </c>
      <c r="X44" s="782">
        <v>49.475714547293492</v>
      </c>
      <c r="Y44" s="782">
        <v>10.943285942077617</v>
      </c>
    </row>
    <row r="45" spans="1:25" ht="11.25" customHeight="1">
      <c r="A45" s="136"/>
      <c r="B45" s="138"/>
      <c r="C45" s="138"/>
      <c r="D45" s="138"/>
      <c r="E45" s="138"/>
      <c r="F45" s="138"/>
      <c r="G45" s="138"/>
      <c r="H45" s="138"/>
      <c r="I45" s="138"/>
      <c r="P45" s="657">
        <v>42</v>
      </c>
      <c r="Q45" s="782">
        <v>6.2732856614249064</v>
      </c>
      <c r="R45" s="782">
        <v>4.00314286776951</v>
      </c>
      <c r="S45" s="782">
        <v>73.976001194545148</v>
      </c>
      <c r="T45" s="782">
        <v>89.232285635811792</v>
      </c>
      <c r="U45" s="782">
        <v>19.282285690307582</v>
      </c>
      <c r="V45" s="782">
        <v>11.792381422860229</v>
      </c>
      <c r="W45" s="782">
        <v>1.5524285691124997</v>
      </c>
      <c r="X45" s="782">
        <v>72.350713457379968</v>
      </c>
      <c r="Y45" s="782">
        <v>17.972571236746628</v>
      </c>
    </row>
    <row r="46" spans="1:25" ht="11.25" customHeight="1">
      <c r="A46" s="136"/>
      <c r="B46" s="138"/>
      <c r="C46" s="138"/>
      <c r="D46" s="138"/>
      <c r="E46" s="138"/>
      <c r="F46" s="138"/>
      <c r="G46" s="138"/>
      <c r="H46" s="138"/>
      <c r="I46" s="138"/>
      <c r="P46" s="657">
        <v>43</v>
      </c>
      <c r="Q46" s="782">
        <v>8.3208571161542526</v>
      </c>
      <c r="R46" s="782">
        <v>6.0481427737644662</v>
      </c>
      <c r="S46" s="782">
        <v>97.234427315848038</v>
      </c>
      <c r="T46" s="782">
        <v>125.70828465052978</v>
      </c>
      <c r="U46" s="782">
        <v>26.382142475673081</v>
      </c>
      <c r="V46" s="782">
        <v>12.0416071755545</v>
      </c>
      <c r="W46" s="782">
        <v>1.585428544453207</v>
      </c>
      <c r="X46" s="782">
        <v>82.484284537179079</v>
      </c>
      <c r="Y46" s="782">
        <v>19.552571432931028</v>
      </c>
    </row>
    <row r="47" spans="1:25" ht="11.25" customHeight="1">
      <c r="A47" s="136"/>
      <c r="B47" s="138"/>
      <c r="C47" s="138"/>
      <c r="D47" s="138"/>
      <c r="E47" s="138"/>
      <c r="F47" s="138"/>
      <c r="G47" s="138"/>
      <c r="H47" s="138"/>
      <c r="I47" s="138"/>
      <c r="P47" s="657">
        <v>44</v>
      </c>
      <c r="Q47" s="782">
        <v>9.2941429947142868</v>
      </c>
      <c r="R47" s="782">
        <v>7.6531428608571428</v>
      </c>
      <c r="S47" s="782">
        <v>120.62971387142855</v>
      </c>
      <c r="T47" s="782">
        <v>157.60714285714286</v>
      </c>
      <c r="U47" s="782">
        <v>33.364427840000005</v>
      </c>
      <c r="V47" s="782">
        <v>12.188929967142856</v>
      </c>
      <c r="W47" s="782">
        <v>1.6864285471428571</v>
      </c>
      <c r="X47" s="782">
        <v>110.40928649571428</v>
      </c>
      <c r="Y47" s="782">
        <v>33.081571032857141</v>
      </c>
    </row>
    <row r="48" spans="1:25">
      <c r="A48" s="136"/>
      <c r="B48" s="138"/>
      <c r="C48" s="138"/>
      <c r="D48" s="138"/>
      <c r="E48" s="138"/>
      <c r="F48" s="138"/>
      <c r="G48" s="138"/>
      <c r="H48" s="138"/>
      <c r="I48" s="138"/>
      <c r="P48" s="657">
        <v>45</v>
      </c>
      <c r="Q48" s="782">
        <v>8.6642857274285721</v>
      </c>
      <c r="R48" s="782">
        <v>4.2061428341428568</v>
      </c>
      <c r="S48" s="782">
        <v>125.43157086857143</v>
      </c>
      <c r="T48" s="782">
        <v>105.63685608857143</v>
      </c>
      <c r="U48" s="782">
        <v>18.735571588571428</v>
      </c>
      <c r="V48" s="782">
        <v>13</v>
      </c>
      <c r="W48" s="782">
        <v>1.7397142818571427</v>
      </c>
      <c r="X48" s="782">
        <v>114.14357212285714</v>
      </c>
      <c r="Y48" s="782">
        <v>39.80185754</v>
      </c>
    </row>
    <row r="49" spans="1:25">
      <c r="A49" s="136"/>
      <c r="B49" s="138"/>
      <c r="C49" s="138"/>
      <c r="D49" s="138"/>
      <c r="E49" s="138"/>
      <c r="F49" s="138"/>
      <c r="G49" s="138"/>
      <c r="H49" s="138"/>
      <c r="I49" s="138"/>
      <c r="P49" s="657">
        <v>46</v>
      </c>
      <c r="Q49" s="782">
        <v>8.5371428571428574</v>
      </c>
      <c r="R49" s="782">
        <v>5.9</v>
      </c>
      <c r="S49" s="782">
        <v>78.757142857142853</v>
      </c>
      <c r="T49" s="782">
        <v>79.304285714285712</v>
      </c>
      <c r="U49" s="782">
        <v>13.16</v>
      </c>
      <c r="V49" s="782">
        <v>13.001428571428571</v>
      </c>
      <c r="W49" s="782">
        <v>1.5</v>
      </c>
      <c r="X49" s="782">
        <v>93.457142857142841</v>
      </c>
      <c r="Y49" s="782">
        <v>37.212857142857146</v>
      </c>
    </row>
    <row r="50" spans="1:25">
      <c r="A50" s="136"/>
      <c r="B50" s="138"/>
      <c r="C50" s="138"/>
      <c r="D50" s="138"/>
      <c r="E50" s="138"/>
      <c r="F50" s="138"/>
      <c r="G50" s="138"/>
      <c r="H50" s="138"/>
      <c r="I50" s="138"/>
      <c r="P50" s="657">
        <v>47</v>
      </c>
      <c r="Q50" s="782">
        <v>9.0094285692857135</v>
      </c>
      <c r="R50" s="782">
        <v>7.1015714912857133</v>
      </c>
      <c r="S50" s="782">
        <v>88.111712864285735</v>
      </c>
      <c r="T50" s="782">
        <v>74.684428622857141</v>
      </c>
      <c r="U50" s="782">
        <v>13.483142988571428</v>
      </c>
      <c r="V50" s="782">
        <v>12.142405645714286</v>
      </c>
      <c r="W50" s="782">
        <v>1.5</v>
      </c>
      <c r="X50" s="782">
        <v>104.10500007571429</v>
      </c>
      <c r="Y50" s="782">
        <v>35.055428368571434</v>
      </c>
    </row>
    <row r="51" spans="1:25">
      <c r="A51" s="136"/>
      <c r="B51" s="138"/>
      <c r="C51" s="138"/>
      <c r="D51" s="138"/>
      <c r="E51" s="138"/>
      <c r="F51" s="138"/>
      <c r="G51" s="138"/>
      <c r="H51" s="138"/>
      <c r="I51" s="138"/>
      <c r="O51" s="283">
        <v>48</v>
      </c>
      <c r="P51" s="657">
        <v>48</v>
      </c>
      <c r="Q51" s="782">
        <v>8.5042856081428582</v>
      </c>
      <c r="R51" s="782">
        <v>4.3617142950000005</v>
      </c>
      <c r="S51" s="782">
        <v>80.151286534285717</v>
      </c>
      <c r="T51" s="782">
        <v>95.303570342857142</v>
      </c>
      <c r="U51" s="782">
        <v>12.543571337142859</v>
      </c>
      <c r="V51" s="782">
        <v>11.975262778571429</v>
      </c>
      <c r="W51" s="782">
        <v>1.5</v>
      </c>
      <c r="X51" s="782">
        <v>91.569999695714287</v>
      </c>
      <c r="Y51" s="782">
        <v>28.370000294285713</v>
      </c>
    </row>
    <row r="52" spans="1:25">
      <c r="A52" s="136"/>
      <c r="B52" s="138"/>
      <c r="C52" s="138"/>
      <c r="D52" s="138"/>
      <c r="E52" s="138"/>
      <c r="F52" s="138"/>
      <c r="G52" s="138"/>
      <c r="H52" s="138"/>
      <c r="I52" s="138"/>
      <c r="P52" s="657">
        <v>49</v>
      </c>
      <c r="Q52" s="782">
        <v>8.27</v>
      </c>
      <c r="R52" s="782">
        <v>6.9099999999999993</v>
      </c>
      <c r="S52" s="782">
        <v>66.555714285714288</v>
      </c>
      <c r="T52" s="782">
        <v>54.31</v>
      </c>
      <c r="U52" s="782">
        <v>8.99</v>
      </c>
      <c r="V52" s="782">
        <v>12.26</v>
      </c>
      <c r="W52" s="782">
        <v>1.5</v>
      </c>
      <c r="X52" s="782">
        <v>62.974285714285706</v>
      </c>
      <c r="Y52" s="782">
        <v>22.919999999999998</v>
      </c>
    </row>
    <row r="53" spans="1:25">
      <c r="A53" s="136"/>
      <c r="B53" s="138"/>
      <c r="C53" s="138"/>
      <c r="D53" s="138"/>
      <c r="E53" s="138"/>
      <c r="F53" s="138"/>
      <c r="G53" s="138"/>
      <c r="H53" s="138"/>
      <c r="I53" s="138"/>
      <c r="P53" s="657">
        <v>50</v>
      </c>
      <c r="Q53" s="782">
        <v>8.1765714374285707</v>
      </c>
      <c r="R53" s="782">
        <v>6.5639999597142857</v>
      </c>
      <c r="S53" s="782">
        <v>61.602715082857152</v>
      </c>
      <c r="T53" s="782">
        <v>52.47614288285714</v>
      </c>
      <c r="U53" s="782">
        <v>10.909571511285714</v>
      </c>
      <c r="V53" s="782">
        <v>13.001428604285715</v>
      </c>
      <c r="W53" s="782">
        <v>1.457142846857143</v>
      </c>
      <c r="X53" s="782">
        <v>52.244286674285718</v>
      </c>
      <c r="Y53" s="782">
        <v>17.695714271428571</v>
      </c>
    </row>
    <row r="54" spans="1:25">
      <c r="A54" s="136"/>
      <c r="B54" s="138"/>
      <c r="C54" s="138"/>
      <c r="D54" s="138"/>
      <c r="E54" s="138"/>
      <c r="F54" s="138"/>
      <c r="G54" s="138"/>
      <c r="H54" s="138"/>
      <c r="I54" s="138"/>
      <c r="P54" s="657">
        <v>51</v>
      </c>
      <c r="Q54" s="782">
        <v>10.342857142857142</v>
      </c>
      <c r="R54" s="782">
        <v>7.3285714285714283</v>
      </c>
      <c r="S54" s="782">
        <v>53.9</v>
      </c>
      <c r="T54" s="782">
        <v>126.14285714285714</v>
      </c>
      <c r="U54" s="782">
        <v>16.8</v>
      </c>
      <c r="V54" s="782">
        <v>12.257142857142856</v>
      </c>
      <c r="W54" s="782">
        <v>1.3857142857142859</v>
      </c>
      <c r="X54" s="782">
        <v>86.528571428571439</v>
      </c>
      <c r="Y54" s="782">
        <v>33.51428571428572</v>
      </c>
    </row>
    <row r="55" spans="1:25">
      <c r="A55" s="136"/>
      <c r="B55" s="138"/>
      <c r="C55" s="138"/>
      <c r="D55" s="138"/>
      <c r="E55" s="138"/>
      <c r="F55" s="138"/>
      <c r="G55" s="138"/>
      <c r="H55" s="138"/>
      <c r="I55" s="138"/>
      <c r="O55" s="283">
        <v>52</v>
      </c>
      <c r="P55" s="657">
        <v>52</v>
      </c>
      <c r="Q55" s="782">
        <v>10.661999840142856</v>
      </c>
      <c r="R55" s="782">
        <v>7.4820000789999996</v>
      </c>
      <c r="S55" s="782">
        <v>57.504999978571433</v>
      </c>
      <c r="T55" s="782">
        <v>100.38085719714286</v>
      </c>
      <c r="U55" s="782">
        <v>16.435142652857145</v>
      </c>
      <c r="V55" s="782">
        <v>12.222315514285714</v>
      </c>
      <c r="W55" s="782">
        <v>1.2999999520000001</v>
      </c>
      <c r="X55" s="782">
        <v>103.53357153142858</v>
      </c>
      <c r="Y55" s="782">
        <v>52.753143308571431</v>
      </c>
    </row>
    <row r="56" spans="1:25">
      <c r="A56" s="136"/>
      <c r="B56" s="138"/>
      <c r="C56" s="138"/>
      <c r="D56" s="138"/>
      <c r="E56" s="138"/>
      <c r="F56" s="138"/>
      <c r="G56" s="138"/>
      <c r="H56" s="138"/>
      <c r="I56" s="138"/>
      <c r="N56" s="283">
        <v>2019</v>
      </c>
      <c r="O56" s="283">
        <v>1</v>
      </c>
      <c r="P56" s="657">
        <v>1</v>
      </c>
      <c r="Q56" s="782">
        <v>8.992857251428573</v>
      </c>
      <c r="R56" s="782">
        <v>4.4642857141428571</v>
      </c>
      <c r="S56" s="782">
        <v>57.514999934285704</v>
      </c>
      <c r="T56" s="782">
        <v>79.871427261428579</v>
      </c>
      <c r="U56" s="782">
        <v>13.115714484285716</v>
      </c>
      <c r="V56" s="782">
        <v>11.571904317142856</v>
      </c>
      <c r="W56" s="782">
        <v>1.2999999520000001</v>
      </c>
      <c r="X56" s="782">
        <v>121.75642612857142</v>
      </c>
      <c r="Y56" s="782">
        <v>64.398429325714275</v>
      </c>
    </row>
    <row r="57" spans="1:25">
      <c r="A57" s="136"/>
      <c r="B57" s="138"/>
      <c r="C57" s="138"/>
      <c r="D57" s="138"/>
      <c r="E57" s="138"/>
      <c r="F57" s="138"/>
      <c r="G57" s="138"/>
      <c r="H57" s="138"/>
      <c r="I57" s="138"/>
      <c r="P57" s="657">
        <v>2</v>
      </c>
      <c r="Q57" s="782">
        <v>7.4904285157142843</v>
      </c>
      <c r="R57" s="782">
        <v>3.3685714177142856</v>
      </c>
      <c r="S57" s="782">
        <v>63.363856724285711</v>
      </c>
      <c r="T57" s="782">
        <v>84.184571402857145</v>
      </c>
      <c r="U57" s="782">
        <v>16.11014284285714</v>
      </c>
      <c r="V57" s="782">
        <v>11.570298602857141</v>
      </c>
      <c r="W57" s="782">
        <v>1.2999999520000001</v>
      </c>
      <c r="X57" s="782">
        <v>180.32999965714288</v>
      </c>
      <c r="Y57" s="782">
        <v>70.997858864285703</v>
      </c>
    </row>
    <row r="58" spans="1:25">
      <c r="A58" s="136"/>
      <c r="B58" s="138"/>
      <c r="C58" s="138"/>
      <c r="D58" s="138"/>
      <c r="E58" s="138"/>
      <c r="F58" s="138"/>
      <c r="G58" s="138"/>
      <c r="H58" s="138"/>
      <c r="I58" s="138"/>
      <c r="P58" s="657">
        <v>3</v>
      </c>
      <c r="Q58" s="782">
        <v>14.36</v>
      </c>
      <c r="R58" s="782">
        <v>10.74</v>
      </c>
      <c r="S58" s="782">
        <v>80.75</v>
      </c>
      <c r="T58" s="782">
        <v>149.30000000000001</v>
      </c>
      <c r="U58" s="782">
        <v>29.23</v>
      </c>
      <c r="V58" s="782">
        <v>11.28</v>
      </c>
      <c r="W58" s="782">
        <v>1.33</v>
      </c>
      <c r="X58" s="782">
        <v>167.22</v>
      </c>
      <c r="Y58" s="782">
        <v>68.83</v>
      </c>
    </row>
    <row r="59" spans="1:25">
      <c r="A59" s="136"/>
      <c r="B59" s="138"/>
      <c r="C59" s="138"/>
      <c r="D59" s="138"/>
      <c r="E59" s="138"/>
      <c r="F59" s="138"/>
      <c r="G59" s="138"/>
      <c r="H59" s="138"/>
      <c r="I59" s="138"/>
      <c r="P59" s="657">
        <v>4</v>
      </c>
      <c r="Q59" s="782">
        <v>17.131428719999999</v>
      </c>
      <c r="R59" s="782">
        <v>11.155714580142858</v>
      </c>
      <c r="S59" s="782">
        <v>85.689570837142853</v>
      </c>
      <c r="T59" s="782">
        <v>168.80999974285714</v>
      </c>
      <c r="U59" s="782">
        <v>36.200000218571425</v>
      </c>
      <c r="V59" s="782">
        <v>11.843988554285716</v>
      </c>
      <c r="W59" s="782">
        <v>3.0287143159999999</v>
      </c>
      <c r="X59" s="782">
        <v>185.51500375714286</v>
      </c>
      <c r="Y59" s="782">
        <v>70.089428494285713</v>
      </c>
    </row>
    <row r="60" spans="1:25">
      <c r="A60" s="136"/>
      <c r="B60" s="138"/>
      <c r="C60" s="138"/>
      <c r="D60" s="138"/>
      <c r="E60" s="138"/>
      <c r="F60" s="138"/>
      <c r="G60" s="138"/>
      <c r="H60" s="138"/>
      <c r="I60" s="138"/>
      <c r="P60" s="657">
        <v>5</v>
      </c>
      <c r="Q60" s="782">
        <v>30.592286245714288</v>
      </c>
      <c r="R60" s="782">
        <v>16.463000024285716</v>
      </c>
      <c r="S60" s="782">
        <v>416.48700821428571</v>
      </c>
      <c r="T60" s="782">
        <v>195.24999782857142</v>
      </c>
      <c r="U60" s="782">
        <v>36.703999928571427</v>
      </c>
      <c r="V60" s="782">
        <v>12.496724401428571</v>
      </c>
      <c r="W60" s="782">
        <v>6.6928571292857146</v>
      </c>
      <c r="X60" s="782">
        <v>199.03571430000002</v>
      </c>
      <c r="Y60" s="782">
        <v>74.655428748571438</v>
      </c>
    </row>
    <row r="61" spans="1:25">
      <c r="A61" s="136"/>
      <c r="B61" s="138"/>
      <c r="C61" s="138"/>
      <c r="D61" s="138"/>
      <c r="E61" s="138"/>
      <c r="F61" s="138"/>
      <c r="G61" s="138"/>
      <c r="H61" s="138"/>
      <c r="I61" s="138"/>
      <c r="P61" s="657">
        <v>6</v>
      </c>
      <c r="Q61" s="782">
        <v>20.372857142857146</v>
      </c>
      <c r="R61" s="782">
        <v>17.05857142857143</v>
      </c>
      <c r="S61" s="782">
        <v>426.67142857142863</v>
      </c>
      <c r="T61" s="782">
        <v>265.28000000000003</v>
      </c>
      <c r="U61" s="782">
        <v>51.29</v>
      </c>
      <c r="V61" s="782">
        <v>12.744285714285715</v>
      </c>
      <c r="W61" s="782">
        <v>14.464285714285714</v>
      </c>
      <c r="X61" s="782">
        <v>338.89857142857142</v>
      </c>
      <c r="Y61" s="782">
        <v>117.82857142857142</v>
      </c>
    </row>
    <row r="62" spans="1:25">
      <c r="A62" s="136"/>
      <c r="B62" s="138"/>
      <c r="C62" s="138"/>
      <c r="D62" s="138"/>
      <c r="E62" s="138"/>
      <c r="F62" s="138"/>
      <c r="G62" s="138"/>
      <c r="H62" s="138"/>
      <c r="I62" s="138"/>
      <c r="P62" s="657">
        <v>7</v>
      </c>
      <c r="Q62" s="782">
        <v>28.837571554285717</v>
      </c>
      <c r="R62" s="782">
        <v>18.065285818571429</v>
      </c>
      <c r="S62" s="782">
        <v>581.62514822857145</v>
      </c>
      <c r="T62" s="782">
        <v>230.7322888857143</v>
      </c>
      <c r="U62" s="782">
        <v>46.224000658571427</v>
      </c>
      <c r="V62" s="782">
        <v>23.841369902857146</v>
      </c>
      <c r="W62" s="782">
        <v>21.059571402857141</v>
      </c>
      <c r="X62" s="782">
        <v>288.0957205571429</v>
      </c>
      <c r="Y62" s="782">
        <v>118.07871352857144</v>
      </c>
    </row>
    <row r="63" spans="1:25">
      <c r="A63" s="136"/>
      <c r="B63" s="138"/>
      <c r="C63" s="138"/>
      <c r="D63" s="138"/>
      <c r="E63" s="138"/>
      <c r="F63" s="138"/>
      <c r="G63" s="138"/>
      <c r="H63" s="138"/>
      <c r="I63" s="138"/>
      <c r="O63" s="283">
        <v>8</v>
      </c>
      <c r="P63" s="657">
        <v>8</v>
      </c>
      <c r="Q63" s="782">
        <v>20.077857700000003</v>
      </c>
      <c r="R63" s="782">
        <v>14.531571660571432</v>
      </c>
      <c r="S63" s="782">
        <v>439.74099729999995</v>
      </c>
      <c r="T63" s="782">
        <v>219.37485614285717</v>
      </c>
      <c r="U63" s="782">
        <v>42.94585745571429</v>
      </c>
      <c r="V63" s="782">
        <v>23.894881112857146</v>
      </c>
      <c r="W63" s="782">
        <v>6.8928571428571432</v>
      </c>
      <c r="X63" s="782">
        <v>411.75142995714288</v>
      </c>
      <c r="Y63" s="782">
        <v>98.32</v>
      </c>
    </row>
    <row r="64" spans="1:25" ht="6" customHeight="1">
      <c r="A64" s="136"/>
      <c r="B64" s="138"/>
      <c r="C64" s="138"/>
      <c r="D64" s="138"/>
      <c r="E64" s="138"/>
      <c r="F64" s="138"/>
      <c r="G64" s="138"/>
      <c r="H64" s="138"/>
      <c r="I64" s="138"/>
      <c r="P64" s="657">
        <v>9</v>
      </c>
      <c r="Q64" s="782">
        <v>26.317999977142858</v>
      </c>
      <c r="R64" s="782">
        <v>19.520428521428574</v>
      </c>
      <c r="S64" s="782">
        <v>316.26999772857147</v>
      </c>
      <c r="T64" s="782">
        <v>191.17842539999998</v>
      </c>
      <c r="U64" s="782">
        <v>34.696428571428569</v>
      </c>
      <c r="V64" s="782">
        <v>22.406962801428573</v>
      </c>
      <c r="W64" s="782">
        <v>3.3807143142857146</v>
      </c>
      <c r="X64" s="782">
        <v>249.46285358571427</v>
      </c>
      <c r="Y64" s="782">
        <v>120.90099988571428</v>
      </c>
    </row>
    <row r="65" spans="1:25" ht="24.75" customHeight="1">
      <c r="A65" s="862" t="s">
        <v>775</v>
      </c>
      <c r="B65" s="862"/>
      <c r="C65" s="862"/>
      <c r="D65" s="862"/>
      <c r="E65" s="862"/>
      <c r="F65" s="862"/>
      <c r="G65" s="862"/>
      <c r="H65" s="862"/>
      <c r="I65" s="862"/>
      <c r="J65" s="862"/>
      <c r="K65" s="862"/>
      <c r="L65" s="862"/>
      <c r="P65" s="657">
        <v>10</v>
      </c>
      <c r="Q65" s="782">
        <v>27.959571565714288</v>
      </c>
      <c r="R65" s="782">
        <v>20.831714628571426</v>
      </c>
      <c r="S65" s="782">
        <v>326.63642664285715</v>
      </c>
      <c r="T65" s="782">
        <v>184.08928571428572</v>
      </c>
      <c r="U65" s="782">
        <v>38.680999754285715</v>
      </c>
      <c r="V65" s="782">
        <v>23.828572680000001</v>
      </c>
      <c r="W65" s="782">
        <v>2.3840000118571427</v>
      </c>
      <c r="X65" s="782">
        <v>225.10000174285716</v>
      </c>
      <c r="Y65" s="782">
        <v>78.177285328571429</v>
      </c>
    </row>
    <row r="66" spans="1:25" ht="20.25" customHeight="1">
      <c r="P66" s="657">
        <v>11</v>
      </c>
      <c r="Q66" s="782">
        <v>27.959571565714288</v>
      </c>
      <c r="R66" s="782">
        <v>22.247142927987216</v>
      </c>
      <c r="S66" s="782">
        <v>416.08099801199745</v>
      </c>
      <c r="T66" s="782">
        <v>226.88085501534573</v>
      </c>
      <c r="U66" s="782">
        <v>42.633285522460888</v>
      </c>
      <c r="V66" s="782">
        <v>23.809881482805473</v>
      </c>
      <c r="W66" s="782">
        <v>1.9291428668158341</v>
      </c>
      <c r="X66" s="782">
        <v>217.45642525809117</v>
      </c>
      <c r="Y66" s="782">
        <v>44.638999938964801</v>
      </c>
    </row>
    <row r="67" spans="1:25">
      <c r="P67" s="657">
        <v>12</v>
      </c>
      <c r="Q67" s="782">
        <v>28.476714270455457</v>
      </c>
      <c r="R67" s="782">
        <v>21.707857131428572</v>
      </c>
      <c r="S67" s="782">
        <v>394.13957431428571</v>
      </c>
      <c r="T67" s="782">
        <v>203.44642857142858</v>
      </c>
      <c r="U67" s="782">
        <v>43.529285431428569</v>
      </c>
      <c r="V67" s="782">
        <v>19.572964258571432</v>
      </c>
      <c r="W67" s="782">
        <v>1.7968571012857144</v>
      </c>
      <c r="X67" s="782">
        <v>327.82142857142861</v>
      </c>
      <c r="Y67" s="782">
        <v>98.4</v>
      </c>
    </row>
    <row r="68" spans="1:25">
      <c r="P68" s="657">
        <v>13</v>
      </c>
      <c r="Q68" s="782">
        <v>24.844714028571435</v>
      </c>
      <c r="R68" s="782">
        <v>20.569142751428576</v>
      </c>
      <c r="S68" s="782">
        <v>522.42285592857138</v>
      </c>
      <c r="T68" s="782">
        <v>225.26185825714285</v>
      </c>
      <c r="U68" s="782">
        <v>57.974427901428569</v>
      </c>
      <c r="V68" s="782">
        <v>12.582738467142859</v>
      </c>
      <c r="W68" s="782">
        <v>1.6904285634285714</v>
      </c>
      <c r="X68" s="782">
        <v>339.04356602857143</v>
      </c>
      <c r="Y68" s="782">
        <v>92.103571201428579</v>
      </c>
    </row>
    <row r="69" spans="1:25">
      <c r="P69" s="657">
        <v>14</v>
      </c>
      <c r="Q69" s="782">
        <v>29.483285902857141</v>
      </c>
      <c r="R69" s="782">
        <v>18.767857142857142</v>
      </c>
      <c r="S69" s="782">
        <v>316.33943394285717</v>
      </c>
      <c r="T69" s="782">
        <v>152.47643277142856</v>
      </c>
      <c r="U69" s="782">
        <v>55.119428907142868</v>
      </c>
      <c r="V69" s="782">
        <v>21.303751674285714</v>
      </c>
      <c r="W69" s="782">
        <v>1.6808571647142858</v>
      </c>
      <c r="X69" s="782">
        <v>250.08571298571431</v>
      </c>
      <c r="Y69" s="782">
        <v>65.665856497142855</v>
      </c>
    </row>
    <row r="70" spans="1:25">
      <c r="P70" s="657">
        <v>15</v>
      </c>
      <c r="Q70" s="782">
        <v>20.040428705714284</v>
      </c>
      <c r="R70" s="782">
        <v>14.275999887714287</v>
      </c>
      <c r="S70" s="782">
        <v>168.45457024285716</v>
      </c>
      <c r="T70" s="782">
        <v>98.160714291428576</v>
      </c>
      <c r="U70" s="782">
        <v>27.713714872857139</v>
      </c>
      <c r="V70" s="782">
        <v>17.810774395714287</v>
      </c>
      <c r="W70" s="782">
        <v>1.7205714498571432</v>
      </c>
      <c r="X70" s="782">
        <v>148.48785617142858</v>
      </c>
      <c r="Y70" s="782">
        <v>49.633285522857136</v>
      </c>
    </row>
    <row r="71" spans="1:25">
      <c r="O71" s="283">
        <v>16</v>
      </c>
      <c r="P71" s="657">
        <v>16</v>
      </c>
      <c r="Q71" s="782">
        <v>16.072142737142858</v>
      </c>
      <c r="R71" s="782">
        <v>10.180143014285713</v>
      </c>
      <c r="S71" s="782">
        <v>131.80142647142856</v>
      </c>
      <c r="T71" s="782">
        <v>98.279714314285712</v>
      </c>
      <c r="U71" s="782">
        <v>22.869143077142859</v>
      </c>
      <c r="V71" s="782">
        <v>12.210951395714286</v>
      </c>
      <c r="W71" s="782">
        <v>1.789857131857143</v>
      </c>
      <c r="X71" s="782">
        <v>105.47928511571429</v>
      </c>
      <c r="Y71" s="782">
        <v>31.291000095714285</v>
      </c>
    </row>
    <row r="72" spans="1:25">
      <c r="P72" s="657">
        <v>17</v>
      </c>
      <c r="Q72" s="782">
        <v>15.383999960000001</v>
      </c>
      <c r="R72" s="782">
        <v>12.121571608857142</v>
      </c>
      <c r="S72" s="782">
        <v>143.84128789999997</v>
      </c>
      <c r="T72" s="782">
        <v>83.547571454285716</v>
      </c>
      <c r="U72" s="782">
        <v>20.273857388571425</v>
      </c>
      <c r="V72" s="782">
        <v>12.949641501428573</v>
      </c>
      <c r="W72" s="782">
        <v>1.6648571664285714</v>
      </c>
      <c r="X72" s="782">
        <v>103.81928579571429</v>
      </c>
      <c r="Y72" s="782">
        <v>25.921857015714284</v>
      </c>
    </row>
    <row r="73" spans="1:25">
      <c r="P73" s="657">
        <v>18</v>
      </c>
      <c r="Q73" s="782">
        <v>16.026142665714286</v>
      </c>
      <c r="R73" s="782">
        <v>11.996285711571428</v>
      </c>
      <c r="S73" s="782">
        <v>111.12314277285714</v>
      </c>
      <c r="T73" s="782">
        <v>74.392857142857139</v>
      </c>
      <c r="U73" s="782">
        <v>18.103142875714287</v>
      </c>
      <c r="V73" s="782">
        <v>11.493274145714285</v>
      </c>
      <c r="W73" s="782">
        <v>1.55</v>
      </c>
      <c r="X73" s="782">
        <v>91.532855442857141</v>
      </c>
      <c r="Y73" s="782">
        <v>22.190428595714284</v>
      </c>
    </row>
    <row r="74" spans="1:25">
      <c r="P74" s="657">
        <v>19</v>
      </c>
      <c r="Q74" s="782">
        <v>14.769714355714287</v>
      </c>
      <c r="R74" s="782">
        <v>10.123285769857144</v>
      </c>
      <c r="S74" s="782">
        <v>89.41828482428572</v>
      </c>
      <c r="T74" s="782">
        <v>60.613000051428571</v>
      </c>
      <c r="U74" s="782">
        <v>15.728999954285714</v>
      </c>
      <c r="V74" s="782">
        <v>10.883738517142858</v>
      </c>
      <c r="W74" s="782">
        <v>1.5914285865714286</v>
      </c>
      <c r="X74" s="782">
        <v>82.45500183</v>
      </c>
      <c r="Y74" s="782">
        <v>20.991285870000006</v>
      </c>
    </row>
    <row r="75" spans="1:25">
      <c r="P75" s="657">
        <v>20</v>
      </c>
      <c r="Q75" s="782">
        <v>13.81242861</v>
      </c>
      <c r="R75" s="782">
        <v>9.3731427190000005</v>
      </c>
      <c r="S75" s="782">
        <v>79.212427410000004</v>
      </c>
      <c r="T75" s="782">
        <v>72.321428569999995</v>
      </c>
      <c r="U75" s="782">
        <v>20.647571429999999</v>
      </c>
      <c r="V75" s="782">
        <v>11.153748650000001</v>
      </c>
      <c r="W75" s="782">
        <v>1.5371428389999999</v>
      </c>
      <c r="X75" s="782">
        <v>76.857142859999996</v>
      </c>
      <c r="Y75" s="782">
        <v>23.085714070000002</v>
      </c>
    </row>
    <row r="76" spans="1:25">
      <c r="P76" s="657">
        <v>21</v>
      </c>
      <c r="Q76" s="782">
        <v>12.849714414285714</v>
      </c>
      <c r="R76" s="782">
        <v>7.085428442285715</v>
      </c>
      <c r="S76" s="782">
        <v>62.717000688571432</v>
      </c>
      <c r="T76" s="782">
        <v>52.565571377142859</v>
      </c>
      <c r="U76" s="782">
        <v>14.46171447</v>
      </c>
      <c r="V76" s="782">
        <v>12</v>
      </c>
      <c r="W76" s="782">
        <v>1.5128571304285714</v>
      </c>
      <c r="X76" s="782">
        <v>58.057856968571436</v>
      </c>
      <c r="Y76" s="782">
        <v>17.858285902857144</v>
      </c>
    </row>
    <row r="77" spans="1:25">
      <c r="P77" s="657">
        <v>22</v>
      </c>
      <c r="Q77" s="782">
        <v>12.105428559999998</v>
      </c>
      <c r="R77" s="782">
        <v>7.3308571058571435</v>
      </c>
      <c r="S77" s="782">
        <v>41.633143151428598</v>
      </c>
      <c r="T77" s="782">
        <v>49.261999948571429</v>
      </c>
      <c r="U77" s="782">
        <v>12.621714454285712</v>
      </c>
      <c r="V77" s="782">
        <v>10.442797251571431</v>
      </c>
      <c r="W77" s="782">
        <v>1.5</v>
      </c>
      <c r="X77" s="782">
        <v>51.520714895714285</v>
      </c>
      <c r="Y77" s="782">
        <v>15.324571202857143</v>
      </c>
    </row>
    <row r="78" spans="1:25">
      <c r="P78" s="657">
        <v>23</v>
      </c>
      <c r="Q78" s="782">
        <v>11.272714207142856</v>
      </c>
      <c r="R78" s="782">
        <v>7.7242857718571427</v>
      </c>
      <c r="S78" s="782">
        <v>41.633143151428598</v>
      </c>
      <c r="T78" s="782">
        <v>40.500142779999997</v>
      </c>
      <c r="U78" s="782">
        <v>10.571857179142857</v>
      </c>
      <c r="V78" s="782">
        <v>10.979225701428572</v>
      </c>
      <c r="W78" s="782">
        <v>1.5</v>
      </c>
      <c r="X78" s="782">
        <v>46.520714351428573</v>
      </c>
      <c r="Y78" s="782">
        <v>13.868142808571431</v>
      </c>
    </row>
    <row r="79" spans="1:25">
      <c r="P79" s="657">
        <v>24</v>
      </c>
      <c r="Q79" s="782">
        <v>10.867999894285715</v>
      </c>
      <c r="R79" s="782">
        <v>8.8337143495714301</v>
      </c>
      <c r="S79" s="782">
        <v>78.434000150000003</v>
      </c>
      <c r="T79" s="782">
        <v>35.785857065714289</v>
      </c>
      <c r="U79" s="782">
        <v>9.2180000031428584</v>
      </c>
      <c r="V79" s="782">
        <v>11.096784181428571</v>
      </c>
      <c r="W79" s="782">
        <v>1.5</v>
      </c>
      <c r="X79" s="782">
        <v>42.473571777142858</v>
      </c>
      <c r="Y79" s="782">
        <v>12.512571334285715</v>
      </c>
    </row>
    <row r="80" spans="1:25">
      <c r="P80" s="657">
        <v>25</v>
      </c>
      <c r="Q80" s="782">
        <v>10.167285918857143</v>
      </c>
      <c r="R80" s="782">
        <v>7.6592858184285708</v>
      </c>
      <c r="S80" s="782">
        <v>77.872000559999989</v>
      </c>
      <c r="T80" s="782">
        <v>33.357000077142857</v>
      </c>
      <c r="U80" s="782">
        <v>8.9321429390000002</v>
      </c>
      <c r="V80" s="782">
        <v>10.461965969999998</v>
      </c>
      <c r="W80" s="782">
        <v>1.5</v>
      </c>
      <c r="X80" s="782">
        <v>43.729285104285715</v>
      </c>
      <c r="Y80" s="782">
        <v>11.450428658571429</v>
      </c>
    </row>
    <row r="81" spans="15:25">
      <c r="O81" s="283">
        <v>26</v>
      </c>
      <c r="P81" s="657">
        <v>26</v>
      </c>
      <c r="Q81" s="782">
        <v>9.3535717554285718</v>
      </c>
      <c r="R81" s="782">
        <v>6.2751428064285708</v>
      </c>
      <c r="S81" s="782">
        <v>76.447856358571428</v>
      </c>
      <c r="T81" s="782">
        <v>29.154571531428569</v>
      </c>
      <c r="U81" s="782">
        <v>8.3007144928571428</v>
      </c>
      <c r="V81" s="782">
        <v>11.259941372857144</v>
      </c>
      <c r="W81" s="782">
        <v>1.5</v>
      </c>
      <c r="X81" s="782">
        <v>44.616428919999997</v>
      </c>
      <c r="Y81" s="782">
        <v>9.6660000944285702</v>
      </c>
    </row>
    <row r="82" spans="15:25">
      <c r="P82" s="657">
        <v>27</v>
      </c>
      <c r="Q82" s="782">
        <v>8.86</v>
      </c>
      <c r="R82" s="782">
        <v>7.15</v>
      </c>
      <c r="S82" s="782">
        <v>77.430000000000007</v>
      </c>
      <c r="T82" s="782">
        <v>30.35</v>
      </c>
      <c r="U82" s="782">
        <v>8.59</v>
      </c>
      <c r="V82" s="782">
        <v>10.758154460361988</v>
      </c>
      <c r="W82" s="782">
        <v>1.59</v>
      </c>
      <c r="X82" s="782">
        <v>43.84</v>
      </c>
      <c r="Y82" s="782">
        <v>8.27</v>
      </c>
    </row>
    <row r="83" spans="15:25">
      <c r="P83" s="657">
        <v>28</v>
      </c>
      <c r="Q83" s="782">
        <v>8.9135712215714289</v>
      </c>
      <c r="R83" s="782">
        <v>5.7058570728571425</v>
      </c>
      <c r="S83" s="782">
        <v>76.24514443428572</v>
      </c>
      <c r="T83" s="782">
        <v>27.702285765714286</v>
      </c>
      <c r="U83" s="782">
        <v>7.8261427880000003</v>
      </c>
      <c r="V83" s="782">
        <v>11.139168601428571</v>
      </c>
      <c r="W83" s="782">
        <v>1.6000000240000001</v>
      </c>
      <c r="X83" s="782">
        <v>39.995714458571435</v>
      </c>
      <c r="Y83" s="782">
        <v>7.4899999752857136</v>
      </c>
    </row>
    <row r="84" spans="15:25">
      <c r="P84" s="657">
        <v>29</v>
      </c>
      <c r="Q84" s="782">
        <v>9.1244284766060932</v>
      </c>
      <c r="R84" s="782">
        <v>6.4564285959516052</v>
      </c>
      <c r="S84" s="782">
        <v>66.31271307809007</v>
      </c>
      <c r="T84" s="782">
        <v>29.940428597586454</v>
      </c>
      <c r="U84" s="782">
        <v>7.6488569804600273</v>
      </c>
      <c r="V84" s="782">
        <v>10.810358456202879</v>
      </c>
      <c r="W84" s="782">
        <v>1.6000000238418504</v>
      </c>
      <c r="X84" s="782">
        <v>42.704285757882197</v>
      </c>
      <c r="Y84" s="782">
        <v>6.46428571428571</v>
      </c>
    </row>
    <row r="85" spans="15:25">
      <c r="P85" s="657">
        <v>30</v>
      </c>
      <c r="Q85" s="782">
        <v>8.5528571428571407</v>
      </c>
      <c r="R85" s="782">
        <v>4.6828571428571433</v>
      </c>
      <c r="S85" s="782">
        <v>72.048571428571435</v>
      </c>
      <c r="T85" s="782">
        <v>36.729999999999997</v>
      </c>
      <c r="U85" s="782">
        <v>8.18</v>
      </c>
      <c r="V85" s="782">
        <v>12.61</v>
      </c>
      <c r="W85" s="782">
        <v>1.6285714285714283</v>
      </c>
      <c r="X85" s="782">
        <v>44.611428571428576</v>
      </c>
      <c r="Y85" s="782">
        <v>8.2285714285714295</v>
      </c>
    </row>
    <row r="86" spans="15:25">
      <c r="P86" s="657">
        <v>31</v>
      </c>
      <c r="Q86" s="782">
        <v>8.6655714172857152</v>
      </c>
      <c r="R86" s="782">
        <v>6.0697142064285714</v>
      </c>
      <c r="S86" s="782">
        <v>71.543143134285714</v>
      </c>
      <c r="T86" s="782">
        <v>31.720428468571431</v>
      </c>
      <c r="U86" s="782">
        <v>7.0618571554285712</v>
      </c>
      <c r="V86" s="782">
        <v>12.322975702857141</v>
      </c>
      <c r="W86" s="782">
        <v>1.7000000479999999</v>
      </c>
      <c r="X86" s="782">
        <v>43.444999694285706</v>
      </c>
      <c r="Y86" s="782">
        <v>6.7562857354285706</v>
      </c>
    </row>
    <row r="87" spans="15:25">
      <c r="P87" s="657">
        <v>32</v>
      </c>
      <c r="Q87" s="782">
        <v>8.8231430052857132</v>
      </c>
      <c r="R87" s="782">
        <v>7.5088570807142858</v>
      </c>
      <c r="S87" s="782">
        <v>73.754999434285722</v>
      </c>
      <c r="T87" s="782">
        <v>23.255857194285714</v>
      </c>
      <c r="U87" s="782">
        <v>6.2595714159999991</v>
      </c>
      <c r="V87" s="782">
        <v>12.551451548571427</v>
      </c>
      <c r="W87" s="782">
        <v>1.7214285988571427</v>
      </c>
      <c r="X87" s="782">
        <v>38.432857512857147</v>
      </c>
      <c r="Y87" s="782">
        <v>6.4201429230000002</v>
      </c>
    </row>
    <row r="88" spans="15:25">
      <c r="P88" s="657">
        <v>33</v>
      </c>
      <c r="Q88" s="782">
        <v>7.5077142715714285</v>
      </c>
      <c r="R88" s="782">
        <v>3.2121428764285715</v>
      </c>
      <c r="S88" s="782">
        <v>68.878572191428574</v>
      </c>
      <c r="T88" s="782">
        <v>21.297428674285715</v>
      </c>
      <c r="U88" s="782">
        <v>6.3691428730000004</v>
      </c>
      <c r="V88" s="782">
        <v>12.137084417142857</v>
      </c>
      <c r="W88" s="782">
        <v>1.7482857022857143</v>
      </c>
      <c r="X88" s="782">
        <v>36.690713608571421</v>
      </c>
      <c r="Y88" s="782">
        <v>4.7154285567142855</v>
      </c>
    </row>
    <row r="89" spans="15:25">
      <c r="P89" s="657">
        <v>34</v>
      </c>
      <c r="Q89" s="782">
        <v>7.6147142817142859</v>
      </c>
      <c r="R89" s="782">
        <v>3.3949999810000002</v>
      </c>
      <c r="S89" s="782">
        <v>65.663999831428569</v>
      </c>
      <c r="T89" s="782">
        <v>20.922428674285715</v>
      </c>
      <c r="U89" s="782">
        <v>6.115428584</v>
      </c>
      <c r="V89" s="782">
        <v>12.034524235714285</v>
      </c>
      <c r="W89" s="782">
        <v>1.7482857022857143</v>
      </c>
      <c r="X89" s="782">
        <v>34.872856138571429</v>
      </c>
      <c r="Y89" s="782">
        <v>5.7421428814285713</v>
      </c>
    </row>
    <row r="90" spans="15:25">
      <c r="P90" s="657">
        <v>35</v>
      </c>
      <c r="Q90" s="782">
        <v>8.7815715245714294</v>
      </c>
      <c r="R90" s="782">
        <v>7.1025714534285722</v>
      </c>
      <c r="S90" s="782">
        <v>65.224427905714279</v>
      </c>
      <c r="T90" s="782">
        <v>19.458285740000001</v>
      </c>
      <c r="U90" s="782">
        <v>6.3137143680000003</v>
      </c>
      <c r="V90" s="782">
        <v>12.041607177142856</v>
      </c>
      <c r="W90" s="782">
        <v>1.75</v>
      </c>
      <c r="X90" s="782">
        <v>34.16142872428572</v>
      </c>
      <c r="Y90" s="782">
        <v>6.5945714541428577</v>
      </c>
    </row>
    <row r="91" spans="15:25">
      <c r="O91" s="283">
        <v>36</v>
      </c>
      <c r="P91" s="657">
        <v>36</v>
      </c>
      <c r="Q91" s="782">
        <v>8.2851428302857144</v>
      </c>
      <c r="R91" s="782">
        <v>6.7619999824285708</v>
      </c>
      <c r="S91" s="782">
        <v>60.719142914285719</v>
      </c>
      <c r="T91" s="782">
        <v>25.369000025714286</v>
      </c>
      <c r="U91" s="782">
        <v>5.8737142427142857</v>
      </c>
      <c r="V91" s="782">
        <v>12.055594308571429</v>
      </c>
      <c r="W91" s="782">
        <v>1.6425714154285713</v>
      </c>
      <c r="X91" s="782">
        <v>35.968571799999999</v>
      </c>
      <c r="Y91" s="782">
        <v>4.9847143037142851</v>
      </c>
    </row>
    <row r="92" spans="15:25">
      <c r="P92" s="657">
        <v>37</v>
      </c>
      <c r="Q92" s="782">
        <v>7.6475714954285712</v>
      </c>
      <c r="R92" s="782">
        <v>6.5272856442857137</v>
      </c>
      <c r="S92" s="782">
        <v>62.679428645714289</v>
      </c>
      <c r="T92" s="782">
        <v>28.136857168571428</v>
      </c>
      <c r="U92" s="782">
        <v>6.1154285838571436</v>
      </c>
      <c r="V92" s="782">
        <v>12.130952835714286</v>
      </c>
      <c r="W92" s="782">
        <v>1.6457142658571429</v>
      </c>
      <c r="X92" s="782">
        <v>34.324999674285714</v>
      </c>
      <c r="Y92" s="782">
        <v>5.502714293285714</v>
      </c>
    </row>
    <row r="93" spans="15:25">
      <c r="P93" s="657">
        <v>38</v>
      </c>
      <c r="Q93" s="782">
        <v>7.6971428571428575</v>
      </c>
      <c r="R93" s="782">
        <v>5.444285714285714</v>
      </c>
      <c r="S93" s="782">
        <v>65.47</v>
      </c>
      <c r="T93" s="782">
        <v>29.351428571428567</v>
      </c>
      <c r="U93" s="782">
        <v>6.8328571428571419</v>
      </c>
      <c r="V93" s="782">
        <v>12.194285714285716</v>
      </c>
      <c r="W93" s="782">
        <v>1.6014285714285712</v>
      </c>
      <c r="X93" s="782">
        <v>33.131428571428572</v>
      </c>
      <c r="Y93" s="782">
        <v>6.8414285714285716</v>
      </c>
    </row>
    <row r="94" spans="15:25">
      <c r="P94" s="657">
        <v>39</v>
      </c>
      <c r="Q94" s="782">
        <v>7.6702859061104887</v>
      </c>
      <c r="R94" s="782">
        <v>5.896142857415323</v>
      </c>
      <c r="S94" s="782">
        <v>72.930715288434641</v>
      </c>
      <c r="T94" s="782">
        <v>26.470285688127774</v>
      </c>
      <c r="U94" s="782">
        <v>9.2337144442966927</v>
      </c>
      <c r="V94" s="782">
        <v>12.167024339948341</v>
      </c>
      <c r="W94" s="782">
        <v>1.4285714115415273</v>
      </c>
      <c r="X94" s="782">
        <v>32.532142911638481</v>
      </c>
      <c r="Y94" s="782">
        <v>5.5879999569484111</v>
      </c>
    </row>
    <row r="95" spans="15:25">
      <c r="P95" s="657">
        <v>40</v>
      </c>
      <c r="Q95" s="782">
        <v>6.5494285314285721</v>
      </c>
      <c r="R95" s="782">
        <v>3.8238571030000004</v>
      </c>
      <c r="S95" s="782">
        <v>70.661287578571418</v>
      </c>
      <c r="T95" s="782">
        <v>28.190571377142856</v>
      </c>
      <c r="U95" s="782">
        <v>9.6928569934285722</v>
      </c>
      <c r="V95" s="782">
        <v>12.594642775714282</v>
      </c>
      <c r="W95" s="782">
        <v>1.3999999759999999</v>
      </c>
      <c r="X95" s="782">
        <v>36.384999957142853</v>
      </c>
      <c r="Y95" s="782">
        <v>8.0550000327142861</v>
      </c>
    </row>
    <row r="96" spans="15:25">
      <c r="P96" s="657">
        <v>41</v>
      </c>
      <c r="Q96" s="782">
        <v>8.096428529999999</v>
      </c>
      <c r="R96" s="782">
        <v>4.0404286040000006</v>
      </c>
      <c r="S96" s="782">
        <v>65.047571455714291</v>
      </c>
      <c r="T96" s="782">
        <v>47.010571615714284</v>
      </c>
      <c r="U96" s="782">
        <v>10.709857054714286</v>
      </c>
      <c r="V96" s="782">
        <v>13.274107117142858</v>
      </c>
      <c r="W96" s="782">
        <v>1.3785714251428571</v>
      </c>
      <c r="X96" s="782">
        <v>40.987143380000006</v>
      </c>
      <c r="Y96" s="782">
        <v>6.9969999451428562</v>
      </c>
    </row>
    <row r="97" spans="14:25">
      <c r="P97" s="657">
        <v>42</v>
      </c>
      <c r="Q97" s="782">
        <v>7.4685714285714289</v>
      </c>
      <c r="R97" s="782">
        <v>4.8257142857142856</v>
      </c>
      <c r="S97" s="782">
        <v>67.597142857142856</v>
      </c>
      <c r="T97" s="782">
        <v>47.291428571428575</v>
      </c>
      <c r="U97" s="782">
        <v>8.5642857142857132</v>
      </c>
      <c r="V97" s="782">
        <v>13.001428571428571</v>
      </c>
      <c r="W97" s="782">
        <v>1.3499999999999999</v>
      </c>
      <c r="X97" s="782">
        <v>37.554285714285712</v>
      </c>
      <c r="Y97" s="782">
        <v>6.2985714285714289</v>
      </c>
    </row>
    <row r="98" spans="14:25">
      <c r="P98" s="657">
        <v>43</v>
      </c>
      <c r="Q98" s="782">
        <v>8.9041427881428579</v>
      </c>
      <c r="R98" s="782">
        <v>7.354714223857143</v>
      </c>
      <c r="S98" s="782">
        <v>80.445570807142857</v>
      </c>
      <c r="T98" s="782">
        <v>71.934570317142857</v>
      </c>
      <c r="U98" s="782">
        <v>12.279142925142859</v>
      </c>
      <c r="V98" s="782">
        <v>13.139822822857143</v>
      </c>
      <c r="W98" s="782">
        <v>1.2642857177142857</v>
      </c>
      <c r="X98" s="782">
        <v>52.87071446142857</v>
      </c>
      <c r="Y98" s="782">
        <v>11.989999907285712</v>
      </c>
    </row>
    <row r="99" spans="14:25">
      <c r="O99" s="283">
        <v>44</v>
      </c>
      <c r="P99" s="657">
        <v>44</v>
      </c>
      <c r="Q99" s="782">
        <v>7.8245713370000001</v>
      </c>
      <c r="R99" s="782">
        <v>6.0929999348571409</v>
      </c>
      <c r="S99" s="782">
        <v>68.079284669999993</v>
      </c>
      <c r="T99" s="782">
        <v>33.011999948571429</v>
      </c>
      <c r="U99" s="782">
        <v>8.685571329857142</v>
      </c>
      <c r="V99" s="782">
        <v>13.275356975714287</v>
      </c>
      <c r="W99" s="782">
        <v>1.1857142621428574</v>
      </c>
      <c r="X99" s="782">
        <v>36.208572388571426</v>
      </c>
      <c r="Y99" s="782">
        <v>7.9394285338571438</v>
      </c>
    </row>
    <row r="100" spans="14:25">
      <c r="P100" s="657">
        <v>45</v>
      </c>
      <c r="Q100" s="782">
        <v>9.4607142031428566</v>
      </c>
      <c r="R100" s="782">
        <v>6.8107141777142859</v>
      </c>
      <c r="S100" s="782">
        <v>71.555715832857132</v>
      </c>
      <c r="T100" s="782">
        <v>77.119000028571435</v>
      </c>
      <c r="U100" s="782">
        <v>11.169571467285715</v>
      </c>
      <c r="V100" s="782">
        <v>14</v>
      </c>
      <c r="W100" s="782">
        <v>1.1200000049999999</v>
      </c>
      <c r="X100" s="782">
        <v>61.867856707142856</v>
      </c>
      <c r="Y100" s="782">
        <v>10.621285710571428</v>
      </c>
    </row>
    <row r="101" spans="14:25">
      <c r="P101" s="657">
        <v>46</v>
      </c>
      <c r="Q101" s="782">
        <v>9.3077141910000005</v>
      </c>
      <c r="R101" s="782">
        <v>7.0327142307142854</v>
      </c>
      <c r="S101" s="782">
        <v>91.077428547142858</v>
      </c>
      <c r="T101" s="782">
        <v>102.37485722571429</v>
      </c>
      <c r="U101" s="782">
        <v>13.601000102857142</v>
      </c>
      <c r="V101" s="782">
        <v>14.050535747142858</v>
      </c>
      <c r="W101" s="782">
        <v>1.1085714441428569</v>
      </c>
      <c r="X101" s="782">
        <v>108.26642826857143</v>
      </c>
      <c r="Y101" s="782">
        <v>19.484428541428574</v>
      </c>
    </row>
    <row r="102" spans="14:25">
      <c r="P102" s="657">
        <v>47</v>
      </c>
      <c r="Q102" s="782">
        <v>9.4625713492857138</v>
      </c>
      <c r="R102" s="782">
        <v>5.5844285494285719</v>
      </c>
      <c r="S102" s="782">
        <v>81.972856794285704</v>
      </c>
      <c r="T102" s="782">
        <v>82.511857174285723</v>
      </c>
      <c r="U102" s="782">
        <v>10.628571509714286</v>
      </c>
      <c r="V102" s="782">
        <v>13.985775811428573</v>
      </c>
      <c r="W102" s="782">
        <v>1.1000000240000001</v>
      </c>
      <c r="X102" s="782">
        <v>123.16000039999999</v>
      </c>
      <c r="Y102" s="782">
        <v>19.475428171428575</v>
      </c>
    </row>
    <row r="103" spans="14:25">
      <c r="P103" s="657">
        <v>48</v>
      </c>
      <c r="Q103" s="782">
        <v>10.788142817999999</v>
      </c>
      <c r="R103" s="782">
        <v>7.5644286014285722</v>
      </c>
      <c r="S103" s="782">
        <v>84.626999989999987</v>
      </c>
      <c r="T103" s="782">
        <v>67.75</v>
      </c>
      <c r="U103" s="782">
        <v>8.4404285975714277</v>
      </c>
      <c r="V103" s="782">
        <v>13.781128474285714</v>
      </c>
      <c r="W103" s="782">
        <v>1.1000000240000001</v>
      </c>
      <c r="X103" s="782">
        <v>94.382143292857137</v>
      </c>
      <c r="Y103" s="782">
        <v>16.918428555714282</v>
      </c>
    </row>
    <row r="104" spans="14:25">
      <c r="P104" s="657">
        <v>49</v>
      </c>
      <c r="Q104" s="782">
        <v>12.195857184142856</v>
      </c>
      <c r="R104" s="782">
        <v>8.7971429828571424</v>
      </c>
      <c r="S104" s="782">
        <v>127.52371543</v>
      </c>
      <c r="T104" s="782">
        <v>92.821572431428564</v>
      </c>
      <c r="U104" s="782">
        <v>12.563142707428572</v>
      </c>
      <c r="V104" s="782">
        <v>13.148691448571428</v>
      </c>
      <c r="W104" s="782">
        <v>1.1000000000000001</v>
      </c>
      <c r="X104" s="782">
        <v>134.38285718142859</v>
      </c>
      <c r="Y104" s="782">
        <v>23.580285755714289</v>
      </c>
    </row>
    <row r="105" spans="14:25">
      <c r="P105" s="657">
        <v>50</v>
      </c>
      <c r="Q105" s="782">
        <v>12.195857184142856</v>
      </c>
      <c r="R105" s="782">
        <v>8.7971429828571424</v>
      </c>
      <c r="S105" s="782">
        <v>183.5428575857143</v>
      </c>
      <c r="T105" s="782">
        <v>117.73200008285714</v>
      </c>
      <c r="U105" s="782">
        <v>21.506999832857144</v>
      </c>
      <c r="V105" s="782">
        <v>12.61392865857143</v>
      </c>
      <c r="W105" s="782">
        <v>1.1014285939999999</v>
      </c>
      <c r="X105" s="782">
        <v>210.99928282857144</v>
      </c>
      <c r="Y105" s="782">
        <v>41.892142702857143</v>
      </c>
    </row>
    <row r="106" spans="14:25">
      <c r="P106" s="657">
        <v>51</v>
      </c>
      <c r="Q106" s="782">
        <v>18.622142792857144</v>
      </c>
      <c r="R106" s="782">
        <v>18.057571141428571</v>
      </c>
      <c r="S106" s="782">
        <v>292.95071844285718</v>
      </c>
      <c r="T106" s="782">
        <v>180.44057028571427</v>
      </c>
      <c r="U106" s="782">
        <v>47.032857078571432</v>
      </c>
      <c r="V106" s="782">
        <v>12.600475584285714</v>
      </c>
      <c r="W106" s="782">
        <v>1.1000000240000001</v>
      </c>
      <c r="X106" s="782">
        <v>166.85428727142857</v>
      </c>
      <c r="Y106" s="782">
        <v>39.827428544285716</v>
      </c>
    </row>
    <row r="107" spans="14:25">
      <c r="P107" s="657">
        <v>52</v>
      </c>
      <c r="Q107" s="782">
        <v>29.98</v>
      </c>
      <c r="R107" s="782">
        <v>19.592142921428572</v>
      </c>
      <c r="S107" s="782">
        <v>381.11599999999993</v>
      </c>
      <c r="T107" s="782">
        <v>222.82728794285717</v>
      </c>
      <c r="U107" s="782">
        <v>45.963714052857135</v>
      </c>
      <c r="V107" s="782">
        <v>12.617798667142859</v>
      </c>
      <c r="W107" s="782">
        <v>1.4000000274285713</v>
      </c>
      <c r="X107" s="782">
        <v>293.28928701428578</v>
      </c>
      <c r="Y107" s="782">
        <v>62.57285690285714</v>
      </c>
    </row>
    <row r="108" spans="14:25">
      <c r="O108" s="283">
        <v>53</v>
      </c>
      <c r="P108" s="657">
        <v>53</v>
      </c>
      <c r="Q108" s="782">
        <v>16.182714325714286</v>
      </c>
      <c r="R108" s="782">
        <v>8.7855713015714283</v>
      </c>
      <c r="S108" s="782">
        <v>271.83385794285715</v>
      </c>
      <c r="T108" s="782">
        <v>172.15485925714285</v>
      </c>
      <c r="U108" s="782">
        <v>29.933428355714284</v>
      </c>
      <c r="V108" s="782">
        <v>12.85226127</v>
      </c>
      <c r="W108" s="782">
        <v>1.4571428811428571</v>
      </c>
      <c r="X108" s="782">
        <v>278.16286141428571</v>
      </c>
      <c r="Y108" s="782">
        <v>97.806430279999987</v>
      </c>
    </row>
    <row r="109" spans="14:25">
      <c r="N109" s="283">
        <v>2020</v>
      </c>
      <c r="P109" s="657">
        <v>1</v>
      </c>
      <c r="Q109" s="782">
        <v>12.763571330479184</v>
      </c>
      <c r="R109" s="782">
        <v>7.4842857292720009</v>
      </c>
      <c r="S109" s="782">
        <v>176.20814078194715</v>
      </c>
      <c r="T109" s="782">
        <v>130.2321406773155</v>
      </c>
      <c r="U109" s="782">
        <v>24.27742849077493</v>
      </c>
      <c r="V109" s="782">
        <v>14.514315741402715</v>
      </c>
      <c r="W109" s="782">
        <v>2.278571367263786</v>
      </c>
      <c r="X109" s="782">
        <v>468.15499877929659</v>
      </c>
      <c r="Y109" s="782">
        <v>152.80385916573601</v>
      </c>
    </row>
    <row r="110" spans="14:25">
      <c r="P110" s="657">
        <v>2</v>
      </c>
      <c r="Q110" s="782">
        <v>13.386285781428571</v>
      </c>
      <c r="R110" s="782">
        <v>6.9174285272857139</v>
      </c>
      <c r="S110" s="782">
        <v>159.75199889999999</v>
      </c>
      <c r="T110" s="782">
        <v>106.97614288285715</v>
      </c>
      <c r="U110" s="782">
        <v>30.680286678571431</v>
      </c>
      <c r="V110" s="782">
        <v>13.21958133142857</v>
      </c>
      <c r="W110" s="782">
        <v>1.8857142757142857</v>
      </c>
      <c r="X110" s="782">
        <v>213.59428187142859</v>
      </c>
      <c r="Y110" s="782">
        <v>97.949856347142855</v>
      </c>
    </row>
    <row r="111" spans="14:25">
      <c r="P111" s="657">
        <v>3</v>
      </c>
      <c r="Q111" s="782">
        <v>15.196428435714285</v>
      </c>
      <c r="R111" s="782">
        <v>11.330428599714283</v>
      </c>
      <c r="S111" s="782">
        <v>243.87700107142857</v>
      </c>
      <c r="T111" s="782">
        <v>137.04186028571428</v>
      </c>
      <c r="U111" s="782">
        <v>40.240000044285715</v>
      </c>
      <c r="V111" s="782">
        <v>16.855534282857143</v>
      </c>
      <c r="W111" s="782">
        <v>6.3075712748571418</v>
      </c>
      <c r="X111" s="782">
        <v>247.26214164285713</v>
      </c>
      <c r="Y111" s="782">
        <v>78.131857190000005</v>
      </c>
    </row>
    <row r="112" spans="14:25">
      <c r="P112" s="657">
        <v>4</v>
      </c>
      <c r="Q112" s="782">
        <v>16.57199968714286</v>
      </c>
      <c r="R112" s="782">
        <v>12.821999958571428</v>
      </c>
      <c r="S112" s="782">
        <v>236.61043005714285</v>
      </c>
      <c r="T112" s="782">
        <v>121.29742760000001</v>
      </c>
      <c r="U112" s="782">
        <v>26.470714297142855</v>
      </c>
      <c r="V112" s="782">
        <v>22.011848449999999</v>
      </c>
      <c r="W112" s="782">
        <v>4.3669999327142861</v>
      </c>
      <c r="X112" s="782">
        <v>212.78856985714287</v>
      </c>
      <c r="Y112" s="782">
        <v>52.875</v>
      </c>
    </row>
    <row r="113" spans="15:25">
      <c r="P113" s="657">
        <v>5</v>
      </c>
      <c r="Q113" s="782">
        <v>25.675428661428576</v>
      </c>
      <c r="R113" s="782">
        <v>18.254856927142857</v>
      </c>
      <c r="S113" s="782">
        <v>392.82542635714287</v>
      </c>
      <c r="T113" s="782">
        <v>216.11300005714287</v>
      </c>
      <c r="U113" s="782">
        <v>48.707714625714289</v>
      </c>
      <c r="V113" s="782">
        <v>14.496191432857142</v>
      </c>
      <c r="W113" s="782">
        <v>2.6891428574285712</v>
      </c>
      <c r="X113" s="782">
        <v>410.15428595714286</v>
      </c>
      <c r="Y113" s="782">
        <v>99.128998899999985</v>
      </c>
    </row>
    <row r="114" spans="15:25">
      <c r="P114" s="657">
        <v>6</v>
      </c>
      <c r="Q114" s="782">
        <v>22.638571330479174</v>
      </c>
      <c r="R114" s="782">
        <v>17.332571574619813</v>
      </c>
      <c r="S114" s="782">
        <v>448.59157017299066</v>
      </c>
      <c r="T114" s="782">
        <v>221.35714285714261</v>
      </c>
      <c r="U114" s="782">
        <v>51.925000326974022</v>
      </c>
      <c r="V114" s="782">
        <v>17.659045491899729</v>
      </c>
      <c r="W114" s="782">
        <v>9.7964284079415354</v>
      </c>
      <c r="X114" s="782">
        <v>622.45499965122758</v>
      </c>
      <c r="Y114" s="782">
        <v>151.47385733468144</v>
      </c>
    </row>
    <row r="115" spans="15:25">
      <c r="P115" s="657">
        <v>7</v>
      </c>
      <c r="Q115" s="782">
        <v>24.818285805714286</v>
      </c>
      <c r="R115" s="782">
        <v>19.436000279999998</v>
      </c>
      <c r="S115" s="782">
        <v>374.25799560000002</v>
      </c>
      <c r="T115" s="782">
        <v>142.54771639999998</v>
      </c>
      <c r="U115" s="782">
        <v>37.997142247142854</v>
      </c>
      <c r="V115" s="782">
        <v>23.642735891428568</v>
      </c>
      <c r="W115" s="782">
        <v>10.810714449000001</v>
      </c>
      <c r="X115" s="782">
        <v>434.32357352857144</v>
      </c>
      <c r="Y115" s="782">
        <v>148.12728554285715</v>
      </c>
    </row>
    <row r="116" spans="15:25">
      <c r="O116" s="283">
        <v>8</v>
      </c>
      <c r="P116" s="657">
        <v>8</v>
      </c>
      <c r="Q116" s="782">
        <v>16.877285957336387</v>
      </c>
      <c r="R116" s="782">
        <v>13.084142684936484</v>
      </c>
      <c r="S116" s="782">
        <v>289.19357081821948</v>
      </c>
      <c r="T116" s="782">
        <v>162.01200212751087</v>
      </c>
      <c r="U116" s="782">
        <v>30.780285699026873</v>
      </c>
      <c r="V116" s="782">
        <v>23.681545802525072</v>
      </c>
      <c r="W116" s="782">
        <v>21.290571621486073</v>
      </c>
      <c r="X116" s="782">
        <v>403.40571376255542</v>
      </c>
      <c r="Y116" s="782">
        <v>143.28899928501644</v>
      </c>
    </row>
    <row r="117" spans="15:25">
      <c r="P117" s="657">
        <v>9</v>
      </c>
      <c r="Q117" s="782">
        <v>20.463000162857146</v>
      </c>
      <c r="R117" s="782">
        <v>16.131428717142857</v>
      </c>
      <c r="S117" s="782">
        <v>302.38613892857137</v>
      </c>
      <c r="T117" s="782">
        <v>174.72028894285717</v>
      </c>
      <c r="U117" s="782">
        <v>36.13400023285714</v>
      </c>
      <c r="V117" s="782">
        <v>23.625475747142854</v>
      </c>
      <c r="W117" s="782">
        <v>11.064000130142858</v>
      </c>
      <c r="X117" s="782">
        <v>388.35356794285718</v>
      </c>
      <c r="Y117" s="782">
        <v>84.357999531428575</v>
      </c>
    </row>
    <row r="118" spans="15:25">
      <c r="P118" s="657">
        <v>10</v>
      </c>
      <c r="Q118" s="782">
        <v>20.001714159999999</v>
      </c>
      <c r="R118" s="782">
        <v>16.133428572857145</v>
      </c>
      <c r="S118" s="782">
        <v>219.49971445714283</v>
      </c>
      <c r="T118" s="782">
        <v>118.91071428571429</v>
      </c>
      <c r="U118" s="782">
        <v>22.61842863857143</v>
      </c>
      <c r="V118" s="782">
        <v>23.72583552857143</v>
      </c>
      <c r="W118" s="782">
        <v>5.0324285712857142</v>
      </c>
      <c r="X118" s="782">
        <v>317.96785625714284</v>
      </c>
      <c r="Y118" s="782">
        <v>76.472572329999977</v>
      </c>
    </row>
    <row r="119" spans="15:25">
      <c r="P119" s="657">
        <v>11</v>
      </c>
      <c r="Q119" s="782">
        <v>20.464285714285715</v>
      </c>
      <c r="R119" s="782">
        <v>16.275285719999999</v>
      </c>
      <c r="S119" s="782">
        <v>210.39014761428572</v>
      </c>
      <c r="T119" s="782">
        <v>145.36899785714286</v>
      </c>
      <c r="U119" s="782">
        <v>39.343428748571434</v>
      </c>
      <c r="V119" s="782">
        <v>23.714347295714287</v>
      </c>
      <c r="W119" s="782">
        <v>12.165999821428571</v>
      </c>
      <c r="X119" s="782">
        <v>377.62500435714281</v>
      </c>
      <c r="Y119" s="782">
        <v>110.78628649857141</v>
      </c>
    </row>
    <row r="120" spans="15:25">
      <c r="P120" s="657">
        <v>12</v>
      </c>
      <c r="Q120" s="782">
        <v>23.032714026314846</v>
      </c>
      <c r="R120" s="782">
        <v>20.180714198521169</v>
      </c>
      <c r="S120" s="782">
        <v>335.19785417829189</v>
      </c>
      <c r="T120" s="782">
        <v>171.26185716901472</v>
      </c>
      <c r="U120" s="782">
        <v>46.286999838692772</v>
      </c>
      <c r="V120" s="782">
        <v>23.623331614903002</v>
      </c>
      <c r="W120" s="782">
        <v>11.119714055742502</v>
      </c>
      <c r="X120" s="782">
        <v>380.85929216657314</v>
      </c>
      <c r="Y120" s="782">
        <v>113.32999965122723</v>
      </c>
    </row>
    <row r="121" spans="15:25">
      <c r="P121" s="657">
        <v>13</v>
      </c>
      <c r="Q121" s="782">
        <v>27.558857236589642</v>
      </c>
      <c r="R121" s="782">
        <v>21.319143022809669</v>
      </c>
      <c r="S121" s="782">
        <v>569.31741768973188</v>
      </c>
      <c r="T121" s="782">
        <v>241.59529113769531</v>
      </c>
      <c r="U121" s="782">
        <v>63.414285387311629</v>
      </c>
      <c r="V121" s="782">
        <v>22.128154209681874</v>
      </c>
      <c r="W121" s="782">
        <v>6.0048571995326432</v>
      </c>
      <c r="X121" s="782">
        <v>332.15285818917374</v>
      </c>
      <c r="Y121" s="782">
        <v>97.158571515764294</v>
      </c>
    </row>
    <row r="122" spans="15:25">
      <c r="P122" s="657">
        <v>14</v>
      </c>
      <c r="Q122" s="782">
        <v>18.795857294285714</v>
      </c>
      <c r="R122" s="782">
        <v>18.168000220000003</v>
      </c>
      <c r="S122" s="782">
        <v>298.48543221428571</v>
      </c>
      <c r="T122" s="782">
        <v>156.28586031428571</v>
      </c>
      <c r="U122" s="782">
        <v>40.567142485714285</v>
      </c>
      <c r="V122" s="782">
        <v>21.36</v>
      </c>
      <c r="W122" s="782">
        <v>4.6619999238571435</v>
      </c>
      <c r="X122" s="782">
        <v>272.16142927142863</v>
      </c>
      <c r="Y122" s="782">
        <v>87.023999895714283</v>
      </c>
    </row>
    <row r="123" spans="15:25">
      <c r="P123" s="657">
        <v>15</v>
      </c>
      <c r="Q123" s="658">
        <v>16.380999974285714</v>
      </c>
      <c r="R123" s="658">
        <v>14.786285537142858</v>
      </c>
      <c r="S123" s="658">
        <v>196.30642698571427</v>
      </c>
      <c r="T123" s="658">
        <v>126.20242854857143</v>
      </c>
      <c r="U123" s="658">
        <v>27.609000341428576</v>
      </c>
      <c r="V123" s="658">
        <v>23.601429802857144</v>
      </c>
      <c r="W123" s="658">
        <v>2.5870000464285714</v>
      </c>
      <c r="X123" s="658">
        <v>174.17928642857143</v>
      </c>
      <c r="Y123" s="658">
        <v>56.692000798571428</v>
      </c>
    </row>
    <row r="124" spans="15:25">
      <c r="O124" s="283">
        <v>16</v>
      </c>
      <c r="P124" s="657">
        <v>16</v>
      </c>
      <c r="Q124" s="782">
        <v>15.142857142857142</v>
      </c>
      <c r="R124" s="782">
        <v>11.113285608857142</v>
      </c>
      <c r="S124" s="782">
        <v>144.25785718571427</v>
      </c>
      <c r="T124" s="782">
        <v>112.32742854857143</v>
      </c>
      <c r="U124" s="782">
        <v>23.319143022857144</v>
      </c>
      <c r="V124" s="782">
        <v>16.145714351428573</v>
      </c>
      <c r="W124" s="782">
        <v>1.9568571534285717</v>
      </c>
      <c r="X124" s="782">
        <v>124.01500048571428</v>
      </c>
      <c r="Y124" s="782">
        <v>41.578285762857142</v>
      </c>
    </row>
    <row r="125" spans="15:25">
      <c r="P125" s="657">
        <v>17</v>
      </c>
      <c r="Q125" s="782">
        <v>14.535142626081141</v>
      </c>
      <c r="R125" s="782">
        <v>7.95871441704886</v>
      </c>
      <c r="S125" s="782">
        <v>118.61742946079741</v>
      </c>
      <c r="T125" s="782">
        <v>86.636999947684131</v>
      </c>
      <c r="U125" s="782">
        <v>19.662570953369116</v>
      </c>
      <c r="V125" s="782">
        <v>14.007261548723459</v>
      </c>
      <c r="W125" s="782">
        <v>2.0897142546517471</v>
      </c>
      <c r="X125" s="782">
        <v>109.72071402413471</v>
      </c>
      <c r="Y125" s="782">
        <v>32.277857099260544</v>
      </c>
    </row>
    <row r="126" spans="15:25">
      <c r="P126" s="657">
        <v>18</v>
      </c>
      <c r="Q126" s="782">
        <v>15.919285638571427</v>
      </c>
      <c r="R126" s="782">
        <v>12.133857388142859</v>
      </c>
      <c r="S126" s="782">
        <v>119.46943012857146</v>
      </c>
      <c r="T126" s="782">
        <v>95.79771531714286</v>
      </c>
      <c r="U126" s="782">
        <v>21.329571314285715</v>
      </c>
      <c r="V126" s="782">
        <v>12.484048571428572</v>
      </c>
      <c r="W126" s="782">
        <v>2.074857081857143</v>
      </c>
      <c r="X126" s="782">
        <v>121.69785745714287</v>
      </c>
      <c r="Y126" s="782">
        <v>27.218570980000003</v>
      </c>
    </row>
    <row r="127" spans="15:25">
      <c r="P127" s="657">
        <v>19</v>
      </c>
      <c r="Q127" s="782">
        <v>16.148714472857144</v>
      </c>
      <c r="R127" s="782">
        <v>14.776714189999998</v>
      </c>
      <c r="S127" s="782">
        <v>179.62085941428572</v>
      </c>
      <c r="T127" s="782">
        <v>63.654857091428575</v>
      </c>
      <c r="U127" s="782">
        <v>18.961428234285709</v>
      </c>
      <c r="V127" s="782">
        <v>11.436902861999998</v>
      </c>
      <c r="W127" s="782">
        <v>1.6491428614285712</v>
      </c>
      <c r="X127" s="782">
        <v>98.23285565285714</v>
      </c>
      <c r="Y127" s="782">
        <v>23.996714454285712</v>
      </c>
    </row>
    <row r="128" spans="15:25">
      <c r="P128" s="657">
        <v>20</v>
      </c>
      <c r="Q128" s="782">
        <v>13.91285719</v>
      </c>
      <c r="R128" s="782">
        <v>10.484285559</v>
      </c>
      <c r="S128" s="782">
        <v>132.41042655714287</v>
      </c>
      <c r="T128" s="782">
        <v>63.017857142857146</v>
      </c>
      <c r="U128" s="782">
        <v>17.724285941428572</v>
      </c>
      <c r="V128" s="782">
        <v>12.01881</v>
      </c>
      <c r="W128" s="782">
        <v>1.6491428614285712</v>
      </c>
      <c r="X128" s="782">
        <v>74.486427307142861</v>
      </c>
      <c r="Y128" s="782">
        <v>27.218570980000003</v>
      </c>
    </row>
    <row r="129" spans="15:26">
      <c r="P129" s="657">
        <v>21</v>
      </c>
      <c r="Q129" s="782">
        <v>12.832571710859</v>
      </c>
      <c r="R129" s="782">
        <v>8.7072857448032899</v>
      </c>
      <c r="S129" s="782">
        <v>118.96285901750787</v>
      </c>
      <c r="T129" s="782">
        <v>55.553428649902308</v>
      </c>
      <c r="U129" s="782">
        <v>14.547714369637587</v>
      </c>
      <c r="V129" s="782">
        <v>11.963334356035457</v>
      </c>
      <c r="W129" s="782">
        <v>1.6175714560917398</v>
      </c>
      <c r="X129" s="782">
        <v>66.354285648890865</v>
      </c>
      <c r="Y129" s="782">
        <v>17.639571326119512</v>
      </c>
    </row>
    <row r="130" spans="15:26">
      <c r="P130" s="657">
        <v>22</v>
      </c>
      <c r="Q130" s="782">
        <v>11.589857237142857</v>
      </c>
      <c r="R130" s="782">
        <v>7.6087141037142851</v>
      </c>
      <c r="S130" s="782">
        <v>92.527713229999989</v>
      </c>
      <c r="T130" s="782">
        <v>48.85114288285714</v>
      </c>
      <c r="U130" s="782">
        <v>12.851142882857143</v>
      </c>
      <c r="V130" s="782">
        <v>11.972144264285713</v>
      </c>
      <c r="W130" s="782">
        <v>1.7258571555714286</v>
      </c>
      <c r="X130" s="782">
        <v>60.742857795714293</v>
      </c>
      <c r="Y130" s="782">
        <v>13.389714241428573</v>
      </c>
    </row>
    <row r="131" spans="15:26">
      <c r="P131" s="657">
        <v>23</v>
      </c>
      <c r="Q131" s="782">
        <v>10.866000038571428</v>
      </c>
      <c r="R131" s="782">
        <v>6.6898570742857144</v>
      </c>
      <c r="S131" s="782">
        <v>86.262142725714284</v>
      </c>
      <c r="T131" s="782">
        <v>49.02971431142857</v>
      </c>
      <c r="U131" s="782">
        <v>13.300571305714286</v>
      </c>
      <c r="V131" s="782">
        <v>12.060297148571431</v>
      </c>
      <c r="W131" s="782">
        <v>2.2755714314285713</v>
      </c>
      <c r="X131" s="782">
        <v>60.932143074285719</v>
      </c>
      <c r="Y131" s="782">
        <v>13.06000001</v>
      </c>
    </row>
    <row r="132" spans="15:26">
      <c r="O132" s="283">
        <v>24</v>
      </c>
      <c r="P132" s="571">
        <v>24</v>
      </c>
      <c r="Q132" s="782">
        <v>10.893428530011814</v>
      </c>
      <c r="R132" s="782">
        <v>6.3937142235892095</v>
      </c>
      <c r="S132" s="782">
        <v>80.154999869210343</v>
      </c>
      <c r="T132" s="782">
        <v>39.363000052315797</v>
      </c>
      <c r="U132" s="782">
        <v>11.205857140677287</v>
      </c>
      <c r="V132" s="782">
        <v>12.025059972490542</v>
      </c>
      <c r="W132" s="782">
        <v>2.2755714314324473</v>
      </c>
      <c r="X132" s="782">
        <v>56.771429334367994</v>
      </c>
      <c r="Y132" s="782">
        <v>10.094714164733857</v>
      </c>
    </row>
    <row r="133" spans="15:26">
      <c r="P133" s="571">
        <v>25</v>
      </c>
      <c r="Q133" s="782">
        <v>9.7685713087142858</v>
      </c>
      <c r="R133" s="782">
        <v>5.4858571460000007</v>
      </c>
      <c r="S133" s="782">
        <v>71.438000270000003</v>
      </c>
      <c r="T133" s="782">
        <v>31.88514287142857</v>
      </c>
      <c r="U133" s="782">
        <v>9.1724285395714276</v>
      </c>
      <c r="V133" s="782">
        <v>11.867550168571428</v>
      </c>
      <c r="W133" s="782">
        <v>1.7577142885714285</v>
      </c>
      <c r="X133" s="782">
        <v>51.780714305714291</v>
      </c>
      <c r="Y133" s="782">
        <v>9.1595716474285691</v>
      </c>
    </row>
    <row r="134" spans="15:26">
      <c r="P134" s="571">
        <v>26</v>
      </c>
      <c r="Q134" s="782">
        <v>9.3011428291428579</v>
      </c>
      <c r="R134" s="782">
        <v>5.6422856875714285</v>
      </c>
      <c r="S134" s="782">
        <v>70.798141479999998</v>
      </c>
      <c r="T134" s="782">
        <v>29.80342864857143</v>
      </c>
      <c r="U134" s="782">
        <v>8.6642858641428564</v>
      </c>
      <c r="V134" s="782">
        <v>11.961507115714285</v>
      </c>
      <c r="W134" s="782">
        <v>1.7387143204285713</v>
      </c>
      <c r="X134" s="782">
        <v>47.265713828571435</v>
      </c>
      <c r="Y134" s="782">
        <v>8.8348572594285706</v>
      </c>
    </row>
    <row r="135" spans="15:26">
      <c r="P135" s="571">
        <v>27</v>
      </c>
      <c r="Q135" s="782">
        <v>9.0898572376796078</v>
      </c>
      <c r="R135" s="782">
        <v>4.8411428587777223</v>
      </c>
      <c r="S135" s="782">
        <v>72.323284694126613</v>
      </c>
      <c r="T135" s="782">
        <v>28.875142778669062</v>
      </c>
      <c r="U135" s="782">
        <v>8.3150001253400507</v>
      </c>
      <c r="V135" s="782">
        <v>12.125935554504371</v>
      </c>
      <c r="W135" s="782">
        <v>2.0545714242117699</v>
      </c>
      <c r="X135" s="782">
        <v>44.601428440638877</v>
      </c>
      <c r="Y135" s="782">
        <v>8.4665715353829452</v>
      </c>
    </row>
    <row r="136" spans="15:26">
      <c r="P136" s="571">
        <v>28</v>
      </c>
      <c r="Q136" s="782">
        <v>8.3315715788571421</v>
      </c>
      <c r="R136" s="782">
        <v>4.0902857780000001</v>
      </c>
      <c r="S136" s="782">
        <v>70.352427891428562</v>
      </c>
      <c r="T136" s="782">
        <v>27.071428571428573</v>
      </c>
      <c r="U136" s="782">
        <v>7.9792855807142846</v>
      </c>
      <c r="V136" s="782">
        <v>12.036131450000001</v>
      </c>
      <c r="W136" s="782">
        <v>1.862857103571429</v>
      </c>
      <c r="X136" s="782">
        <v>42.742857252857149</v>
      </c>
      <c r="Y136" s="782">
        <v>7.6952857290000001</v>
      </c>
    </row>
    <row r="137" spans="15:26">
      <c r="P137" s="571">
        <v>29</v>
      </c>
      <c r="Q137" s="782">
        <v>8.7399999755714273</v>
      </c>
      <c r="R137" s="782">
        <v>3.3690000857142857</v>
      </c>
      <c r="S137" s="782">
        <v>69.363000051428585</v>
      </c>
      <c r="T137" s="782">
        <v>26.369142805714286</v>
      </c>
      <c r="U137" s="782">
        <v>7.2952857698571441</v>
      </c>
      <c r="V137" s="782">
        <v>12.01250158142857</v>
      </c>
      <c r="W137" s="782">
        <v>2.1428571427142855</v>
      </c>
      <c r="X137" s="782">
        <v>40.262857164285712</v>
      </c>
      <c r="Y137" s="782">
        <v>7.1297142847142867</v>
      </c>
    </row>
    <row r="138" spans="15:26">
      <c r="P138" s="571">
        <v>30</v>
      </c>
      <c r="Q138" s="782">
        <v>8.2612857819999999</v>
      </c>
      <c r="R138" s="782">
        <v>3.9334286622857135</v>
      </c>
      <c r="S138" s="782">
        <v>68.101856775714282</v>
      </c>
      <c r="T138" s="782">
        <v>23.077571325714285</v>
      </c>
      <c r="U138" s="782">
        <v>7.5452858379999999</v>
      </c>
      <c r="V138" s="782">
        <v>12.065415654285715</v>
      </c>
      <c r="W138" s="782">
        <v>2.0148571899999999</v>
      </c>
      <c r="X138" s="782">
        <v>39.827141895714291</v>
      </c>
      <c r="Y138" s="782">
        <v>8.1214285577142853</v>
      </c>
    </row>
    <row r="139" spans="15:26">
      <c r="P139" s="571">
        <v>31</v>
      </c>
      <c r="Q139" s="782">
        <v>7.5295715331428577</v>
      </c>
      <c r="R139" s="782">
        <v>3.8718570981428577</v>
      </c>
      <c r="S139" s="782">
        <v>66.163572037142856</v>
      </c>
      <c r="T139" s="782">
        <v>20.36314283098493</v>
      </c>
      <c r="U139" s="782">
        <v>7.1267142297142865</v>
      </c>
      <c r="V139" s="782">
        <v>12.064045632857143</v>
      </c>
      <c r="W139" s="782">
        <v>2.0708571672857143</v>
      </c>
      <c r="X139" s="782">
        <v>37.761428834285709</v>
      </c>
      <c r="Y139" s="782">
        <v>8.1097143717142863</v>
      </c>
    </row>
    <row r="140" spans="15:26">
      <c r="O140" s="283">
        <v>32</v>
      </c>
      <c r="P140" s="571">
        <v>32</v>
      </c>
      <c r="Q140" s="782">
        <v>7.1332857268197154</v>
      </c>
      <c r="R140" s="782">
        <v>3.9694285733359158</v>
      </c>
      <c r="S140" s="782">
        <v>69.589143480573355</v>
      </c>
      <c r="T140" s="782">
        <v>20.36</v>
      </c>
      <c r="U140" s="782">
        <v>6.828428472791396</v>
      </c>
      <c r="V140" s="782">
        <v>11.89809417724604</v>
      </c>
      <c r="W140" s="782">
        <v>1.7728571551186658</v>
      </c>
      <c r="X140" s="782">
        <v>37.760714394705587</v>
      </c>
      <c r="Y140" s="782">
        <v>10.538714272635294</v>
      </c>
    </row>
    <row r="141" spans="15:26">
      <c r="P141" s="571">
        <v>33</v>
      </c>
      <c r="Q141" s="782">
        <v>7.307000092</v>
      </c>
      <c r="R141" s="782">
        <v>4.0542857307142848</v>
      </c>
      <c r="S141" s="782">
        <v>67.52914374142857</v>
      </c>
      <c r="T141" s="782">
        <v>23.369000025714286</v>
      </c>
      <c r="U141" s="782">
        <v>6.6690000125714279</v>
      </c>
      <c r="V141" s="782">
        <v>11.954105787142856</v>
      </c>
      <c r="W141" s="782">
        <v>1.7154285907142857</v>
      </c>
      <c r="X141" s="782">
        <v>38.402142115714284</v>
      </c>
      <c r="Y141" s="782">
        <v>6.1292857952857149</v>
      </c>
    </row>
    <row r="142" spans="15:26">
      <c r="P142" s="571">
        <v>34</v>
      </c>
      <c r="Q142" s="782">
        <v>6.8864285605714288</v>
      </c>
      <c r="R142" s="782">
        <v>3.8852857181428568</v>
      </c>
      <c r="S142" s="782">
        <v>67.307859692857136</v>
      </c>
      <c r="T142" s="782">
        <v>24.434428622857144</v>
      </c>
      <c r="U142" s="782">
        <v>6.6477142742857138</v>
      </c>
      <c r="V142" s="782">
        <v>11.958392961428572</v>
      </c>
      <c r="W142" s="782">
        <v>2.26100002</v>
      </c>
      <c r="X142" s="782">
        <v>36.792856487142856</v>
      </c>
      <c r="Y142" s="782">
        <v>6.0765714645714288</v>
      </c>
    </row>
    <row r="143" spans="15:26">
      <c r="P143" s="571">
        <v>35</v>
      </c>
      <c r="Q143" s="782">
        <v>6.9537143707275364</v>
      </c>
      <c r="R143" s="782">
        <v>3.3560000147138283</v>
      </c>
      <c r="S143" s="782">
        <v>62.870428357805473</v>
      </c>
      <c r="T143" s="782">
        <v>21.077428545270632</v>
      </c>
      <c r="U143" s="782">
        <v>6.0071428843906904</v>
      </c>
      <c r="V143" s="782">
        <v>12.309941428048228</v>
      </c>
      <c r="W143" s="782">
        <v>1.5178571258272411</v>
      </c>
      <c r="X143" s="782">
        <v>37.991428375244077</v>
      </c>
      <c r="Y143" s="782">
        <v>5.9287142923900031</v>
      </c>
      <c r="Z143" s="783"/>
    </row>
    <row r="144" spans="15:26">
      <c r="P144" s="571">
        <v>36</v>
      </c>
      <c r="Q144" s="782">
        <v>6.8990000316074882</v>
      </c>
      <c r="R144" s="782">
        <v>3.1212857110159686</v>
      </c>
      <c r="S144" s="782">
        <v>65.621286119733483</v>
      </c>
      <c r="T144" s="782">
        <v>23.857142857142815</v>
      </c>
      <c r="U144" s="782">
        <v>6.0528572627476231</v>
      </c>
      <c r="V144" s="782">
        <v>12.697084290640644</v>
      </c>
      <c r="W144" s="782">
        <v>1.0650000040020247</v>
      </c>
      <c r="X144" s="782">
        <v>40.24999999999995</v>
      </c>
      <c r="Y144" s="782">
        <v>6.6625714302062962</v>
      </c>
    </row>
    <row r="145" spans="15:25">
      <c r="P145" s="571">
        <v>37</v>
      </c>
      <c r="Q145" s="782">
        <v>6.6838571003505107</v>
      </c>
      <c r="R145" s="782">
        <v>3.6978571414947474</v>
      </c>
      <c r="S145" s="782">
        <v>65.927430289132204</v>
      </c>
      <c r="T145" s="782">
        <v>21.696428571428545</v>
      </c>
      <c r="U145" s="782">
        <v>5.992857115609298</v>
      </c>
      <c r="V145" s="782">
        <v>12.722499983651257</v>
      </c>
      <c r="W145" s="782">
        <v>1.5737142903464156</v>
      </c>
      <c r="X145" s="782">
        <v>41.220714024135006</v>
      </c>
      <c r="Y145" s="782">
        <v>6.7525714465549971</v>
      </c>
    </row>
    <row r="146" spans="15:25">
      <c r="P146" s="571">
        <v>38</v>
      </c>
      <c r="Q146" s="782">
        <v>7.5399999618530247</v>
      </c>
      <c r="R146" s="782">
        <v>4.336428608285714</v>
      </c>
      <c r="S146" s="782">
        <v>68.259427751813561</v>
      </c>
      <c r="T146" s="782">
        <v>32.958285740443614</v>
      </c>
      <c r="U146" s="782">
        <v>6.3054285049438423</v>
      </c>
      <c r="V146" s="782">
        <v>12.757261548723429</v>
      </c>
      <c r="W146" s="782">
        <v>1.6808571304593714</v>
      </c>
      <c r="X146" s="782">
        <v>38.451428549630243</v>
      </c>
      <c r="Y146" s="782">
        <v>6.3287143026079411</v>
      </c>
    </row>
    <row r="147" spans="15:25">
      <c r="P147" s="571">
        <v>39</v>
      </c>
      <c r="Q147" s="782">
        <v>6.875</v>
      </c>
      <c r="R147" s="782">
        <v>3.7</v>
      </c>
      <c r="S147" s="782">
        <v>75.159429278571437</v>
      </c>
      <c r="T147" s="782">
        <v>41.827428545714284</v>
      </c>
      <c r="U147" s="782">
        <v>7.6855713981428568</v>
      </c>
      <c r="V147" s="782">
        <v>12.744882855714284</v>
      </c>
      <c r="W147" s="782">
        <v>1.6871428661428571</v>
      </c>
      <c r="X147" s="782">
        <v>41.307143075714286</v>
      </c>
      <c r="Y147" s="782">
        <v>7.4534285069999999</v>
      </c>
    </row>
    <row r="148" spans="15:25">
      <c r="O148" s="283">
        <v>40</v>
      </c>
      <c r="P148" s="571">
        <v>40</v>
      </c>
      <c r="Q148" s="782">
        <v>6.0911429268571426</v>
      </c>
      <c r="R148" s="782">
        <v>3.501428569857143</v>
      </c>
      <c r="S148" s="782">
        <v>73.523286004285723</v>
      </c>
      <c r="T148" s="782">
        <v>30.178571428571427</v>
      </c>
      <c r="U148" s="782">
        <v>7.8047143392857157</v>
      </c>
      <c r="V148" s="782">
        <v>13.59601129857143</v>
      </c>
      <c r="W148" s="782">
        <v>1.6130000010000001</v>
      </c>
      <c r="X148" s="782">
        <v>45.036428724285713</v>
      </c>
      <c r="Y148" s="782">
        <v>6.0369999748571432</v>
      </c>
    </row>
    <row r="149" spans="15:25">
      <c r="P149" s="571">
        <v>41</v>
      </c>
      <c r="Q149" s="782">
        <v>5.8652857372857152</v>
      </c>
      <c r="R149" s="782">
        <v>4.2169999735714283</v>
      </c>
      <c r="S149" s="782">
        <v>67.761285509999993</v>
      </c>
      <c r="T149" s="782">
        <v>24.547571454285713</v>
      </c>
      <c r="U149" s="782">
        <v>6.762428624428571</v>
      </c>
      <c r="V149" s="782">
        <v>13.258037294285714</v>
      </c>
      <c r="W149" s="782">
        <v>1.8452857051428571</v>
      </c>
      <c r="X149" s="782">
        <v>44.255714417142862</v>
      </c>
      <c r="Y149" s="782">
        <v>6.8767141612857143</v>
      </c>
    </row>
    <row r="150" spans="15:25">
      <c r="P150" s="571">
        <v>42</v>
      </c>
      <c r="Q150" s="782">
        <v>6.6280000550406255</v>
      </c>
      <c r="R150" s="782">
        <v>4.7599999564034556</v>
      </c>
      <c r="S150" s="782">
        <v>71.132857186453606</v>
      </c>
      <c r="T150" s="782">
        <v>41.773857116699205</v>
      </c>
      <c r="U150" s="782">
        <v>7.8334286553519048</v>
      </c>
      <c r="V150" s="782">
        <v>12.748987061636742</v>
      </c>
      <c r="W150" s="782">
        <v>1.9990000043596503</v>
      </c>
      <c r="X150" s="782">
        <v>49.407857077462303</v>
      </c>
      <c r="Y150" s="782">
        <v>6.4478571755545433</v>
      </c>
    </row>
    <row r="151" spans="15:25">
      <c r="P151" s="571">
        <v>43</v>
      </c>
      <c r="Q151" s="782">
        <v>7.1351429394285715</v>
      </c>
      <c r="R151" s="782">
        <v>5.693714175857143</v>
      </c>
      <c r="S151" s="782">
        <v>76.869857788571409</v>
      </c>
      <c r="T151" s="782">
        <v>39.60114288285714</v>
      </c>
      <c r="U151" s="782">
        <v>6.4934286387142857</v>
      </c>
      <c r="V151" s="782">
        <v>12.771309988571426</v>
      </c>
      <c r="W151" s="782">
        <v>1.5481428758571429</v>
      </c>
      <c r="X151" s="782">
        <v>49.056428090000004</v>
      </c>
      <c r="Y151" s="782">
        <v>6.2457143240000006</v>
      </c>
    </row>
    <row r="152" spans="15:25">
      <c r="P152" s="571">
        <v>44</v>
      </c>
      <c r="Q152" s="782">
        <v>6.1070000102857147</v>
      </c>
      <c r="R152" s="782">
        <v>4.3958570957142857</v>
      </c>
      <c r="S152" s="782">
        <v>68.664999825714276</v>
      </c>
      <c r="T152" s="782">
        <v>36.702285765714286</v>
      </c>
      <c r="U152" s="782">
        <v>5.6301428931428577</v>
      </c>
      <c r="V152" s="782">
        <v>13.156308445714286</v>
      </c>
      <c r="W152" s="782">
        <v>1.4392857041428573</v>
      </c>
      <c r="X152" s="782">
        <v>48.241428374285711</v>
      </c>
      <c r="Y152" s="782">
        <v>6.5374285491428568</v>
      </c>
    </row>
    <row r="153" spans="15:25">
      <c r="P153" s="571">
        <v>45</v>
      </c>
      <c r="Q153" s="782">
        <v>5.6735714502857144</v>
      </c>
      <c r="R153" s="782">
        <v>4.5134285178571432</v>
      </c>
      <c r="S153" s="782">
        <v>62.049999781428575</v>
      </c>
      <c r="T153" s="782">
        <v>27.797571454285713</v>
      </c>
      <c r="U153" s="782">
        <v>5.3054286411428562</v>
      </c>
      <c r="V153" s="782">
        <v>12.687737055714285</v>
      </c>
      <c r="W153" s="782">
        <v>1.380714297142857</v>
      </c>
      <c r="X153" s="782">
        <v>46.33071463571428</v>
      </c>
      <c r="Y153" s="782">
        <v>6.183142798285715</v>
      </c>
    </row>
    <row r="154" spans="15:25">
      <c r="P154" s="571">
        <v>46</v>
      </c>
      <c r="Q154" s="782">
        <v>5.9637143271428581</v>
      </c>
      <c r="R154" s="782">
        <v>5.3014286587142854</v>
      </c>
      <c r="S154" s="782">
        <v>57.546571460000003</v>
      </c>
      <c r="T154" s="782">
        <v>32.208285740000001</v>
      </c>
      <c r="U154" s="782">
        <v>5.1785714285714288</v>
      </c>
      <c r="V154" s="782">
        <v>13.157975741428572</v>
      </c>
      <c r="W154" s="782">
        <v>1.3845714331428574</v>
      </c>
      <c r="X154" s="782">
        <v>44.693571362857142</v>
      </c>
      <c r="Y154" s="782">
        <v>7.3267143794285712</v>
      </c>
    </row>
    <row r="155" spans="15:25">
      <c r="P155" s="571">
        <v>47</v>
      </c>
      <c r="Q155" s="782">
        <v>6.7792857034285712</v>
      </c>
      <c r="R155" s="782">
        <v>3.8094285555714285</v>
      </c>
      <c r="S155" s="782">
        <v>56.944714135714285</v>
      </c>
      <c r="T155" s="782">
        <v>25.351285662857144</v>
      </c>
      <c r="U155" s="782">
        <v>6.1274285315714279</v>
      </c>
      <c r="V155" s="782">
        <v>12.246785572857144</v>
      </c>
      <c r="W155" s="782">
        <v>1.5065714290000003</v>
      </c>
      <c r="X155" s="782">
        <v>42.967857361428564</v>
      </c>
      <c r="Y155" s="782">
        <v>9.6325714934285713</v>
      </c>
    </row>
    <row r="156" spans="15:25">
      <c r="P156" s="571">
        <v>48</v>
      </c>
      <c r="Q156" s="782">
        <v>8.2138571738571429</v>
      </c>
      <c r="R156" s="782">
        <v>5.0787143024285717</v>
      </c>
      <c r="S156" s="782">
        <v>56.829999651428572</v>
      </c>
      <c r="T156" s="782">
        <v>37.994142805714283</v>
      </c>
      <c r="U156" s="782">
        <v>8.188285623714286</v>
      </c>
      <c r="V156" s="782">
        <v>13.367501529999998</v>
      </c>
      <c r="W156" s="782">
        <v>1.0268571504285715</v>
      </c>
      <c r="X156" s="782">
        <v>63.644285474285716</v>
      </c>
      <c r="Y156" s="782">
        <v>13.102857045714286</v>
      </c>
    </row>
    <row r="157" spans="15:25">
      <c r="P157" s="571">
        <v>49</v>
      </c>
      <c r="Q157" s="782">
        <v>17.68042864142857</v>
      </c>
      <c r="R157" s="782">
        <v>12.998142924285714</v>
      </c>
      <c r="S157" s="782">
        <v>90.966000160000007</v>
      </c>
      <c r="T157" s="782">
        <v>88.630856108571422</v>
      </c>
      <c r="U157" s="782">
        <v>14.530285971857142</v>
      </c>
      <c r="V157" s="782">
        <v>13.053452899999998</v>
      </c>
      <c r="W157" s="782">
        <v>1.0737142817142857</v>
      </c>
      <c r="X157" s="782">
        <v>90.734285625714293</v>
      </c>
      <c r="Y157" s="782">
        <v>17.667142595714285</v>
      </c>
    </row>
    <row r="158" spans="15:25">
      <c r="P158" s="571">
        <v>50</v>
      </c>
      <c r="Q158" s="782">
        <v>12.617142812857141</v>
      </c>
      <c r="R158" s="782">
        <v>11.908142771714285</v>
      </c>
      <c r="S158" s="782">
        <v>83.198000225714296</v>
      </c>
      <c r="T158" s="782">
        <v>44.297571454285716</v>
      </c>
      <c r="U158" s="782">
        <v>9.220428467142856</v>
      </c>
      <c r="V158" s="782">
        <v>13.068511554285712</v>
      </c>
      <c r="W158" s="782">
        <v>1.2921428212857144</v>
      </c>
      <c r="X158" s="782">
        <v>57.20714296714285</v>
      </c>
      <c r="Y158" s="782">
        <v>14.238999775714285</v>
      </c>
    </row>
    <row r="159" spans="15:25">
      <c r="P159" s="571">
        <v>51</v>
      </c>
      <c r="Q159" s="782">
        <v>19.502285685714288</v>
      </c>
      <c r="R159" s="782">
        <v>17.91042859142857</v>
      </c>
      <c r="S159" s="782">
        <v>93.582571842857163</v>
      </c>
      <c r="T159" s="782">
        <v>77.60742949714286</v>
      </c>
      <c r="U159" s="782">
        <v>9.7118571817142847</v>
      </c>
      <c r="V159" s="782">
        <v>12.987917082857143</v>
      </c>
      <c r="W159" s="782">
        <v>1.2780000142857142</v>
      </c>
      <c r="X159" s="782">
        <v>76.025713785714288</v>
      </c>
      <c r="Y159" s="782">
        <v>17.224714688571428</v>
      </c>
    </row>
    <row r="160" spans="15:25">
      <c r="O160" s="283">
        <v>52</v>
      </c>
      <c r="P160" s="571">
        <v>52</v>
      </c>
      <c r="Q160" s="782">
        <v>24.478714262857146</v>
      </c>
      <c r="R160" s="782">
        <v>20.052142824285713</v>
      </c>
      <c r="S160" s="782">
        <v>198.89756992857141</v>
      </c>
      <c r="T160" s="782">
        <v>158.34513965714288</v>
      </c>
      <c r="U160" s="782">
        <v>34.910285677142852</v>
      </c>
      <c r="V160" s="782">
        <v>18.967856814285714</v>
      </c>
      <c r="W160" s="782">
        <v>7.1757142371428566</v>
      </c>
      <c r="X160" s="782">
        <v>180.25785610000003</v>
      </c>
      <c r="Y160" s="782">
        <v>54.019857132857133</v>
      </c>
    </row>
    <row r="161" spans="13:32">
      <c r="N161" s="283">
        <v>2021</v>
      </c>
      <c r="P161" s="657">
        <v>1</v>
      </c>
      <c r="Q161" s="782">
        <v>32.471142904285713</v>
      </c>
      <c r="R161" s="782">
        <v>23.040428705714284</v>
      </c>
      <c r="S161" s="658">
        <v>363.19999692857135</v>
      </c>
      <c r="T161" s="658">
        <v>212.58328465714288</v>
      </c>
      <c r="U161" s="782">
        <v>44.205428261428565</v>
      </c>
      <c r="V161" s="782">
        <v>22.357858387142851</v>
      </c>
      <c r="W161" s="782">
        <v>6.7241427552857145</v>
      </c>
      <c r="X161" s="782">
        <v>93.616000575714295</v>
      </c>
      <c r="Y161" s="782">
        <v>70.259001594285721</v>
      </c>
    </row>
    <row r="162" spans="13:32">
      <c r="P162" s="657">
        <v>2</v>
      </c>
      <c r="Q162" s="782">
        <v>29.357571737142859</v>
      </c>
      <c r="R162" s="782">
        <v>22.506999971428574</v>
      </c>
      <c r="S162" s="658">
        <v>323.79400198571426</v>
      </c>
      <c r="T162" s="658">
        <v>154.41086031428571</v>
      </c>
      <c r="U162" s="782">
        <v>27.91428565857143</v>
      </c>
      <c r="V162" s="782">
        <v>16.044107027142857</v>
      </c>
      <c r="W162" s="782">
        <v>3.2384286270000002</v>
      </c>
      <c r="X162" s="782">
        <v>109.19371577142856</v>
      </c>
      <c r="Y162" s="782">
        <v>58.126999447142857</v>
      </c>
    </row>
    <row r="163" spans="13:32">
      <c r="P163" s="657">
        <v>3</v>
      </c>
      <c r="Q163" s="782">
        <v>27.718428745714288</v>
      </c>
      <c r="R163" s="782">
        <v>21.345142638571424</v>
      </c>
      <c r="S163" s="658">
        <v>401.6544320142857</v>
      </c>
      <c r="T163" s="658">
        <v>185.14285714285714</v>
      </c>
      <c r="U163" s="782">
        <v>39.37385668142857</v>
      </c>
      <c r="V163" s="782">
        <v>18.835116929999998</v>
      </c>
      <c r="W163" s="782">
        <v>6.560571466571429</v>
      </c>
      <c r="X163" s="782">
        <v>111.32100131428571</v>
      </c>
      <c r="Y163" s="782">
        <v>74.927428108571434</v>
      </c>
    </row>
    <row r="164" spans="13:32">
      <c r="P164" s="657">
        <v>4</v>
      </c>
      <c r="Q164" s="782">
        <v>30.739285877142859</v>
      </c>
      <c r="R164" s="782">
        <v>24.126143047142854</v>
      </c>
      <c r="S164" s="658">
        <v>367.00971765714274</v>
      </c>
      <c r="T164" s="658">
        <v>156.14856614285716</v>
      </c>
      <c r="U164" s="782">
        <v>23.497714179999999</v>
      </c>
      <c r="V164" s="782">
        <v>16.004641395714284</v>
      </c>
      <c r="W164" s="782">
        <v>5.1067142825714296</v>
      </c>
      <c r="X164" s="782">
        <v>111.11885721428568</v>
      </c>
      <c r="Y164" s="782">
        <v>68.394571574285706</v>
      </c>
    </row>
    <row r="165" spans="13:32">
      <c r="O165" s="283">
        <v>5</v>
      </c>
      <c r="P165" s="657">
        <v>5</v>
      </c>
      <c r="Q165" s="782">
        <v>25.584571565714288</v>
      </c>
      <c r="R165" s="782">
        <v>22.874571391428567</v>
      </c>
      <c r="S165" s="658">
        <v>260.95085362857145</v>
      </c>
      <c r="T165" s="658">
        <v>108.66671425714286</v>
      </c>
      <c r="U165" s="782">
        <v>21.321428571428573</v>
      </c>
      <c r="V165" s="782">
        <v>16.024463924285715</v>
      </c>
      <c r="W165" s="782">
        <v>3.1654285022857147</v>
      </c>
      <c r="X165" s="782">
        <v>108.66071318571429</v>
      </c>
      <c r="Y165" s="782">
        <v>56.864572254285704</v>
      </c>
    </row>
    <row r="166" spans="13:32">
      <c r="P166" s="657"/>
    </row>
    <row r="167" spans="13:32">
      <c r="Q167" s="783" t="s">
        <v>264</v>
      </c>
      <c r="R167" s="783" t="s">
        <v>265</v>
      </c>
      <c r="S167" s="783" t="s">
        <v>266</v>
      </c>
      <c r="T167" s="783" t="s">
        <v>267</v>
      </c>
      <c r="U167" s="783" t="s">
        <v>268</v>
      </c>
      <c r="V167" s="783" t="s">
        <v>269</v>
      </c>
      <c r="W167" s="783" t="s">
        <v>270</v>
      </c>
      <c r="X167" s="783" t="s">
        <v>271</v>
      </c>
      <c r="Y167" s="783" t="s">
        <v>272</v>
      </c>
    </row>
    <row r="171" spans="13:32" s="598" customFormat="1">
      <c r="M171" s="355"/>
      <c r="N171" s="283"/>
      <c r="O171" s="283"/>
      <c r="P171" s="283"/>
      <c r="Q171" s="283"/>
      <c r="R171" s="283"/>
      <c r="S171" s="283"/>
      <c r="T171" s="283"/>
      <c r="U171" s="283"/>
      <c r="V171" s="283"/>
      <c r="W171" s="283"/>
      <c r="X171" s="283"/>
      <c r="Y171" s="283"/>
      <c r="Z171" s="283"/>
      <c r="AA171" s="295"/>
      <c r="AB171" s="295"/>
      <c r="AC171" s="295"/>
      <c r="AD171" s="295"/>
      <c r="AE171" s="283"/>
      <c r="AF171" s="283"/>
    </row>
    <row r="172" spans="13:32" s="598" customFormat="1">
      <c r="M172" s="355"/>
      <c r="N172" s="283"/>
      <c r="O172" s="283"/>
      <c r="P172" s="283"/>
      <c r="Q172" s="283"/>
      <c r="R172" s="283"/>
      <c r="S172" s="283"/>
      <c r="T172" s="283"/>
      <c r="U172" s="283"/>
      <c r="V172" s="283"/>
      <c r="W172" s="283"/>
      <c r="X172" s="283"/>
      <c r="Y172" s="283"/>
      <c r="Z172" s="283"/>
      <c r="AA172" s="295"/>
      <c r="AB172" s="295"/>
      <c r="AC172" s="295"/>
      <c r="AD172" s="295"/>
      <c r="AE172" s="283"/>
      <c r="AF172" s="283"/>
    </row>
    <row r="173" spans="13:32" s="598" customFormat="1">
      <c r="M173" s="355"/>
      <c r="N173" s="283"/>
      <c r="O173" s="283"/>
      <c r="P173" s="283"/>
      <c r="Q173" s="283"/>
      <c r="R173" s="283"/>
      <c r="S173" s="283"/>
      <c r="T173" s="283"/>
      <c r="U173" s="283"/>
      <c r="V173" s="283"/>
      <c r="W173" s="283"/>
      <c r="X173" s="283"/>
      <c r="Y173" s="283"/>
      <c r="Z173" s="283"/>
      <c r="AA173" s="295"/>
      <c r="AB173" s="295"/>
      <c r="AC173" s="295"/>
      <c r="AD173" s="295"/>
      <c r="AE173" s="283"/>
      <c r="AF173" s="283"/>
    </row>
    <row r="174" spans="13:32" s="598" customFormat="1">
      <c r="M174" s="355"/>
      <c r="N174" s="283"/>
      <c r="O174" s="283"/>
      <c r="P174" s="283"/>
      <c r="Q174" s="283"/>
      <c r="R174" s="283"/>
      <c r="S174" s="283"/>
      <c r="T174" s="283"/>
      <c r="U174" s="283"/>
      <c r="V174" s="283"/>
      <c r="W174" s="283"/>
      <c r="X174" s="283"/>
      <c r="Y174" s="283"/>
      <c r="Z174" s="283"/>
      <c r="AA174" s="295"/>
      <c r="AB174" s="295"/>
      <c r="AC174" s="295"/>
      <c r="AD174" s="295"/>
      <c r="AE174" s="283"/>
      <c r="AF174" s="283"/>
    </row>
    <row r="177" spans="13:32" s="598" customFormat="1">
      <c r="M177" s="355"/>
      <c r="N177" s="283"/>
      <c r="O177" s="283"/>
      <c r="P177" s="283"/>
      <c r="Q177" s="283"/>
      <c r="R177" s="283"/>
      <c r="S177" s="283"/>
      <c r="T177" s="283"/>
      <c r="U177" s="283"/>
      <c r="V177" s="283"/>
      <c r="W177" s="283"/>
      <c r="X177" s="283"/>
      <c r="Y177" s="283"/>
      <c r="Z177" s="283"/>
      <c r="AA177" s="295"/>
      <c r="AB177" s="295"/>
      <c r="AC177" s="295"/>
      <c r="AD177" s="295"/>
      <c r="AE177" s="283"/>
      <c r="AF177" s="283"/>
    </row>
    <row r="178" spans="13:32" s="598" customFormat="1">
      <c r="M178" s="355"/>
      <c r="N178" s="283"/>
      <c r="O178" s="283"/>
      <c r="P178" s="283"/>
      <c r="Q178" s="283"/>
      <c r="R178" s="283"/>
      <c r="S178" s="283"/>
      <c r="T178" s="283"/>
      <c r="U178" s="283"/>
      <c r="V178" s="283"/>
      <c r="W178" s="283"/>
      <c r="X178" s="283"/>
      <c r="Y178" s="283"/>
      <c r="Z178" s="283"/>
      <c r="AA178" s="295"/>
      <c r="AB178" s="295"/>
      <c r="AC178" s="295"/>
      <c r="AD178" s="295"/>
      <c r="AE178" s="283"/>
      <c r="AF178" s="283"/>
    </row>
    <row r="179" spans="13:32" s="598" customFormat="1">
      <c r="M179" s="355"/>
      <c r="N179" s="283"/>
      <c r="O179" s="283"/>
      <c r="P179" s="283"/>
      <c r="Q179" s="283"/>
      <c r="R179" s="283"/>
      <c r="S179" s="283"/>
      <c r="T179" s="283"/>
      <c r="U179" s="283"/>
      <c r="V179" s="283"/>
      <c r="W179" s="283"/>
      <c r="X179" s="283"/>
      <c r="Y179" s="283"/>
      <c r="Z179" s="283"/>
      <c r="AA179" s="295"/>
      <c r="AB179" s="295"/>
      <c r="AC179" s="295"/>
      <c r="AD179" s="295"/>
      <c r="AE179" s="283"/>
      <c r="AF179" s="283"/>
    </row>
    <row r="180" spans="13:32" s="598" customFormat="1">
      <c r="M180" s="355"/>
      <c r="N180" s="283"/>
      <c r="O180" s="283"/>
      <c r="P180" s="283"/>
      <c r="Q180" s="283"/>
      <c r="R180" s="283"/>
      <c r="S180" s="283"/>
      <c r="T180" s="283"/>
      <c r="U180" s="283"/>
      <c r="V180" s="283"/>
      <c r="W180" s="283"/>
      <c r="X180" s="283"/>
      <c r="Y180" s="283"/>
      <c r="Z180" s="283"/>
      <c r="AA180" s="295"/>
      <c r="AB180" s="295"/>
      <c r="AC180" s="295"/>
      <c r="AD180" s="295"/>
      <c r="AE180" s="283"/>
      <c r="AF180" s="283"/>
    </row>
    <row r="181" spans="13:32" s="598" customFormat="1">
      <c r="M181" s="355"/>
      <c r="N181" s="283"/>
      <c r="O181" s="283"/>
      <c r="P181" s="283"/>
      <c r="Q181" s="283"/>
      <c r="R181" s="283"/>
      <c r="S181" s="283"/>
      <c r="T181" s="283"/>
      <c r="U181" s="283"/>
      <c r="V181" s="283"/>
      <c r="W181" s="283"/>
      <c r="X181" s="283"/>
      <c r="Y181" s="283"/>
      <c r="Z181" s="283"/>
      <c r="AA181" s="295"/>
      <c r="AB181" s="295"/>
      <c r="AC181" s="295"/>
      <c r="AD181" s="295"/>
      <c r="AE181" s="283"/>
      <c r="AF181" s="283"/>
    </row>
    <row r="182" spans="13:32" s="598" customFormat="1">
      <c r="M182" s="355"/>
      <c r="N182" s="283"/>
      <c r="O182" s="283"/>
      <c r="P182" s="283"/>
      <c r="Q182" s="283"/>
      <c r="R182" s="283"/>
      <c r="S182" s="283"/>
      <c r="T182" s="283"/>
      <c r="U182" s="283"/>
      <c r="V182" s="283"/>
      <c r="W182" s="283"/>
      <c r="X182" s="283"/>
      <c r="Y182" s="283"/>
      <c r="Z182" s="283"/>
      <c r="AA182" s="295"/>
      <c r="AB182" s="295"/>
      <c r="AC182" s="295"/>
      <c r="AD182" s="295"/>
      <c r="AE182" s="283"/>
      <c r="AF182" s="283"/>
    </row>
    <row r="183" spans="13:32" s="598" customFormat="1">
      <c r="M183" s="355"/>
      <c r="N183" s="283"/>
      <c r="O183" s="283"/>
      <c r="P183" s="283"/>
      <c r="Q183" s="283"/>
      <c r="R183" s="283"/>
      <c r="S183" s="283"/>
      <c r="T183" s="283"/>
      <c r="U183" s="283"/>
      <c r="V183" s="283"/>
      <c r="W183" s="283"/>
      <c r="X183" s="283"/>
      <c r="Y183" s="283"/>
      <c r="Z183" s="283"/>
      <c r="AA183" s="295"/>
      <c r="AB183" s="295"/>
      <c r="AC183" s="295"/>
      <c r="AD183" s="295"/>
      <c r="AE183" s="283"/>
      <c r="AF183" s="283"/>
    </row>
    <row r="184" spans="13:32" s="598" customFormat="1">
      <c r="M184" s="355"/>
      <c r="N184" s="283"/>
      <c r="O184" s="283"/>
      <c r="P184" s="283"/>
      <c r="Q184" s="283"/>
      <c r="R184" s="283"/>
      <c r="S184" s="283"/>
      <c r="T184" s="283"/>
      <c r="U184" s="283"/>
      <c r="V184" s="283"/>
      <c r="W184" s="283"/>
      <c r="X184" s="283"/>
      <c r="Y184" s="283"/>
      <c r="Z184" s="283"/>
      <c r="AA184" s="295"/>
      <c r="AB184" s="295"/>
      <c r="AC184" s="295"/>
      <c r="AD184" s="295"/>
      <c r="AE184" s="283"/>
      <c r="AF184" s="283"/>
    </row>
    <row r="185" spans="13:32" s="598" customFormat="1">
      <c r="M185" s="355"/>
      <c r="N185" s="283"/>
      <c r="O185" s="283"/>
      <c r="P185" s="283"/>
      <c r="Q185" s="283"/>
      <c r="R185" s="283"/>
      <c r="S185" s="283"/>
      <c r="T185" s="283"/>
      <c r="U185" s="283"/>
      <c r="V185" s="283"/>
      <c r="W185" s="283"/>
      <c r="X185" s="283"/>
      <c r="Y185" s="283"/>
      <c r="Z185" s="283"/>
      <c r="AA185" s="295"/>
      <c r="AB185" s="295"/>
      <c r="AC185" s="295"/>
      <c r="AD185" s="295"/>
      <c r="AE185" s="283"/>
      <c r="AF185" s="283"/>
    </row>
    <row r="186" spans="13:32" s="598" customFormat="1">
      <c r="M186" s="355"/>
      <c r="N186" s="283"/>
      <c r="O186" s="283"/>
      <c r="P186" s="283"/>
      <c r="Q186" s="283"/>
      <c r="R186" s="283"/>
      <c r="S186" s="283"/>
      <c r="T186" s="283"/>
      <c r="U186" s="283"/>
      <c r="V186" s="283"/>
      <c r="W186" s="283"/>
      <c r="X186" s="283"/>
      <c r="Y186" s="283"/>
      <c r="Z186" s="283"/>
      <c r="AA186" s="295"/>
      <c r="AB186" s="295"/>
      <c r="AC186" s="295"/>
      <c r="AD186" s="295"/>
      <c r="AE186" s="283"/>
      <c r="AF186" s="283"/>
    </row>
    <row r="187" spans="13:32" s="598" customFormat="1">
      <c r="M187" s="355"/>
      <c r="N187" s="283"/>
      <c r="O187" s="283"/>
      <c r="P187" s="283"/>
      <c r="Q187" s="283"/>
      <c r="R187" s="283"/>
      <c r="S187" s="283"/>
      <c r="T187" s="283"/>
      <c r="U187" s="283"/>
      <c r="V187" s="283"/>
      <c r="W187" s="283"/>
      <c r="X187" s="283"/>
      <c r="Y187" s="283"/>
      <c r="Z187" s="283"/>
      <c r="AA187" s="295"/>
      <c r="AB187" s="295"/>
      <c r="AC187" s="295"/>
      <c r="AD187" s="295"/>
      <c r="AE187" s="283"/>
      <c r="AF187" s="283"/>
    </row>
    <row r="188" spans="13:32" s="598" customFormat="1">
      <c r="M188" s="355"/>
      <c r="N188" s="283"/>
      <c r="O188" s="283"/>
      <c r="P188" s="283"/>
      <c r="Q188" s="283"/>
      <c r="R188" s="283"/>
      <c r="S188" s="283"/>
      <c r="T188" s="283"/>
      <c r="U188" s="283"/>
      <c r="V188" s="283"/>
      <c r="W188" s="283"/>
      <c r="X188" s="283"/>
      <c r="Y188" s="283"/>
      <c r="Z188" s="283"/>
      <c r="AA188" s="295"/>
      <c r="AB188" s="295"/>
      <c r="AC188" s="295"/>
      <c r="AD188" s="295"/>
      <c r="AE188" s="283"/>
      <c r="AF188" s="283"/>
    </row>
    <row r="189" spans="13:32" s="598" customFormat="1">
      <c r="M189" s="355"/>
      <c r="N189" s="283"/>
      <c r="O189" s="283"/>
      <c r="P189" s="283"/>
      <c r="Q189" s="283"/>
      <c r="R189" s="283"/>
      <c r="S189" s="283"/>
      <c r="T189" s="283"/>
      <c r="U189" s="283"/>
      <c r="V189" s="283"/>
      <c r="W189" s="283"/>
      <c r="X189" s="283"/>
      <c r="Y189" s="283"/>
      <c r="Z189" s="283"/>
      <c r="AA189" s="295"/>
      <c r="AB189" s="295"/>
      <c r="AC189" s="295"/>
      <c r="AD189" s="295"/>
      <c r="AE189" s="283"/>
      <c r="AF189" s="283"/>
    </row>
    <row r="190" spans="13:32" s="598" customFormat="1">
      <c r="M190" s="355"/>
      <c r="N190" s="283"/>
      <c r="O190" s="283"/>
      <c r="P190" s="283"/>
      <c r="Q190" s="283"/>
      <c r="R190" s="283"/>
      <c r="S190" s="283"/>
      <c r="T190" s="283"/>
      <c r="U190" s="283"/>
      <c r="V190" s="283"/>
      <c r="W190" s="283"/>
      <c r="X190" s="283"/>
      <c r="Y190" s="283"/>
      <c r="Z190" s="283"/>
      <c r="AA190" s="295"/>
      <c r="AB190" s="295"/>
      <c r="AC190" s="295"/>
      <c r="AD190" s="295"/>
      <c r="AE190" s="283"/>
      <c r="AF190" s="283"/>
    </row>
    <row r="191" spans="13:32" s="598" customFormat="1">
      <c r="M191" s="355"/>
      <c r="N191" s="283"/>
      <c r="O191" s="283"/>
      <c r="P191" s="283"/>
      <c r="Q191" s="283"/>
      <c r="R191" s="283"/>
      <c r="S191" s="283"/>
      <c r="T191" s="283"/>
      <c r="U191" s="283"/>
      <c r="V191" s="283"/>
      <c r="W191" s="283"/>
      <c r="X191" s="283"/>
      <c r="Y191" s="283"/>
      <c r="Z191" s="283"/>
      <c r="AA191" s="295"/>
      <c r="AB191" s="295"/>
      <c r="AC191" s="295"/>
      <c r="AD191" s="295"/>
      <c r="AE191" s="283"/>
      <c r="AF191" s="283"/>
    </row>
    <row r="192" spans="13:32" s="598" customFormat="1">
      <c r="M192" s="355"/>
      <c r="N192" s="283"/>
      <c r="O192" s="283"/>
      <c r="P192" s="283"/>
      <c r="Q192" s="283"/>
      <c r="R192" s="283"/>
      <c r="S192" s="283"/>
      <c r="T192" s="283"/>
      <c r="U192" s="283"/>
      <c r="V192" s="283"/>
      <c r="W192" s="283"/>
      <c r="X192" s="283"/>
      <c r="Y192" s="283"/>
      <c r="Z192" s="283"/>
      <c r="AA192" s="295"/>
      <c r="AB192" s="295"/>
      <c r="AC192" s="295"/>
      <c r="AD192" s="295"/>
      <c r="AE192" s="283"/>
      <c r="AF192" s="283"/>
    </row>
    <row r="193" spans="13:32" s="598" customFormat="1">
      <c r="M193" s="355"/>
      <c r="N193" s="283"/>
      <c r="O193" s="283"/>
      <c r="P193" s="283"/>
      <c r="Q193" s="283"/>
      <c r="R193" s="283"/>
      <c r="S193" s="283"/>
      <c r="T193" s="283"/>
      <c r="U193" s="283"/>
      <c r="V193" s="283"/>
      <c r="W193" s="283"/>
      <c r="X193" s="283"/>
      <c r="Y193" s="283"/>
      <c r="Z193" s="283"/>
      <c r="AA193" s="295"/>
      <c r="AB193" s="295"/>
      <c r="AC193" s="295"/>
      <c r="AD193" s="295"/>
      <c r="AE193" s="283"/>
      <c r="AF193" s="283"/>
    </row>
    <row r="194" spans="13:32" s="598" customFormat="1">
      <c r="M194" s="355"/>
      <c r="N194" s="283"/>
      <c r="O194" s="283"/>
      <c r="P194" s="283"/>
      <c r="Q194" s="283"/>
      <c r="R194" s="283"/>
      <c r="S194" s="283"/>
      <c r="T194" s="283"/>
      <c r="U194" s="283"/>
      <c r="V194" s="283"/>
      <c r="W194" s="283"/>
      <c r="X194" s="283"/>
      <c r="Y194" s="283"/>
      <c r="Z194" s="283"/>
      <c r="AA194" s="295"/>
      <c r="AB194" s="295"/>
      <c r="AC194" s="295"/>
      <c r="AD194" s="295"/>
      <c r="AE194" s="283"/>
      <c r="AF194" s="283"/>
    </row>
    <row r="195" spans="13:32" s="598" customFormat="1">
      <c r="M195" s="355"/>
      <c r="N195" s="283"/>
      <c r="O195" s="283"/>
      <c r="P195" s="283"/>
      <c r="Q195" s="283"/>
      <c r="R195" s="283"/>
      <c r="S195" s="283"/>
      <c r="T195" s="283"/>
      <c r="U195" s="283"/>
      <c r="V195" s="283"/>
      <c r="W195" s="283"/>
      <c r="X195" s="283"/>
      <c r="Y195" s="283"/>
      <c r="Z195" s="283"/>
      <c r="AA195" s="295"/>
      <c r="AB195" s="295"/>
      <c r="AC195" s="295"/>
      <c r="AD195" s="295"/>
      <c r="AE195" s="283"/>
      <c r="AF195" s="283"/>
    </row>
    <row r="196" spans="13:32" s="598" customFormat="1">
      <c r="M196" s="355"/>
      <c r="N196" s="283"/>
      <c r="O196" s="283"/>
      <c r="P196" s="283"/>
      <c r="Q196" s="283"/>
      <c r="R196" s="283"/>
      <c r="S196" s="283"/>
      <c r="T196" s="283"/>
      <c r="U196" s="283"/>
      <c r="V196" s="283"/>
      <c r="W196" s="283"/>
      <c r="X196" s="283"/>
      <c r="Y196" s="283"/>
      <c r="Z196" s="283"/>
      <c r="AA196" s="295"/>
      <c r="AB196" s="295"/>
      <c r="AC196" s="295"/>
      <c r="AD196" s="295"/>
      <c r="AE196" s="283"/>
      <c r="AF196" s="283"/>
    </row>
    <row r="197" spans="13:32" s="598" customFormat="1">
      <c r="M197" s="355"/>
      <c r="N197" s="283"/>
      <c r="O197" s="283"/>
      <c r="P197" s="283"/>
      <c r="Q197" s="283"/>
      <c r="R197" s="283"/>
      <c r="S197" s="283"/>
      <c r="T197" s="283"/>
      <c r="U197" s="283"/>
      <c r="V197" s="283"/>
      <c r="W197" s="283"/>
      <c r="X197" s="283"/>
      <c r="Y197" s="283"/>
      <c r="Z197" s="283"/>
      <c r="AA197" s="295"/>
      <c r="AB197" s="295"/>
      <c r="AC197" s="295"/>
      <c r="AD197" s="295"/>
      <c r="AE197" s="283"/>
      <c r="AF197" s="283"/>
    </row>
    <row r="198" spans="13:32" s="598" customFormat="1">
      <c r="M198" s="355"/>
      <c r="N198" s="283"/>
      <c r="O198" s="283"/>
      <c r="P198" s="283"/>
      <c r="Q198" s="283"/>
      <c r="R198" s="283"/>
      <c r="S198" s="283"/>
      <c r="T198" s="283"/>
      <c r="U198" s="283"/>
      <c r="V198" s="283"/>
      <c r="W198" s="283"/>
      <c r="X198" s="283"/>
      <c r="Y198" s="283"/>
      <c r="Z198" s="283"/>
      <c r="AA198" s="295"/>
      <c r="AB198" s="295"/>
      <c r="AC198" s="295"/>
      <c r="AD198" s="295"/>
      <c r="AE198" s="283"/>
      <c r="AF198" s="283"/>
    </row>
    <row r="199" spans="13:32" s="598" customFormat="1">
      <c r="M199" s="355"/>
      <c r="N199" s="283"/>
      <c r="O199" s="283"/>
      <c r="P199" s="283"/>
      <c r="Q199" s="283"/>
      <c r="R199" s="283"/>
      <c r="S199" s="283"/>
      <c r="T199" s="283"/>
      <c r="U199" s="283"/>
      <c r="V199" s="283"/>
      <c r="W199" s="283"/>
      <c r="X199" s="283"/>
      <c r="Y199" s="283"/>
      <c r="Z199" s="283"/>
      <c r="AA199" s="295"/>
      <c r="AB199" s="295"/>
      <c r="AC199" s="295"/>
      <c r="AD199" s="295"/>
      <c r="AE199" s="283"/>
      <c r="AF199" s="283"/>
    </row>
    <row r="200" spans="13:32" s="598" customFormat="1">
      <c r="M200" s="355"/>
      <c r="N200" s="283"/>
      <c r="O200" s="283"/>
      <c r="P200" s="283"/>
      <c r="Q200" s="283"/>
      <c r="R200" s="283"/>
      <c r="S200" s="283"/>
      <c r="T200" s="283"/>
      <c r="U200" s="283"/>
      <c r="V200" s="283"/>
      <c r="W200" s="283"/>
      <c r="X200" s="283"/>
      <c r="Y200" s="283"/>
      <c r="Z200" s="283"/>
      <c r="AA200" s="295"/>
      <c r="AB200" s="295"/>
      <c r="AC200" s="295"/>
      <c r="AD200" s="295"/>
      <c r="AE200" s="283"/>
      <c r="AF200" s="283"/>
    </row>
    <row r="201" spans="13:32" s="598" customFormat="1">
      <c r="M201" s="355"/>
      <c r="N201" s="283"/>
      <c r="O201" s="283"/>
      <c r="P201" s="283"/>
      <c r="Q201" s="283"/>
      <c r="R201" s="283"/>
      <c r="S201" s="283"/>
      <c r="T201" s="283"/>
      <c r="U201" s="283"/>
      <c r="V201" s="283"/>
      <c r="W201" s="283"/>
      <c r="X201" s="283"/>
      <c r="Y201" s="283"/>
      <c r="Z201" s="283"/>
      <c r="AA201" s="295"/>
      <c r="AB201" s="295"/>
      <c r="AC201" s="295"/>
      <c r="AD201" s="295"/>
      <c r="AE201" s="283"/>
      <c r="AF201" s="283"/>
    </row>
    <row r="202" spans="13:32" s="598" customFormat="1">
      <c r="M202" s="355"/>
      <c r="N202" s="283"/>
      <c r="O202" s="283"/>
      <c r="P202" s="283"/>
      <c r="Q202" s="283"/>
      <c r="R202" s="283"/>
      <c r="S202" s="283"/>
      <c r="T202" s="283"/>
      <c r="U202" s="283"/>
      <c r="V202" s="283"/>
      <c r="W202" s="283"/>
      <c r="X202" s="283"/>
      <c r="Y202" s="283"/>
      <c r="Z202" s="283"/>
      <c r="AA202" s="295"/>
      <c r="AB202" s="295"/>
      <c r="AC202" s="295"/>
      <c r="AD202" s="295"/>
      <c r="AE202" s="283"/>
      <c r="AF202" s="283"/>
    </row>
    <row r="203" spans="13:32" s="598" customFormat="1">
      <c r="M203" s="355"/>
      <c r="N203" s="283"/>
      <c r="O203" s="283"/>
      <c r="P203" s="283"/>
      <c r="Q203" s="283"/>
      <c r="R203" s="283"/>
      <c r="S203" s="283"/>
      <c r="T203" s="283"/>
      <c r="U203" s="283"/>
      <c r="V203" s="283"/>
      <c r="W203" s="283"/>
      <c r="X203" s="283"/>
      <c r="Y203" s="283"/>
      <c r="Z203" s="283"/>
      <c r="AA203" s="295"/>
      <c r="AB203" s="295"/>
      <c r="AC203" s="295"/>
      <c r="AD203" s="295"/>
      <c r="AE203" s="283"/>
      <c r="AF203" s="283"/>
    </row>
    <row r="204" spans="13:32" s="598" customFormat="1">
      <c r="M204" s="355"/>
      <c r="N204" s="283"/>
      <c r="O204" s="283"/>
      <c r="P204" s="283"/>
      <c r="Q204" s="283"/>
      <c r="R204" s="283"/>
      <c r="S204" s="283"/>
      <c r="T204" s="283"/>
      <c r="U204" s="283"/>
      <c r="V204" s="283"/>
      <c r="W204" s="283"/>
      <c r="X204" s="283"/>
      <c r="Y204" s="283"/>
      <c r="Z204" s="283"/>
      <c r="AA204" s="295"/>
      <c r="AB204" s="295"/>
      <c r="AC204" s="295"/>
      <c r="AD204" s="295"/>
      <c r="AE204" s="283"/>
      <c r="AF204" s="283"/>
    </row>
    <row r="205" spans="13:32" s="598" customFormat="1">
      <c r="M205" s="355"/>
      <c r="N205" s="283"/>
      <c r="O205" s="283"/>
      <c r="P205" s="283"/>
      <c r="Q205" s="283"/>
      <c r="R205" s="283"/>
      <c r="S205" s="283"/>
      <c r="T205" s="283"/>
      <c r="U205" s="283"/>
      <c r="V205" s="283"/>
      <c r="W205" s="283"/>
      <c r="X205" s="283"/>
      <c r="Y205" s="283"/>
      <c r="Z205" s="283"/>
      <c r="AA205" s="295"/>
      <c r="AB205" s="295"/>
      <c r="AC205" s="295"/>
      <c r="AD205" s="295"/>
      <c r="AE205" s="283"/>
      <c r="AF205" s="283"/>
    </row>
    <row r="206" spans="13:32" s="598" customFormat="1">
      <c r="M206" s="355"/>
      <c r="N206" s="283"/>
      <c r="O206" s="283"/>
      <c r="P206" s="283"/>
      <c r="Q206" s="283"/>
      <c r="R206" s="283"/>
      <c r="S206" s="283"/>
      <c r="T206" s="283"/>
      <c r="U206" s="283"/>
      <c r="V206" s="283"/>
      <c r="W206" s="283"/>
      <c r="X206" s="283"/>
      <c r="Y206" s="283"/>
      <c r="Z206" s="283"/>
      <c r="AA206" s="295"/>
      <c r="AB206" s="295"/>
      <c r="AC206" s="295"/>
      <c r="AD206" s="295"/>
      <c r="AE206" s="283"/>
      <c r="AF206" s="283"/>
    </row>
    <row r="207" spans="13:32" s="598" customFormat="1">
      <c r="M207" s="355"/>
      <c r="N207" s="283"/>
      <c r="O207" s="283"/>
      <c r="P207" s="283"/>
      <c r="Q207" s="283"/>
      <c r="R207" s="283"/>
      <c r="S207" s="283"/>
      <c r="T207" s="283"/>
      <c r="U207" s="283"/>
      <c r="V207" s="283"/>
      <c r="W207" s="283"/>
      <c r="X207" s="283"/>
      <c r="Y207" s="283"/>
      <c r="Z207" s="283"/>
      <c r="AA207" s="295"/>
      <c r="AB207" s="295"/>
      <c r="AC207" s="295"/>
      <c r="AD207" s="295"/>
      <c r="AE207" s="283"/>
      <c r="AF207" s="283"/>
    </row>
    <row r="208" spans="13:32" s="598" customFormat="1">
      <c r="M208" s="355"/>
      <c r="N208" s="283"/>
      <c r="O208" s="283"/>
      <c r="P208" s="283"/>
      <c r="Q208" s="283"/>
      <c r="R208" s="283"/>
      <c r="S208" s="283"/>
      <c r="T208" s="283"/>
      <c r="U208" s="283"/>
      <c r="V208" s="283"/>
      <c r="W208" s="283"/>
      <c r="X208" s="283"/>
      <c r="Y208" s="283"/>
      <c r="Z208" s="283"/>
      <c r="AA208" s="295"/>
      <c r="AB208" s="295"/>
      <c r="AC208" s="295"/>
      <c r="AD208" s="295"/>
      <c r="AE208" s="283"/>
      <c r="AF208" s="283"/>
    </row>
    <row r="209" spans="13:32" s="598" customFormat="1">
      <c r="M209" s="355"/>
      <c r="N209" s="283"/>
      <c r="O209" s="283"/>
      <c r="P209" s="283"/>
      <c r="Q209" s="283"/>
      <c r="R209" s="283"/>
      <c r="S209" s="283"/>
      <c r="T209" s="283"/>
      <c r="U209" s="283"/>
      <c r="V209" s="283"/>
      <c r="W209" s="283"/>
      <c r="X209" s="283"/>
      <c r="Y209" s="283"/>
      <c r="Z209" s="283"/>
      <c r="AA209" s="295"/>
      <c r="AB209" s="295"/>
      <c r="AC209" s="295"/>
      <c r="AD209" s="295"/>
      <c r="AE209" s="283"/>
      <c r="AF209" s="283"/>
    </row>
    <row r="210" spans="13:32" s="598" customFormat="1">
      <c r="M210" s="355"/>
      <c r="N210" s="283"/>
      <c r="O210" s="283"/>
      <c r="P210" s="283"/>
      <c r="Q210" s="283"/>
      <c r="R210" s="283"/>
      <c r="S210" s="283"/>
      <c r="T210" s="283"/>
      <c r="U210" s="283"/>
      <c r="V210" s="283"/>
      <c r="W210" s="283"/>
      <c r="X210" s="283"/>
      <c r="Y210" s="283"/>
      <c r="Z210" s="283"/>
      <c r="AA210" s="295"/>
      <c r="AB210" s="295"/>
      <c r="AC210" s="295"/>
      <c r="AD210" s="295"/>
      <c r="AE210" s="283"/>
      <c r="AF210" s="283"/>
    </row>
    <row r="211" spans="13:32" s="598" customFormat="1">
      <c r="M211" s="355"/>
      <c r="N211" s="283"/>
      <c r="O211" s="283"/>
      <c r="P211" s="283"/>
      <c r="Q211" s="283"/>
      <c r="R211" s="283"/>
      <c r="S211" s="283"/>
      <c r="T211" s="283"/>
      <c r="U211" s="283"/>
      <c r="V211" s="283"/>
      <c r="W211" s="283"/>
      <c r="X211" s="283"/>
      <c r="Y211" s="283"/>
      <c r="Z211" s="283"/>
      <c r="AA211" s="295"/>
      <c r="AB211" s="295"/>
      <c r="AC211" s="295"/>
      <c r="AD211" s="295"/>
      <c r="AE211" s="283"/>
      <c r="AF211" s="283"/>
    </row>
    <row r="212" spans="13:32" s="598" customFormat="1">
      <c r="M212" s="355"/>
      <c r="N212" s="283"/>
      <c r="O212" s="283"/>
      <c r="P212" s="283"/>
      <c r="Q212" s="283"/>
      <c r="R212" s="283"/>
      <c r="S212" s="283"/>
      <c r="T212" s="283"/>
      <c r="U212" s="283"/>
      <c r="V212" s="283"/>
      <c r="W212" s="283"/>
      <c r="X212" s="283"/>
      <c r="Y212" s="283"/>
      <c r="Z212" s="283"/>
      <c r="AA212" s="295"/>
      <c r="AB212" s="295"/>
      <c r="AC212" s="295"/>
      <c r="AD212" s="295"/>
      <c r="AE212" s="283"/>
      <c r="AF212" s="283"/>
    </row>
    <row r="217" spans="13:32">
      <c r="P217" s="657"/>
      <c r="Q217" s="782"/>
      <c r="R217" s="782"/>
      <c r="S217" s="782"/>
      <c r="T217" s="782"/>
      <c r="U217" s="782"/>
      <c r="V217" s="782"/>
      <c r="W217" s="782"/>
      <c r="X217" s="782"/>
      <c r="Y217" s="782"/>
    </row>
    <row r="221" spans="13:32">
      <c r="P221" s="657"/>
      <c r="Q221" s="782"/>
      <c r="R221" s="782"/>
      <c r="S221" s="782"/>
      <c r="T221" s="782"/>
      <c r="U221" s="782"/>
      <c r="V221" s="782"/>
      <c r="W221" s="782"/>
      <c r="X221" s="782"/>
      <c r="Y221" s="782"/>
    </row>
    <row r="222" spans="13:32">
      <c r="P222" s="657"/>
      <c r="Q222" s="782"/>
      <c r="R222" s="782"/>
      <c r="S222" s="782"/>
      <c r="T222" s="782"/>
      <c r="U222" s="782"/>
      <c r="V222" s="782"/>
      <c r="W222" s="782"/>
      <c r="X222" s="782"/>
      <c r="Y222" s="782"/>
    </row>
    <row r="223" spans="13:32">
      <c r="P223" s="657"/>
      <c r="Q223" s="782"/>
      <c r="R223" s="782"/>
      <c r="S223" s="782"/>
      <c r="T223" s="782"/>
      <c r="U223" s="782"/>
      <c r="V223" s="782"/>
      <c r="W223" s="782"/>
      <c r="X223" s="782"/>
      <c r="Y223" s="782"/>
    </row>
    <row r="224" spans="13:32">
      <c r="P224" s="657"/>
      <c r="Q224" s="782"/>
      <c r="R224" s="782"/>
      <c r="S224" s="782"/>
      <c r="T224" s="782"/>
      <c r="U224" s="782"/>
      <c r="V224" s="782"/>
      <c r="W224" s="782"/>
      <c r="X224" s="782"/>
      <c r="Y224" s="782"/>
    </row>
    <row r="225" spans="16:25">
      <c r="P225" s="657"/>
      <c r="Q225" s="782"/>
      <c r="R225" s="782"/>
      <c r="S225" s="784"/>
      <c r="T225" s="782"/>
      <c r="U225" s="782"/>
      <c r="V225" s="782"/>
      <c r="W225" s="782"/>
      <c r="X225" s="782"/>
      <c r="Y225" s="782"/>
    </row>
    <row r="226" spans="16:25">
      <c r="P226" s="657"/>
      <c r="Q226" s="782"/>
      <c r="R226" s="782"/>
      <c r="S226" s="784"/>
      <c r="T226" s="782"/>
      <c r="U226" s="782"/>
      <c r="V226" s="782"/>
      <c r="W226" s="782"/>
      <c r="X226" s="782"/>
      <c r="Y226" s="782"/>
    </row>
    <row r="227" spans="16:25">
      <c r="P227" s="657"/>
      <c r="Q227" s="782"/>
      <c r="R227" s="782"/>
      <c r="S227" s="784"/>
      <c r="T227" s="782"/>
      <c r="U227" s="782"/>
      <c r="V227" s="782"/>
      <c r="W227" s="782"/>
      <c r="X227" s="782"/>
      <c r="Y227" s="782"/>
    </row>
    <row r="228" spans="16:25">
      <c r="P228" s="657"/>
      <c r="Q228" s="782"/>
      <c r="R228" s="782"/>
      <c r="S228" s="784"/>
      <c r="T228" s="782"/>
      <c r="U228" s="782"/>
      <c r="V228" s="782"/>
      <c r="W228" s="782"/>
      <c r="X228" s="782"/>
      <c r="Y228" s="782"/>
    </row>
    <row r="229" spans="16:25">
      <c r="P229" s="657"/>
      <c r="Q229" s="782"/>
      <c r="R229" s="782"/>
      <c r="S229" s="784"/>
      <c r="T229" s="782"/>
      <c r="U229" s="782"/>
      <c r="V229" s="782"/>
      <c r="W229" s="782"/>
      <c r="X229" s="782"/>
      <c r="Y229" s="782"/>
    </row>
    <row r="230" spans="16:25">
      <c r="P230" s="657"/>
      <c r="Q230" s="782"/>
      <c r="R230" s="782"/>
      <c r="S230" s="782"/>
      <c r="T230" s="782"/>
      <c r="U230" s="782"/>
      <c r="V230" s="782"/>
      <c r="W230" s="782"/>
      <c r="X230" s="782"/>
      <c r="Y230" s="782"/>
    </row>
    <row r="231" spans="16:25">
      <c r="P231" s="657"/>
      <c r="Q231" s="782"/>
      <c r="R231" s="782"/>
      <c r="S231" s="782"/>
      <c r="T231" s="782"/>
      <c r="U231" s="782"/>
      <c r="V231" s="782"/>
      <c r="W231" s="782"/>
      <c r="X231" s="782"/>
      <c r="Y231" s="782"/>
    </row>
    <row r="232" spans="16:25">
      <c r="P232" s="657"/>
      <c r="Q232" s="782"/>
      <c r="R232" s="782"/>
      <c r="S232" s="782"/>
      <c r="T232" s="782"/>
      <c r="U232" s="782"/>
      <c r="V232" s="782"/>
      <c r="W232" s="782"/>
      <c r="X232" s="782"/>
      <c r="Y232" s="782"/>
    </row>
    <row r="233" spans="16:25">
      <c r="P233" s="657"/>
      <c r="Q233" s="782"/>
      <c r="R233" s="782"/>
      <c r="S233" s="782"/>
      <c r="T233" s="782"/>
      <c r="U233" s="782"/>
      <c r="V233" s="782"/>
      <c r="W233" s="782"/>
      <c r="X233" s="782"/>
      <c r="Y233" s="782"/>
    </row>
    <row r="234" spans="16:25">
      <c r="P234" s="657"/>
      <c r="Q234" s="782"/>
      <c r="R234" s="782"/>
      <c r="S234" s="782"/>
      <c r="T234" s="782"/>
      <c r="U234" s="782"/>
      <c r="V234" s="782"/>
      <c r="W234" s="782"/>
      <c r="X234" s="782"/>
      <c r="Y234" s="782"/>
    </row>
    <row r="235" spans="16:25">
      <c r="P235" s="657"/>
      <c r="Q235" s="782"/>
      <c r="R235" s="782"/>
      <c r="S235" s="782"/>
      <c r="T235" s="782"/>
      <c r="U235" s="782"/>
      <c r="V235" s="782"/>
      <c r="W235" s="782"/>
      <c r="X235" s="782"/>
      <c r="Y235" s="782"/>
    </row>
    <row r="236" spans="16:25">
      <c r="P236" s="657"/>
      <c r="Q236" s="782"/>
      <c r="R236" s="782"/>
      <c r="S236" s="782"/>
      <c r="T236" s="782"/>
      <c r="U236" s="782"/>
      <c r="V236" s="782"/>
      <c r="W236" s="782"/>
      <c r="X236" s="782"/>
      <c r="Y236" s="782"/>
    </row>
    <row r="237" spans="16:25">
      <c r="P237" s="657"/>
      <c r="Q237" s="782"/>
      <c r="R237" s="782"/>
      <c r="S237" s="782"/>
      <c r="T237" s="782"/>
      <c r="U237" s="782"/>
      <c r="V237" s="782"/>
      <c r="W237" s="782"/>
      <c r="X237" s="782"/>
      <c r="Y237" s="782"/>
    </row>
    <row r="238" spans="16:25">
      <c r="P238" s="657"/>
      <c r="Q238" s="782"/>
      <c r="R238" s="782"/>
      <c r="S238" s="782"/>
      <c r="T238" s="782"/>
      <c r="U238" s="782"/>
      <c r="V238" s="782"/>
      <c r="W238" s="782"/>
      <c r="X238" s="782"/>
      <c r="Y238" s="782"/>
    </row>
    <row r="239" spans="16:25">
      <c r="P239" s="657"/>
      <c r="Q239" s="782"/>
      <c r="R239" s="782"/>
      <c r="S239" s="782"/>
      <c r="T239" s="782"/>
      <c r="U239" s="782"/>
      <c r="V239" s="782"/>
      <c r="W239" s="782"/>
      <c r="X239" s="782"/>
      <c r="Y239" s="782"/>
    </row>
    <row r="240" spans="16:25">
      <c r="P240" s="657"/>
      <c r="Q240" s="782"/>
      <c r="R240" s="782"/>
      <c r="S240" s="782"/>
      <c r="T240" s="782"/>
      <c r="U240" s="782"/>
      <c r="V240" s="782"/>
      <c r="W240" s="782"/>
      <c r="X240" s="782"/>
      <c r="Y240" s="782"/>
    </row>
    <row r="241" spans="16:25">
      <c r="P241" s="657"/>
      <c r="Q241" s="782"/>
      <c r="R241" s="782"/>
      <c r="S241" s="782"/>
      <c r="T241" s="782"/>
      <c r="U241" s="782"/>
      <c r="V241" s="782"/>
      <c r="W241" s="782"/>
      <c r="X241" s="782"/>
      <c r="Y241" s="782"/>
    </row>
    <row r="242" spans="16:25">
      <c r="P242" s="657"/>
      <c r="Q242" s="782"/>
      <c r="R242" s="782"/>
      <c r="S242" s="782"/>
      <c r="T242" s="782"/>
      <c r="U242" s="782"/>
      <c r="V242" s="782"/>
      <c r="W242" s="782"/>
      <c r="X242" s="782"/>
      <c r="Y242" s="782"/>
    </row>
    <row r="243" spans="16:25">
      <c r="P243" s="657"/>
      <c r="Q243" s="782"/>
      <c r="R243" s="782"/>
      <c r="S243" s="782"/>
      <c r="T243" s="782"/>
      <c r="U243" s="782"/>
      <c r="V243" s="782"/>
      <c r="W243" s="782"/>
      <c r="X243" s="782"/>
      <c r="Y243" s="782"/>
    </row>
    <row r="244" spans="16:25">
      <c r="P244" s="657"/>
      <c r="Q244" s="782"/>
      <c r="R244" s="782"/>
      <c r="S244" s="782"/>
      <c r="T244" s="782"/>
      <c r="U244" s="782"/>
      <c r="V244" s="782"/>
      <c r="W244" s="782"/>
      <c r="X244" s="782"/>
      <c r="Y244" s="782"/>
    </row>
    <row r="245" spans="16:25">
      <c r="P245" s="657"/>
      <c r="Q245" s="782"/>
      <c r="R245" s="782"/>
      <c r="S245" s="782"/>
      <c r="T245" s="782"/>
      <c r="U245" s="782"/>
      <c r="V245" s="782"/>
      <c r="W245" s="782"/>
      <c r="X245" s="782"/>
      <c r="Y245" s="782"/>
    </row>
    <row r="246" spans="16:25">
      <c r="P246" s="657"/>
      <c r="Q246" s="782"/>
      <c r="R246" s="782"/>
      <c r="S246" s="782"/>
      <c r="T246" s="782"/>
      <c r="U246" s="782"/>
      <c r="V246" s="782"/>
      <c r="W246" s="782"/>
      <c r="X246" s="782"/>
      <c r="Y246" s="782"/>
    </row>
    <row r="247" spans="16:25">
      <c r="P247" s="657"/>
      <c r="Q247" s="782"/>
      <c r="R247" s="782"/>
      <c r="S247" s="782"/>
      <c r="T247" s="782"/>
      <c r="U247" s="782"/>
      <c r="V247" s="782"/>
      <c r="W247" s="782"/>
      <c r="X247" s="782"/>
      <c r="Y247" s="782"/>
    </row>
    <row r="248" spans="16:25">
      <c r="P248" s="657"/>
      <c r="Q248" s="782"/>
      <c r="R248" s="782"/>
      <c r="S248" s="782"/>
      <c r="T248" s="782"/>
      <c r="U248" s="782"/>
      <c r="V248" s="782"/>
      <c r="W248" s="782"/>
      <c r="X248" s="782"/>
      <c r="Y248" s="782"/>
    </row>
    <row r="249" spans="16:25">
      <c r="P249" s="657"/>
      <c r="Q249" s="782"/>
      <c r="R249" s="782"/>
      <c r="S249" s="782"/>
      <c r="T249" s="782"/>
      <c r="U249" s="782"/>
      <c r="V249" s="782"/>
      <c r="W249" s="782"/>
      <c r="X249" s="782"/>
      <c r="Y249" s="782"/>
    </row>
    <row r="250" spans="16:25">
      <c r="P250" s="657"/>
      <c r="Q250" s="782"/>
      <c r="R250" s="782"/>
      <c r="S250" s="782"/>
      <c r="T250" s="782"/>
      <c r="U250" s="782"/>
      <c r="V250" s="782"/>
      <c r="W250" s="782"/>
      <c r="X250" s="782"/>
      <c r="Y250" s="782"/>
    </row>
    <row r="251" spans="16:25">
      <c r="P251" s="657"/>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S15" sqref="S15"/>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36" customWidth="1"/>
    <col min="12" max="12" width="9.28515625" style="536"/>
    <col min="13" max="13" width="20.42578125" style="571" customWidth="1"/>
    <col min="14" max="21" width="9.28515625" style="616"/>
  </cols>
  <sheetData>
    <row r="1" spans="1:17" ht="11.25" customHeight="1"/>
    <row r="2" spans="1:17" ht="11.25" customHeight="1">
      <c r="A2" s="866" t="s">
        <v>447</v>
      </c>
      <c r="B2" s="866"/>
      <c r="C2" s="866"/>
      <c r="D2" s="866"/>
      <c r="E2" s="866"/>
      <c r="F2" s="866"/>
      <c r="G2" s="866"/>
      <c r="H2" s="866"/>
      <c r="I2" s="866"/>
      <c r="J2" s="866"/>
      <c r="K2" s="866"/>
    </row>
    <row r="3" spans="1:17" ht="11.25" customHeight="1">
      <c r="A3" s="18"/>
      <c r="B3" s="18"/>
      <c r="C3" s="18"/>
      <c r="D3" s="18"/>
      <c r="E3" s="18"/>
      <c r="F3" s="18"/>
      <c r="G3" s="18"/>
      <c r="H3" s="18"/>
      <c r="I3" s="18"/>
      <c r="J3" s="554"/>
      <c r="K3" s="554"/>
      <c r="L3" s="311"/>
    </row>
    <row r="4" spans="1:17" ht="11.25" customHeight="1">
      <c r="A4" s="852" t="s">
        <v>384</v>
      </c>
      <c r="B4" s="852"/>
      <c r="C4" s="852"/>
      <c r="D4" s="852"/>
      <c r="E4" s="852"/>
      <c r="F4" s="852"/>
      <c r="G4" s="852"/>
      <c r="H4" s="852"/>
      <c r="I4" s="183"/>
      <c r="J4" s="555"/>
      <c r="L4" s="311"/>
    </row>
    <row r="5" spans="1:17" ht="7.5" customHeight="1">
      <c r="A5" s="184"/>
      <c r="B5" s="184"/>
      <c r="C5" s="184"/>
      <c r="D5" s="184"/>
      <c r="E5" s="184"/>
      <c r="F5" s="184"/>
      <c r="G5" s="184"/>
      <c r="H5" s="184"/>
      <c r="I5" s="184"/>
      <c r="J5" s="556"/>
      <c r="L5" s="557"/>
    </row>
    <row r="6" spans="1:17" ht="11.25" customHeight="1">
      <c r="A6" s="184"/>
      <c r="B6" s="188" t="s">
        <v>385</v>
      </c>
      <c r="C6" s="184"/>
      <c r="D6" s="184"/>
      <c r="E6" s="184"/>
      <c r="F6" s="184"/>
      <c r="G6" s="184"/>
      <c r="H6" s="184"/>
      <c r="I6" s="184"/>
      <c r="J6" s="556"/>
      <c r="L6" s="558"/>
    </row>
    <row r="7" spans="1:17" ht="7.5" customHeight="1">
      <c r="A7" s="184"/>
      <c r="B7" s="185"/>
      <c r="C7" s="184"/>
      <c r="D7" s="184"/>
      <c r="E7" s="184"/>
      <c r="F7" s="184"/>
      <c r="G7" s="184"/>
      <c r="H7" s="184"/>
      <c r="I7" s="184"/>
      <c r="J7" s="556"/>
      <c r="L7" s="559"/>
    </row>
    <row r="8" spans="1:17" ht="21" customHeight="1">
      <c r="A8" s="184"/>
      <c r="B8" s="403" t="s">
        <v>164</v>
      </c>
      <c r="C8" s="404" t="s">
        <v>165</v>
      </c>
      <c r="D8" s="404" t="s">
        <v>166</v>
      </c>
      <c r="E8" s="404" t="s">
        <v>168</v>
      </c>
      <c r="F8" s="404" t="s">
        <v>167</v>
      </c>
      <c r="G8" s="405" t="s">
        <v>169</v>
      </c>
      <c r="H8" s="180"/>
      <c r="I8" s="180"/>
      <c r="J8" s="560"/>
      <c r="L8" s="561"/>
      <c r="M8" s="572" t="s">
        <v>165</v>
      </c>
      <c r="N8" s="617" t="str">
        <f>M8&amp;"
 ("&amp;ROUND(HLOOKUP(M8,$C$8:$G$9,2,0),2)&amp;" USD/MWh)"</f>
        <v>PIURA OESTE 220
 (7,57 USD/MWh)</v>
      </c>
      <c r="O8" s="283"/>
      <c r="P8" s="283"/>
      <c r="Q8" s="283"/>
    </row>
    <row r="9" spans="1:17" ht="18" customHeight="1">
      <c r="A9" s="184"/>
      <c r="B9" s="406" t="s">
        <v>170</v>
      </c>
      <c r="C9" s="267">
        <v>7.5740809656826231</v>
      </c>
      <c r="D9" s="267">
        <v>7.4087397529125667</v>
      </c>
      <c r="E9" s="267">
        <v>7.3356990706911125</v>
      </c>
      <c r="F9" s="267">
        <v>7.2830298409608734</v>
      </c>
      <c r="G9" s="267">
        <v>7.186841170513647</v>
      </c>
      <c r="H9" s="180"/>
      <c r="I9" s="180"/>
      <c r="J9" s="560"/>
      <c r="K9" s="560"/>
      <c r="L9" s="561"/>
      <c r="M9" s="572" t="s">
        <v>166</v>
      </c>
      <c r="N9" s="617" t="str">
        <f>M9&amp;"
("&amp;ROUND(HLOOKUP(M9,$C$8:$G$9,2,0),2)&amp;" USD/MWh)"</f>
        <v>CHICLAYO 220
(7,41 USD/MWh)</v>
      </c>
      <c r="O9" s="283"/>
      <c r="P9" s="283"/>
      <c r="Q9" s="283"/>
    </row>
    <row r="10" spans="1:17" ht="14.25" customHeight="1">
      <c r="A10" s="184"/>
      <c r="B10" s="890" t="str">
        <f>"Cuadro N°11: Valor de los costos marginales medios registrados en las principales barras del área norte durante el mes de "&amp;'1. Resumen'!Q4</f>
        <v>Cuadro N°11: Valor de los costos marginales medios registrados en las principales barras del área norte durante el mes de enero</v>
      </c>
      <c r="C10" s="890"/>
      <c r="D10" s="890"/>
      <c r="E10" s="890"/>
      <c r="F10" s="890"/>
      <c r="G10" s="890"/>
      <c r="H10" s="890"/>
      <c r="I10" s="890"/>
      <c r="J10" s="560"/>
      <c r="K10" s="560"/>
      <c r="L10" s="561"/>
      <c r="M10" s="572" t="s">
        <v>168</v>
      </c>
      <c r="N10" s="617" t="str">
        <f>M10&amp;"
("&amp;ROUND(HLOOKUP(M10,$C$8:$G$9,2,0),2)&amp;" USD/MWh)"</f>
        <v>TRUJILLO 220
(7,34 USD/MWh)</v>
      </c>
      <c r="O10" s="283"/>
      <c r="P10" s="283"/>
      <c r="Q10" s="283"/>
    </row>
    <row r="11" spans="1:17" ht="11.25" customHeight="1">
      <c r="A11" s="184"/>
      <c r="B11" s="191"/>
      <c r="C11" s="180"/>
      <c r="D11" s="180"/>
      <c r="E11" s="180"/>
      <c r="F11" s="180"/>
      <c r="G11" s="180"/>
      <c r="H11" s="180"/>
      <c r="I11" s="180"/>
      <c r="J11" s="560"/>
      <c r="K11" s="560"/>
      <c r="L11" s="561"/>
      <c r="M11" s="572" t="s">
        <v>167</v>
      </c>
      <c r="N11" s="617" t="str">
        <f>M11&amp;"
("&amp;ROUND(HLOOKUP(M11,$C$8:$G$9,2,0),2)&amp;" USD/MWh)"</f>
        <v>CHIMBOTE1 138
(7,28 USD/MWh)</v>
      </c>
      <c r="O11" s="283"/>
      <c r="P11" s="283"/>
      <c r="Q11" s="283"/>
    </row>
    <row r="12" spans="1:17" ht="11.25" customHeight="1">
      <c r="A12" s="184"/>
      <c r="B12" s="180"/>
      <c r="C12" s="180"/>
      <c r="D12" s="180"/>
      <c r="E12" s="180"/>
      <c r="F12" s="180"/>
      <c r="G12" s="180"/>
      <c r="H12" s="180"/>
      <c r="I12" s="180"/>
      <c r="J12" s="560"/>
      <c r="K12" s="560"/>
      <c r="L12" s="562"/>
      <c r="M12" s="572" t="s">
        <v>169</v>
      </c>
      <c r="N12" s="617" t="str">
        <f>M12&amp;"
("&amp;ROUND(HLOOKUP(M12,$C$8:$G$9,2,0),2)&amp;" USD/MWh)"</f>
        <v>CAJAMARCA 220
(7,19 USD/MWh)</v>
      </c>
      <c r="O12" s="283"/>
      <c r="P12" s="283"/>
      <c r="Q12" s="283"/>
    </row>
    <row r="13" spans="1:17" ht="11.25" customHeight="1">
      <c r="A13" s="184"/>
      <c r="B13" s="180"/>
      <c r="C13" s="180"/>
      <c r="D13" s="180"/>
      <c r="E13" s="180"/>
      <c r="F13" s="180"/>
      <c r="G13" s="180"/>
      <c r="H13" s="180"/>
      <c r="I13" s="180"/>
      <c r="J13" s="560"/>
      <c r="K13" s="560"/>
      <c r="L13" s="561"/>
      <c r="M13" s="572"/>
      <c r="N13" s="617"/>
      <c r="O13" s="572"/>
      <c r="P13" s="283"/>
      <c r="Q13" s="283"/>
    </row>
    <row r="14" spans="1:17" ht="11.25" customHeight="1">
      <c r="A14" s="184"/>
      <c r="B14" s="180"/>
      <c r="C14" s="180"/>
      <c r="D14" s="180"/>
      <c r="E14" s="180"/>
      <c r="F14" s="180"/>
      <c r="G14" s="180"/>
      <c r="H14" s="180"/>
      <c r="I14" s="180"/>
      <c r="J14" s="560"/>
      <c r="K14" s="560"/>
      <c r="L14" s="561"/>
      <c r="M14" s="572" t="s">
        <v>440</v>
      </c>
      <c r="N14" s="617" t="str">
        <f>M14&amp;"
("&amp;ROUND(HLOOKUP(M14,$C$26:$I$27,2,0),2)&amp;" USD/MWh)"</f>
        <v>CHAVARRIA 220
(7,18 USD/MWh)</v>
      </c>
      <c r="O14" s="283"/>
      <c r="P14" s="283"/>
      <c r="Q14" s="283"/>
    </row>
    <row r="15" spans="1:17" ht="11.25" customHeight="1">
      <c r="A15" s="184"/>
      <c r="B15" s="180"/>
      <c r="C15" s="180"/>
      <c r="D15" s="180"/>
      <c r="E15" s="180"/>
      <c r="F15" s="180"/>
      <c r="G15" s="180"/>
      <c r="H15" s="180"/>
      <c r="I15" s="180"/>
      <c r="J15" s="560"/>
      <c r="K15" s="560"/>
      <c r="L15" s="561"/>
      <c r="M15" s="572" t="s">
        <v>173</v>
      </c>
      <c r="N15" s="617" t="str">
        <f t="shared" ref="N15:N20" si="0">M15&amp;"
("&amp;ROUND(HLOOKUP(M15,$C$26:$I$27,2,0),2)&amp;" USD/MWh)"</f>
        <v>INDEPENDENCIA 220
(7,14 USD/MWh)</v>
      </c>
      <c r="O15" s="283"/>
      <c r="P15" s="283"/>
      <c r="Q15" s="283"/>
    </row>
    <row r="16" spans="1:17" ht="11.25" customHeight="1">
      <c r="A16" s="184"/>
      <c r="B16" s="180"/>
      <c r="C16" s="180"/>
      <c r="D16" s="180"/>
      <c r="E16" s="180"/>
      <c r="F16" s="180"/>
      <c r="G16" s="180"/>
      <c r="H16" s="180"/>
      <c r="I16" s="180"/>
      <c r="J16" s="560"/>
      <c r="K16" s="560"/>
      <c r="L16" s="561"/>
      <c r="M16" s="572" t="s">
        <v>174</v>
      </c>
      <c r="N16" s="617" t="str">
        <f t="shared" si="0"/>
        <v>CARABAYLLO 220
(7,19 USD/MWh)</v>
      </c>
      <c r="O16" s="283"/>
      <c r="P16" s="283"/>
      <c r="Q16" s="283"/>
    </row>
    <row r="17" spans="1:17" ht="11.25" customHeight="1">
      <c r="A17" s="184"/>
      <c r="B17" s="180"/>
      <c r="C17" s="180"/>
      <c r="D17" s="180"/>
      <c r="E17" s="180"/>
      <c r="F17" s="180"/>
      <c r="G17" s="180"/>
      <c r="H17" s="180"/>
      <c r="I17" s="180"/>
      <c r="J17" s="560"/>
      <c r="K17" s="560"/>
      <c r="L17" s="561"/>
      <c r="M17" s="572" t="s">
        <v>171</v>
      </c>
      <c r="N17" s="617" t="str">
        <f t="shared" si="0"/>
        <v>SANTA ROSA 220
(7,18 USD/MWh)</v>
      </c>
      <c r="O17" s="283"/>
      <c r="P17" s="283"/>
      <c r="Q17" s="283"/>
    </row>
    <row r="18" spans="1:17" ht="11.25" customHeight="1">
      <c r="A18" s="184"/>
      <c r="B18" s="180"/>
      <c r="C18" s="180"/>
      <c r="D18" s="180"/>
      <c r="E18" s="180"/>
      <c r="F18" s="180"/>
      <c r="G18" s="180"/>
      <c r="H18" s="180"/>
      <c r="I18" s="180"/>
      <c r="J18" s="560"/>
      <c r="K18" s="560"/>
      <c r="L18" s="561"/>
      <c r="M18" s="572" t="s">
        <v>172</v>
      </c>
      <c r="N18" s="617" t="str">
        <f t="shared" si="0"/>
        <v>SAN JUAN 220
(7,14 USD/MWh)</v>
      </c>
      <c r="O18" s="283"/>
      <c r="P18" s="283"/>
      <c r="Q18" s="283"/>
    </row>
    <row r="19" spans="1:17" ht="11.25" customHeight="1">
      <c r="A19" s="184"/>
      <c r="B19" s="180"/>
      <c r="C19" s="180"/>
      <c r="D19" s="180"/>
      <c r="E19" s="180"/>
      <c r="F19" s="180"/>
      <c r="G19" s="180"/>
      <c r="H19" s="180"/>
      <c r="I19" s="180"/>
      <c r="J19" s="560"/>
      <c r="K19" s="560"/>
      <c r="L19" s="563"/>
      <c r="M19" s="572" t="s">
        <v>175</v>
      </c>
      <c r="N19" s="617" t="str">
        <f t="shared" si="0"/>
        <v>POMACOCHA 220
(6,89 USD/MWh)</v>
      </c>
      <c r="O19" s="283"/>
      <c r="P19" s="283"/>
      <c r="Q19" s="283"/>
    </row>
    <row r="20" spans="1:17" ht="11.25" customHeight="1">
      <c r="A20" s="184"/>
      <c r="B20" s="190"/>
      <c r="C20" s="190"/>
      <c r="D20" s="190"/>
      <c r="E20" s="190"/>
      <c r="F20" s="190"/>
      <c r="G20" s="180"/>
      <c r="H20" s="180"/>
      <c r="I20" s="180"/>
      <c r="J20" s="560"/>
      <c r="K20" s="560"/>
      <c r="L20" s="561"/>
      <c r="M20" s="572" t="s">
        <v>176</v>
      </c>
      <c r="N20" s="617" t="str">
        <f t="shared" si="0"/>
        <v>OROYA NUEVA 50
(6,76 USD/MWh)</v>
      </c>
      <c r="O20" s="283"/>
      <c r="P20" s="283"/>
      <c r="Q20" s="283"/>
    </row>
    <row r="21" spans="1:17" ht="11.25" customHeight="1">
      <c r="A21" s="184"/>
      <c r="B21" s="891" t="str">
        <f>"Gráfico N°20: Costos marginales medios registrados en las principales barras del área norte durante el mes de "&amp;'1. Resumen'!Q4</f>
        <v>Gráfico N°20: Costos marginales medios registrados en las principales barras del área norte durante el mes de enero</v>
      </c>
      <c r="C21" s="891"/>
      <c r="D21" s="891"/>
      <c r="E21" s="891"/>
      <c r="F21" s="891"/>
      <c r="G21" s="891"/>
      <c r="H21" s="891"/>
      <c r="I21" s="891"/>
      <c r="J21" s="560"/>
      <c r="K21" s="560"/>
      <c r="L21" s="561"/>
      <c r="M21" s="572"/>
      <c r="N21" s="617"/>
      <c r="O21" s="283"/>
      <c r="P21" s="283"/>
      <c r="Q21" s="283"/>
    </row>
    <row r="22" spans="1:17" ht="7.5" customHeight="1">
      <c r="A22" s="184"/>
      <c r="B22" s="186"/>
      <c r="C22" s="186"/>
      <c r="D22" s="186"/>
      <c r="E22" s="186"/>
      <c r="F22" s="186"/>
      <c r="G22" s="184"/>
      <c r="H22" s="184"/>
      <c r="I22" s="184"/>
      <c r="J22" s="556"/>
      <c r="K22" s="556"/>
      <c r="L22" s="558"/>
      <c r="M22" s="572"/>
      <c r="N22" s="617"/>
      <c r="O22" s="283"/>
      <c r="P22" s="283"/>
      <c r="Q22" s="283"/>
    </row>
    <row r="23" spans="1:17" ht="11.25" customHeight="1">
      <c r="A23" s="184"/>
      <c r="B23" s="186"/>
      <c r="C23" s="186"/>
      <c r="D23" s="186"/>
      <c r="E23" s="186"/>
      <c r="F23" s="186"/>
      <c r="G23" s="184"/>
      <c r="H23" s="184"/>
      <c r="I23" s="184"/>
      <c r="J23" s="556"/>
      <c r="K23" s="556"/>
      <c r="L23" s="564"/>
      <c r="M23" s="572" t="s">
        <v>177</v>
      </c>
      <c r="N23" s="617" t="str">
        <f t="shared" ref="N23:N29" si="1">M23&amp;"
("&amp;ROUND(HLOOKUP(M23,$C$45:$I$46,2,0),2)&amp;" USD/MWh)"</f>
        <v>TINTAYA NUEVA 220
(7,64 USD/MWh)</v>
      </c>
      <c r="O23" s="283"/>
      <c r="P23" s="283"/>
      <c r="Q23" s="283"/>
    </row>
    <row r="24" spans="1:17" ht="11.25" customHeight="1">
      <c r="A24" s="184"/>
      <c r="B24" s="189" t="s">
        <v>386</v>
      </c>
      <c r="C24" s="186"/>
      <c r="D24" s="186"/>
      <c r="E24" s="186"/>
      <c r="F24" s="186"/>
      <c r="G24" s="184"/>
      <c r="H24" s="184"/>
      <c r="I24" s="184"/>
      <c r="J24" s="556"/>
      <c r="K24" s="556"/>
      <c r="L24" s="558"/>
      <c r="M24" s="572" t="s">
        <v>178</v>
      </c>
      <c r="N24" s="617" t="str">
        <f t="shared" si="1"/>
        <v>PUNO 138
(7,36 USD/MWh)</v>
      </c>
      <c r="O24" s="283"/>
      <c r="P24" s="283"/>
      <c r="Q24" s="283"/>
    </row>
    <row r="25" spans="1:17" ht="6.75" customHeight="1">
      <c r="A25" s="184"/>
      <c r="B25" s="186"/>
      <c r="C25" s="186"/>
      <c r="D25" s="186"/>
      <c r="E25" s="186"/>
      <c r="F25" s="186"/>
      <c r="G25" s="184"/>
      <c r="H25" s="184"/>
      <c r="I25" s="184"/>
      <c r="J25" s="556"/>
      <c r="K25" s="556"/>
      <c r="L25" s="558"/>
      <c r="M25" s="572" t="s">
        <v>179</v>
      </c>
      <c r="N25" s="617" t="str">
        <f t="shared" si="1"/>
        <v>SOCABAYA 220
(7,43 USD/MWh)</v>
      </c>
      <c r="O25" s="283"/>
      <c r="P25" s="283"/>
      <c r="Q25" s="283"/>
    </row>
    <row r="26" spans="1:17" ht="25.5" customHeight="1">
      <c r="A26" s="184"/>
      <c r="B26" s="407" t="s">
        <v>164</v>
      </c>
      <c r="C26" s="404" t="s">
        <v>440</v>
      </c>
      <c r="D26" s="404" t="s">
        <v>171</v>
      </c>
      <c r="E26" s="404" t="s">
        <v>174</v>
      </c>
      <c r="F26" s="404" t="s">
        <v>172</v>
      </c>
      <c r="G26" s="404" t="s">
        <v>173</v>
      </c>
      <c r="H26" s="404" t="s">
        <v>175</v>
      </c>
      <c r="I26" s="405" t="s">
        <v>176</v>
      </c>
      <c r="J26" s="565"/>
      <c r="K26" s="560"/>
      <c r="L26" s="561"/>
      <c r="M26" s="572" t="s">
        <v>180</v>
      </c>
      <c r="N26" s="617" t="str">
        <f t="shared" si="1"/>
        <v>MOQUEGUA 138
(7,41 USD/MWh)</v>
      </c>
      <c r="O26" s="283"/>
      <c r="P26" s="283"/>
      <c r="Q26" s="283"/>
    </row>
    <row r="27" spans="1:17" ht="18" customHeight="1">
      <c r="A27" s="184"/>
      <c r="B27" s="408" t="s">
        <v>170</v>
      </c>
      <c r="C27" s="267">
        <v>7.184337240298361</v>
      </c>
      <c r="D27" s="267">
        <v>7.1768880109150963</v>
      </c>
      <c r="E27" s="267">
        <v>7.1910741417335506</v>
      </c>
      <c r="F27" s="267">
        <v>7.14494612565914</v>
      </c>
      <c r="G27" s="267">
        <v>7.1396147160073671</v>
      </c>
      <c r="H27" s="267">
        <v>6.8876504468477018</v>
      </c>
      <c r="I27" s="267">
        <v>6.7563337071826259</v>
      </c>
      <c r="J27" s="566"/>
      <c r="K27" s="560"/>
      <c r="L27" s="561"/>
      <c r="M27" s="572" t="s">
        <v>181</v>
      </c>
      <c r="N27" s="617" t="str">
        <f t="shared" si="1"/>
        <v>DOLORESPATA 138
(7,12 USD/MWh)</v>
      </c>
      <c r="O27" s="283"/>
      <c r="P27" s="283"/>
      <c r="Q27" s="283"/>
    </row>
    <row r="28" spans="1:17" ht="19.5" customHeight="1">
      <c r="A28" s="184"/>
      <c r="B28" s="892" t="str">
        <f>"Cuadro N°12: Valor de los costos marginales medios registrados en las principales barras del área centro durante el mes de "&amp;'1. Resumen'!Q4</f>
        <v>Cuadro N°12: Valor de los costos marginales medios registrados en las principales barras del área centro durante el mes de enero</v>
      </c>
      <c r="C28" s="892"/>
      <c r="D28" s="892"/>
      <c r="E28" s="892"/>
      <c r="F28" s="892"/>
      <c r="G28" s="892"/>
      <c r="H28" s="892"/>
      <c r="I28" s="892"/>
      <c r="J28" s="560"/>
      <c r="K28" s="560"/>
      <c r="L28" s="561"/>
      <c r="M28" s="572" t="s">
        <v>182</v>
      </c>
      <c r="N28" s="617" t="str">
        <f t="shared" si="1"/>
        <v>COTARUSE 220
(7,1 USD/MWh)</v>
      </c>
      <c r="O28" s="283"/>
      <c r="P28" s="283"/>
      <c r="Q28" s="283"/>
    </row>
    <row r="29" spans="1:17" ht="11.25" customHeight="1">
      <c r="A29" s="184"/>
      <c r="B29" s="190"/>
      <c r="C29" s="190"/>
      <c r="D29" s="190"/>
      <c r="E29" s="190"/>
      <c r="F29" s="190"/>
      <c r="G29" s="190"/>
      <c r="H29" s="190"/>
      <c r="I29" s="190"/>
      <c r="J29" s="567"/>
      <c r="K29" s="567"/>
      <c r="L29" s="561"/>
      <c r="M29" s="572" t="s">
        <v>183</v>
      </c>
      <c r="N29" s="617" t="str">
        <f t="shared" si="1"/>
        <v>SAN GABAN 138
(5,13 USD/MWh)</v>
      </c>
      <c r="O29" s="283"/>
      <c r="P29" s="283"/>
      <c r="Q29" s="283"/>
    </row>
    <row r="30" spans="1:17" ht="11.25" customHeight="1">
      <c r="A30" s="184"/>
      <c r="B30" s="190"/>
      <c r="C30" s="190"/>
      <c r="D30" s="190"/>
      <c r="E30" s="190"/>
      <c r="F30" s="190"/>
      <c r="G30" s="190"/>
      <c r="H30" s="190"/>
      <c r="I30" s="190"/>
      <c r="J30" s="567"/>
      <c r="K30" s="567"/>
      <c r="L30" s="561"/>
      <c r="M30" s="572"/>
      <c r="N30" s="618"/>
      <c r="O30" s="283"/>
      <c r="P30" s="283"/>
      <c r="Q30" s="283"/>
    </row>
    <row r="31" spans="1:17" ht="11.25" customHeight="1">
      <c r="A31" s="184"/>
      <c r="B31" s="190"/>
      <c r="C31" s="190"/>
      <c r="D31" s="190"/>
      <c r="E31" s="190"/>
      <c r="F31" s="190"/>
      <c r="G31" s="190"/>
      <c r="H31" s="190"/>
      <c r="I31" s="190"/>
      <c r="J31" s="567"/>
      <c r="K31" s="567"/>
      <c r="L31" s="561"/>
      <c r="M31" s="572"/>
      <c r="N31" s="618"/>
      <c r="O31" s="283"/>
      <c r="P31" s="283"/>
      <c r="Q31" s="283"/>
    </row>
    <row r="32" spans="1:17" ht="11.25" customHeight="1">
      <c r="A32" s="184"/>
      <c r="B32" s="190"/>
      <c r="C32" s="190"/>
      <c r="D32" s="190"/>
      <c r="E32" s="190"/>
      <c r="F32" s="190"/>
      <c r="G32" s="190"/>
      <c r="H32" s="190"/>
      <c r="I32" s="190"/>
      <c r="J32" s="567"/>
      <c r="K32" s="567"/>
      <c r="L32" s="561"/>
      <c r="M32" s="572"/>
      <c r="N32" s="283"/>
      <c r="O32" s="283"/>
      <c r="P32" s="283"/>
      <c r="Q32" s="283"/>
    </row>
    <row r="33" spans="1:17" ht="11.25" customHeight="1">
      <c r="A33" s="184"/>
      <c r="B33" s="190"/>
      <c r="C33" s="190"/>
      <c r="D33" s="190"/>
      <c r="E33" s="190"/>
      <c r="F33" s="190"/>
      <c r="G33" s="190"/>
      <c r="H33" s="190"/>
      <c r="I33" s="190"/>
      <c r="J33" s="567"/>
      <c r="K33" s="567"/>
      <c r="L33" s="561"/>
      <c r="N33" s="283"/>
      <c r="O33" s="283"/>
      <c r="P33" s="283"/>
      <c r="Q33" s="283"/>
    </row>
    <row r="34" spans="1:17" ht="11.25" customHeight="1">
      <c r="A34" s="184"/>
      <c r="B34" s="190"/>
      <c r="C34" s="190"/>
      <c r="D34" s="190"/>
      <c r="E34" s="190"/>
      <c r="F34" s="190"/>
      <c r="G34" s="190"/>
      <c r="H34" s="190"/>
      <c r="I34" s="190"/>
      <c r="J34" s="567"/>
      <c r="K34" s="567"/>
      <c r="L34" s="561"/>
      <c r="N34" s="283"/>
      <c r="O34" s="283"/>
      <c r="P34" s="283"/>
      <c r="Q34" s="283"/>
    </row>
    <row r="35" spans="1:17" ht="11.25" customHeight="1">
      <c r="A35" s="184"/>
      <c r="B35" s="190"/>
      <c r="C35" s="190"/>
      <c r="D35" s="190"/>
      <c r="E35" s="190"/>
      <c r="F35" s="190"/>
      <c r="G35" s="190"/>
      <c r="H35" s="190"/>
      <c r="I35" s="190"/>
      <c r="J35" s="567"/>
      <c r="K35" s="567"/>
      <c r="L35" s="568"/>
      <c r="N35" s="283"/>
      <c r="O35" s="283"/>
      <c r="P35" s="283"/>
      <c r="Q35" s="283"/>
    </row>
    <row r="36" spans="1:17" ht="11.25" customHeight="1">
      <c r="A36" s="184"/>
      <c r="B36" s="190"/>
      <c r="C36" s="190"/>
      <c r="D36" s="190"/>
      <c r="E36" s="190"/>
      <c r="F36" s="190"/>
      <c r="G36" s="190"/>
      <c r="H36" s="190"/>
      <c r="I36" s="190"/>
      <c r="J36" s="567"/>
      <c r="K36" s="567"/>
      <c r="L36" s="561"/>
      <c r="N36" s="283"/>
      <c r="O36" s="283"/>
      <c r="P36" s="283"/>
      <c r="Q36" s="283"/>
    </row>
    <row r="37" spans="1:17" ht="11.25" customHeight="1">
      <c r="A37" s="184"/>
      <c r="B37" s="190"/>
      <c r="C37" s="190"/>
      <c r="D37" s="190"/>
      <c r="E37" s="190"/>
      <c r="F37" s="190"/>
      <c r="G37" s="190"/>
      <c r="H37" s="190"/>
      <c r="I37" s="190"/>
      <c r="J37" s="567"/>
      <c r="K37" s="567"/>
      <c r="L37" s="561"/>
      <c r="N37" s="283"/>
      <c r="O37" s="283"/>
      <c r="P37" s="283"/>
      <c r="Q37" s="283"/>
    </row>
    <row r="38" spans="1:17" ht="11.25" customHeight="1">
      <c r="A38" s="184"/>
      <c r="B38" s="190"/>
      <c r="C38" s="190"/>
      <c r="D38" s="190"/>
      <c r="E38" s="190"/>
      <c r="F38" s="190"/>
      <c r="G38" s="190"/>
      <c r="H38" s="190"/>
      <c r="I38" s="190"/>
      <c r="J38" s="567"/>
      <c r="K38" s="567"/>
      <c r="L38" s="561"/>
      <c r="N38" s="283"/>
      <c r="O38" s="283"/>
      <c r="P38" s="283"/>
      <c r="Q38" s="283"/>
    </row>
    <row r="39" spans="1:17" ht="11.25" customHeight="1">
      <c r="A39" s="184"/>
      <c r="B39" s="190"/>
      <c r="C39" s="190"/>
      <c r="D39" s="190"/>
      <c r="E39" s="190"/>
      <c r="F39" s="190"/>
      <c r="G39" s="190"/>
      <c r="H39" s="190"/>
      <c r="I39" s="190"/>
      <c r="J39" s="567"/>
      <c r="K39" s="567"/>
      <c r="L39" s="561"/>
      <c r="N39" s="283"/>
      <c r="O39" s="283"/>
      <c r="P39" s="283"/>
      <c r="Q39" s="283"/>
    </row>
    <row r="40" spans="1:17" ht="13.5" customHeight="1">
      <c r="A40" s="184"/>
      <c r="B40" s="890" t="str">
        <f>"Gráfico N°21: Costos marginales medios registrados en las principales barras del área centro durante el mes de "&amp;'1. Resumen'!Q4</f>
        <v>Gráfico N°21: Costos marginales medios registrados en las principales barras del área centro durante el mes de enero</v>
      </c>
      <c r="C40" s="890"/>
      <c r="D40" s="890"/>
      <c r="E40" s="890"/>
      <c r="F40" s="890"/>
      <c r="G40" s="890"/>
      <c r="H40" s="890"/>
      <c r="I40" s="890"/>
      <c r="J40" s="567"/>
      <c r="K40" s="567"/>
      <c r="L40" s="561"/>
      <c r="N40" s="283"/>
      <c r="O40" s="283"/>
      <c r="P40" s="283"/>
      <c r="Q40" s="283"/>
    </row>
    <row r="41" spans="1:17" ht="6.75" customHeight="1">
      <c r="A41" s="184"/>
      <c r="B41" s="190"/>
      <c r="C41" s="190"/>
      <c r="D41" s="190"/>
      <c r="E41" s="190"/>
      <c r="F41" s="190"/>
      <c r="G41" s="190"/>
      <c r="H41" s="190"/>
      <c r="I41" s="190"/>
      <c r="J41" s="567"/>
      <c r="K41" s="567"/>
      <c r="L41" s="561"/>
      <c r="N41" s="283"/>
      <c r="O41" s="283"/>
      <c r="P41" s="283"/>
      <c r="Q41" s="283"/>
    </row>
    <row r="42" spans="1:17" ht="8.25" customHeight="1">
      <c r="A42" s="184"/>
      <c r="B42" s="186"/>
      <c r="C42" s="186"/>
      <c r="D42" s="186"/>
      <c r="E42" s="186"/>
      <c r="F42" s="186"/>
      <c r="G42" s="186"/>
      <c r="H42" s="186"/>
      <c r="I42" s="186"/>
      <c r="J42" s="569"/>
      <c r="K42" s="569"/>
      <c r="L42" s="11"/>
      <c r="N42" s="283"/>
      <c r="O42" s="283"/>
      <c r="P42" s="283"/>
      <c r="Q42" s="283"/>
    </row>
    <row r="43" spans="1:17" ht="11.25" customHeight="1">
      <c r="A43" s="184"/>
      <c r="B43" s="189" t="s">
        <v>387</v>
      </c>
      <c r="C43" s="186"/>
      <c r="D43" s="186"/>
      <c r="E43" s="186"/>
      <c r="F43" s="186"/>
      <c r="G43" s="186"/>
      <c r="H43" s="186"/>
      <c r="I43" s="186"/>
      <c r="J43" s="569"/>
      <c r="K43" s="569"/>
      <c r="L43" s="11"/>
      <c r="N43" s="283"/>
      <c r="O43" s="283"/>
      <c r="P43" s="283"/>
      <c r="Q43" s="283"/>
    </row>
    <row r="44" spans="1:17" ht="6.75" customHeight="1">
      <c r="A44" s="184"/>
      <c r="B44" s="186"/>
      <c r="C44" s="186"/>
      <c r="D44" s="186"/>
      <c r="E44" s="186"/>
      <c r="F44" s="186"/>
      <c r="G44" s="186"/>
      <c r="H44" s="186"/>
      <c r="I44" s="186"/>
      <c r="J44" s="569"/>
      <c r="K44" s="569"/>
      <c r="L44" s="11"/>
      <c r="N44" s="283"/>
      <c r="O44" s="283"/>
      <c r="P44" s="283"/>
      <c r="Q44" s="283"/>
    </row>
    <row r="45" spans="1:17" ht="27" customHeight="1">
      <c r="A45" s="184"/>
      <c r="B45" s="407" t="s">
        <v>164</v>
      </c>
      <c r="C45" s="404" t="s">
        <v>177</v>
      </c>
      <c r="D45" s="404" t="s">
        <v>179</v>
      </c>
      <c r="E45" s="404" t="s">
        <v>180</v>
      </c>
      <c r="F45" s="404" t="s">
        <v>178</v>
      </c>
      <c r="G45" s="404" t="s">
        <v>181</v>
      </c>
      <c r="H45" s="404" t="s">
        <v>182</v>
      </c>
      <c r="I45" s="405" t="s">
        <v>183</v>
      </c>
      <c r="J45" s="565"/>
      <c r="K45" s="567"/>
      <c r="N45" s="283"/>
      <c r="O45" s="283"/>
      <c r="P45" s="283"/>
      <c r="Q45" s="283"/>
    </row>
    <row r="46" spans="1:17" ht="18.75" customHeight="1">
      <c r="A46" s="184"/>
      <c r="B46" s="408" t="s">
        <v>170</v>
      </c>
      <c r="C46" s="267">
        <v>7.6428010237861175</v>
      </c>
      <c r="D46" s="267">
        <v>7.4290442610996239</v>
      </c>
      <c r="E46" s="267">
        <v>7.4060803456759077</v>
      </c>
      <c r="F46" s="267">
        <v>7.3585361242493219</v>
      </c>
      <c r="G46" s="267">
        <v>7.1241274770745431</v>
      </c>
      <c r="H46" s="267">
        <v>7.1046678867513409</v>
      </c>
      <c r="I46" s="267">
        <v>5.1306236044312659</v>
      </c>
      <c r="J46" s="566"/>
      <c r="K46" s="567"/>
      <c r="N46" s="283"/>
      <c r="O46" s="283"/>
      <c r="P46" s="283"/>
      <c r="Q46" s="283"/>
    </row>
    <row r="47" spans="1:17" ht="18" customHeight="1">
      <c r="A47" s="184"/>
      <c r="B47" s="892" t="str">
        <f>"Cuadro N°13: Valor de los costos marginales medios registrados en las principales barras del área sur durante el mes de "&amp;'1. Resumen'!Q4</f>
        <v>Cuadro N°13: Valor de los costos marginales medios registrados en las principales barras del área sur durante el mes de enero</v>
      </c>
      <c r="C47" s="892"/>
      <c r="D47" s="892"/>
      <c r="E47" s="892"/>
      <c r="F47" s="892"/>
      <c r="G47" s="892"/>
      <c r="H47" s="892"/>
      <c r="I47" s="892"/>
      <c r="J47" s="566"/>
      <c r="K47" s="567"/>
    </row>
    <row r="48" spans="1:17" ht="13.2">
      <c r="A48" s="184"/>
      <c r="B48" s="190"/>
      <c r="C48" s="190"/>
      <c r="D48" s="190"/>
      <c r="E48" s="190"/>
      <c r="F48" s="190"/>
      <c r="G48" s="180"/>
      <c r="H48" s="180"/>
      <c r="I48" s="180"/>
      <c r="J48" s="560"/>
      <c r="K48" s="567"/>
    </row>
    <row r="49" spans="1:11" ht="13.2">
      <c r="A49" s="184"/>
      <c r="B49" s="180"/>
      <c r="C49" s="180"/>
      <c r="D49" s="180"/>
      <c r="E49" s="180"/>
      <c r="F49" s="180"/>
      <c r="G49" s="180"/>
      <c r="H49" s="180"/>
      <c r="I49" s="180"/>
      <c r="J49" s="560"/>
      <c r="K49" s="567"/>
    </row>
    <row r="50" spans="1:11" ht="13.2">
      <c r="A50" s="184"/>
      <c r="B50" s="111"/>
      <c r="C50" s="111"/>
      <c r="D50" s="111"/>
      <c r="E50" s="111"/>
      <c r="F50" s="111"/>
      <c r="G50" s="111"/>
      <c r="H50" s="111"/>
      <c r="I50" s="111"/>
      <c r="J50" s="570"/>
      <c r="K50" s="567"/>
    </row>
    <row r="51" spans="1:11" ht="13.2">
      <c r="A51" s="184"/>
      <c r="B51" s="111"/>
      <c r="C51" s="111"/>
      <c r="D51" s="111"/>
      <c r="E51" s="111"/>
      <c r="F51" s="111"/>
      <c r="G51" s="111"/>
      <c r="H51" s="111"/>
      <c r="I51" s="111"/>
      <c r="J51" s="570"/>
      <c r="K51" s="567"/>
    </row>
    <row r="52" spans="1:11" ht="13.2">
      <c r="A52" s="184"/>
      <c r="B52" s="111"/>
      <c r="C52" s="111"/>
      <c r="D52" s="111"/>
      <c r="E52" s="111"/>
      <c r="F52" s="111"/>
      <c r="G52" s="111"/>
      <c r="H52" s="111"/>
      <c r="I52" s="111"/>
      <c r="J52" s="570"/>
      <c r="K52" s="567"/>
    </row>
    <row r="53" spans="1:11" ht="13.2">
      <c r="A53" s="184"/>
      <c r="B53" s="111"/>
      <c r="C53" s="111"/>
      <c r="D53" s="111"/>
      <c r="E53" s="111"/>
      <c r="F53" s="111"/>
      <c r="G53" s="111"/>
      <c r="H53" s="111"/>
      <c r="I53" s="111"/>
      <c r="J53" s="570"/>
      <c r="K53" s="567"/>
    </row>
    <row r="54" spans="1:11" ht="13.2">
      <c r="A54" s="184"/>
      <c r="B54" s="111"/>
      <c r="C54" s="111"/>
      <c r="D54" s="111"/>
      <c r="E54" s="111"/>
      <c r="F54" s="111"/>
      <c r="G54" s="111"/>
      <c r="H54" s="111"/>
      <c r="I54" s="111"/>
      <c r="J54" s="570"/>
      <c r="K54" s="567"/>
    </row>
    <row r="55" spans="1:11" ht="13.2">
      <c r="A55" s="184"/>
      <c r="B55" s="111"/>
      <c r="C55" s="111"/>
      <c r="D55" s="111"/>
      <c r="E55" s="111"/>
      <c r="F55" s="111"/>
      <c r="G55" s="111"/>
      <c r="H55" s="111"/>
      <c r="I55" s="111"/>
      <c r="J55" s="570"/>
      <c r="K55" s="567"/>
    </row>
    <row r="56" spans="1:11" ht="13.2">
      <c r="A56" s="184"/>
      <c r="B56" s="180"/>
      <c r="C56" s="180"/>
      <c r="D56" s="180"/>
      <c r="E56" s="180"/>
      <c r="F56" s="180"/>
      <c r="G56" s="180"/>
      <c r="H56" s="180"/>
      <c r="I56" s="180"/>
      <c r="J56" s="560"/>
      <c r="K56" s="567"/>
    </row>
    <row r="57" spans="1:11" ht="13.2">
      <c r="A57" s="184"/>
      <c r="B57" s="180"/>
      <c r="C57" s="180"/>
      <c r="D57" s="180"/>
      <c r="E57" s="180"/>
      <c r="F57" s="180"/>
      <c r="G57" s="180"/>
      <c r="H57" s="180"/>
      <c r="I57" s="180"/>
      <c r="J57" s="560"/>
      <c r="K57" s="567"/>
    </row>
    <row r="58" spans="1:11" ht="13.2">
      <c r="A58" s="184"/>
      <c r="B58" s="890" t="str">
        <f>"Gráfico N°22: Costos marginales medios registrados en las principales barras del área sur durante el mes de "&amp;'1. Resumen'!Q4</f>
        <v>Gráfico N°22: Costos marginales medios registrados en las principales barras del área sur durante el mes de enero</v>
      </c>
      <c r="C58" s="890"/>
      <c r="D58" s="890"/>
      <c r="E58" s="890"/>
      <c r="F58" s="890"/>
      <c r="G58" s="890"/>
      <c r="H58" s="890"/>
      <c r="I58" s="890"/>
      <c r="J58" s="560"/>
      <c r="K58" s="567"/>
    </row>
    <row r="59" spans="1:11" ht="13.2">
      <c r="A59" s="74"/>
      <c r="B59" s="136"/>
      <c r="C59" s="136"/>
      <c r="D59" s="136"/>
      <c r="E59" s="136"/>
      <c r="F59" s="136"/>
      <c r="G59" s="136"/>
      <c r="H59" s="180"/>
      <c r="I59" s="180"/>
      <c r="J59" s="560"/>
      <c r="K59" s="567"/>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C53" zoomScaleNormal="100" zoomScaleSheetLayoutView="100" zoomScalePageLayoutView="145" workbookViewId="0">
      <selection activeCell="S15" sqref="S15"/>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52" t="s">
        <v>389</v>
      </c>
      <c r="B2" s="852"/>
      <c r="C2" s="852"/>
      <c r="D2" s="852"/>
      <c r="E2" s="852"/>
      <c r="F2" s="852"/>
      <c r="G2" s="852"/>
      <c r="H2" s="852"/>
      <c r="I2" s="852"/>
      <c r="J2" s="852"/>
      <c r="K2" s="852"/>
      <c r="L2" s="85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9"/>
  <sheetViews>
    <sheetView showGridLines="0" view="pageBreakPreview" topLeftCell="A39" zoomScale="115" zoomScaleNormal="100" zoomScaleSheetLayoutView="115" zoomScalePageLayoutView="115" workbookViewId="0">
      <selection activeCell="S15" sqref="S15"/>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93" t="s">
        <v>388</v>
      </c>
      <c r="B2" s="893"/>
      <c r="C2" s="893"/>
      <c r="D2" s="893"/>
      <c r="E2" s="893"/>
      <c r="F2" s="893"/>
      <c r="G2" s="893"/>
      <c r="H2" s="893"/>
      <c r="I2" s="203"/>
      <c r="J2" s="203"/>
      <c r="K2" s="203"/>
    </row>
    <row r="3" spans="1:12" ht="3" customHeight="1">
      <c r="A3" s="77"/>
      <c r="B3" s="77"/>
      <c r="C3" s="77"/>
      <c r="D3" s="77"/>
      <c r="E3" s="77"/>
      <c r="F3" s="77"/>
      <c r="G3" s="77"/>
      <c r="H3" s="77"/>
      <c r="I3" s="204"/>
      <c r="J3" s="204"/>
      <c r="K3" s="204"/>
      <c r="L3" s="36"/>
    </row>
    <row r="4" spans="1:12" ht="15" customHeight="1">
      <c r="A4" s="884" t="s">
        <v>437</v>
      </c>
      <c r="B4" s="884"/>
      <c r="C4" s="884"/>
      <c r="D4" s="884"/>
      <c r="E4" s="884"/>
      <c r="F4" s="884"/>
      <c r="G4" s="884"/>
      <c r="H4" s="884"/>
      <c r="I4" s="195"/>
      <c r="J4" s="195"/>
      <c r="K4" s="195"/>
      <c r="L4" s="36"/>
    </row>
    <row r="5" spans="1:12" ht="11.25" customHeight="1">
      <c r="A5" s="77"/>
      <c r="B5" s="164"/>
      <c r="C5" s="78"/>
      <c r="D5" s="79"/>
      <c r="E5" s="79"/>
      <c r="F5" s="80"/>
      <c r="G5" s="76"/>
      <c r="H5" s="76"/>
      <c r="I5" s="196"/>
      <c r="J5" s="196"/>
      <c r="K5" s="196"/>
      <c r="L5" s="205"/>
    </row>
    <row r="6" spans="1:12" ht="30.75" customHeight="1">
      <c r="A6" s="430" t="s">
        <v>184</v>
      </c>
      <c r="B6" s="428" t="s">
        <v>185</v>
      </c>
      <c r="C6" s="428" t="s">
        <v>186</v>
      </c>
      <c r="D6" s="427" t="str">
        <f>UPPER('1. Resumen'!Q4)&amp;"
 "&amp;'1. Resumen'!Q5</f>
        <v>ENERO
 2021</v>
      </c>
      <c r="E6" s="427" t="str">
        <f>UPPER('1. Resumen'!Q4)&amp;"
 "&amp;'1. Resumen'!Q5-1</f>
        <v>ENERO
 2020</v>
      </c>
      <c r="F6" s="427" t="str">
        <f>UPPER('1. Resumen'!Q4)&amp;"
 "&amp;'1. Resumen'!Q5-2</f>
        <v>ENERO
 2019</v>
      </c>
      <c r="G6" s="428" t="s">
        <v>766</v>
      </c>
      <c r="H6" s="429" t="s">
        <v>461</v>
      </c>
      <c r="I6" s="196"/>
      <c r="J6" s="196"/>
      <c r="K6" s="196"/>
      <c r="L6" s="166"/>
    </row>
    <row r="7" spans="1:12" ht="19.5" customHeight="1">
      <c r="A7" s="894" t="s">
        <v>764</v>
      </c>
      <c r="B7" s="650" t="s">
        <v>746</v>
      </c>
      <c r="C7" s="651" t="s">
        <v>747</v>
      </c>
      <c r="D7" s="652"/>
      <c r="E7" s="652"/>
      <c r="F7" s="652">
        <v>7.9833333333333334</v>
      </c>
      <c r="G7" s="653"/>
      <c r="H7" s="653">
        <f>+E7/F7</f>
        <v>0</v>
      </c>
      <c r="I7" s="196"/>
      <c r="J7" s="196"/>
      <c r="K7" s="196"/>
      <c r="L7" s="58"/>
    </row>
    <row r="8" spans="1:12" ht="19.5" customHeight="1">
      <c r="A8" s="895"/>
      <c r="B8" s="650" t="s">
        <v>748</v>
      </c>
      <c r="C8" s="651" t="s">
        <v>749</v>
      </c>
      <c r="D8" s="652">
        <v>6.0500000000000007</v>
      </c>
      <c r="E8" s="652"/>
      <c r="F8" s="652"/>
      <c r="G8" s="653"/>
      <c r="H8" s="653"/>
      <c r="I8" s="196"/>
      <c r="J8" s="196"/>
      <c r="K8" s="196"/>
      <c r="L8" s="58"/>
    </row>
    <row r="9" spans="1:12" ht="19.5" customHeight="1">
      <c r="A9" s="894" t="s">
        <v>187</v>
      </c>
      <c r="B9" s="650" t="s">
        <v>750</v>
      </c>
      <c r="C9" s="651" t="s">
        <v>751</v>
      </c>
      <c r="D9" s="652">
        <v>1.5333333333333345</v>
      </c>
      <c r="E9" s="652"/>
      <c r="F9" s="652">
        <v>1.7499999999999998</v>
      </c>
      <c r="G9" s="653"/>
      <c r="H9" s="653">
        <f t="shared" ref="H9:H18" si="0">+E9/F9</f>
        <v>0</v>
      </c>
      <c r="I9" s="196"/>
      <c r="J9" s="196"/>
      <c r="K9" s="196"/>
      <c r="L9" s="58"/>
    </row>
    <row r="10" spans="1:12" ht="19.5" customHeight="1">
      <c r="A10" s="896"/>
      <c r="B10" s="650" t="s">
        <v>752</v>
      </c>
      <c r="C10" s="651" t="s">
        <v>753</v>
      </c>
      <c r="D10" s="652"/>
      <c r="E10" s="652"/>
      <c r="F10" s="652">
        <v>0.49999999999999956</v>
      </c>
      <c r="G10" s="653"/>
      <c r="H10" s="653">
        <f t="shared" si="0"/>
        <v>0</v>
      </c>
      <c r="I10" s="196"/>
      <c r="J10" s="196"/>
      <c r="K10" s="196"/>
      <c r="L10" s="58"/>
    </row>
    <row r="11" spans="1:12" ht="19.5" customHeight="1">
      <c r="A11" s="896"/>
      <c r="B11" s="650" t="s">
        <v>754</v>
      </c>
      <c r="C11" s="651" t="s">
        <v>755</v>
      </c>
      <c r="D11" s="652"/>
      <c r="E11" s="652"/>
      <c r="F11" s="652">
        <v>0.99999999999999911</v>
      </c>
      <c r="G11" s="653"/>
      <c r="H11" s="653">
        <f t="shared" si="0"/>
        <v>0</v>
      </c>
      <c r="I11" s="196"/>
      <c r="J11" s="196"/>
      <c r="K11" s="196"/>
      <c r="L11" s="58"/>
    </row>
    <row r="12" spans="1:12" ht="19.5" customHeight="1">
      <c r="A12" s="896"/>
      <c r="B12" s="650" t="s">
        <v>507</v>
      </c>
      <c r="C12" s="651" t="s">
        <v>509</v>
      </c>
      <c r="D12" s="652">
        <v>0.99999999999999911</v>
      </c>
      <c r="E12" s="652">
        <v>2.3000000000000012</v>
      </c>
      <c r="F12" s="652">
        <v>6.2333333333333325</v>
      </c>
      <c r="G12" s="653">
        <f t="shared" ref="G12:G20" si="1">+D12/E12</f>
        <v>0.43478260869565155</v>
      </c>
      <c r="H12" s="653">
        <f t="shared" si="0"/>
        <v>0.36898395721925159</v>
      </c>
      <c r="I12" s="196"/>
      <c r="J12" s="196"/>
      <c r="K12" s="196"/>
      <c r="L12" s="58"/>
    </row>
    <row r="13" spans="1:12" ht="19.5" customHeight="1">
      <c r="A13" s="896"/>
      <c r="B13" s="650" t="s">
        <v>756</v>
      </c>
      <c r="C13" s="651" t="s">
        <v>757</v>
      </c>
      <c r="D13" s="652"/>
      <c r="E13" s="652"/>
      <c r="F13" s="652">
        <v>8.3833333333333346</v>
      </c>
      <c r="G13" s="653"/>
      <c r="H13" s="653">
        <f t="shared" si="0"/>
        <v>0</v>
      </c>
      <c r="I13" s="196"/>
      <c r="J13" s="196"/>
      <c r="K13" s="196"/>
      <c r="L13" s="58"/>
    </row>
    <row r="14" spans="1:12" ht="19.5" customHeight="1">
      <c r="A14" s="896"/>
      <c r="B14" s="650" t="s">
        <v>482</v>
      </c>
      <c r="C14" s="651" t="s">
        <v>483</v>
      </c>
      <c r="D14" s="652"/>
      <c r="E14" s="652">
        <v>15.2</v>
      </c>
      <c r="F14" s="652">
        <v>70.333333333333329</v>
      </c>
      <c r="G14" s="653">
        <f t="shared" si="1"/>
        <v>0</v>
      </c>
      <c r="H14" s="653">
        <f t="shared" si="0"/>
        <v>0.21611374407582939</v>
      </c>
      <c r="I14" s="196"/>
      <c r="J14" s="196"/>
      <c r="K14" s="196"/>
      <c r="L14" s="58"/>
    </row>
    <row r="15" spans="1:12" ht="19.5" customHeight="1">
      <c r="A15" s="896"/>
      <c r="B15" s="650" t="s">
        <v>758</v>
      </c>
      <c r="C15" s="651" t="s">
        <v>759</v>
      </c>
      <c r="D15" s="652">
        <v>1.0166666666666657</v>
      </c>
      <c r="E15" s="652"/>
      <c r="F15" s="652">
        <v>0.49999999999999956</v>
      </c>
      <c r="G15" s="653"/>
      <c r="H15" s="653">
        <f t="shared" si="0"/>
        <v>0</v>
      </c>
      <c r="I15" s="196"/>
      <c r="J15" s="196"/>
      <c r="K15" s="196"/>
      <c r="L15" s="58"/>
    </row>
    <row r="16" spans="1:12" ht="19.5" customHeight="1">
      <c r="A16" s="896"/>
      <c r="B16" s="650" t="s">
        <v>508</v>
      </c>
      <c r="C16" s="651" t="s">
        <v>510</v>
      </c>
      <c r="D16" s="652">
        <v>2.8500000000000014</v>
      </c>
      <c r="E16" s="652"/>
      <c r="F16" s="652">
        <v>41.15</v>
      </c>
      <c r="G16" s="653"/>
      <c r="H16" s="653">
        <f t="shared" si="0"/>
        <v>0</v>
      </c>
      <c r="I16" s="196"/>
      <c r="J16" s="196"/>
      <c r="K16" s="196"/>
      <c r="L16" s="58"/>
    </row>
    <row r="17" spans="1:12" ht="19.5" customHeight="1">
      <c r="A17" s="896"/>
      <c r="B17" s="650" t="s">
        <v>496</v>
      </c>
      <c r="C17" s="651" t="s">
        <v>497</v>
      </c>
      <c r="D17" s="652"/>
      <c r="E17" s="652">
        <v>4.7666666666666657</v>
      </c>
      <c r="F17" s="652">
        <v>195.98333333333332</v>
      </c>
      <c r="G17" s="653">
        <f t="shared" si="1"/>
        <v>0</v>
      </c>
      <c r="H17" s="653">
        <f t="shared" si="0"/>
        <v>2.4321796071094477E-2</v>
      </c>
      <c r="I17" s="196"/>
      <c r="J17" s="196"/>
      <c r="K17" s="196"/>
      <c r="L17" s="58"/>
    </row>
    <row r="18" spans="1:12" ht="19.5" customHeight="1">
      <c r="A18" s="896"/>
      <c r="B18" s="650" t="s">
        <v>498</v>
      </c>
      <c r="C18" s="651" t="s">
        <v>499</v>
      </c>
      <c r="D18" s="652">
        <v>166.95</v>
      </c>
      <c r="E18" s="652">
        <v>460.56666666666666</v>
      </c>
      <c r="F18" s="652">
        <v>3.2666666666666631</v>
      </c>
      <c r="G18" s="653">
        <f t="shared" si="1"/>
        <v>0.36248823912571465</v>
      </c>
      <c r="H18" s="653">
        <f t="shared" si="0"/>
        <v>140.98979591836749</v>
      </c>
      <c r="I18" s="196"/>
      <c r="J18" s="196"/>
      <c r="K18" s="196"/>
      <c r="L18" s="58"/>
    </row>
    <row r="19" spans="1:12" ht="19.5" customHeight="1">
      <c r="A19" s="895"/>
      <c r="B19" s="650" t="s">
        <v>484</v>
      </c>
      <c r="C19" s="651" t="s">
        <v>462</v>
      </c>
      <c r="D19" s="652">
        <v>2.2999999999999998</v>
      </c>
      <c r="E19" s="652"/>
      <c r="F19" s="652"/>
      <c r="G19" s="653"/>
      <c r="H19" s="653"/>
      <c r="I19" s="196"/>
      <c r="J19" s="196"/>
      <c r="K19" s="196"/>
      <c r="L19" s="58"/>
    </row>
    <row r="20" spans="1:12" ht="19.5" customHeight="1">
      <c r="A20" s="894" t="s">
        <v>765</v>
      </c>
      <c r="B20" s="650" t="s">
        <v>760</v>
      </c>
      <c r="C20" s="651" t="s">
        <v>761</v>
      </c>
      <c r="D20" s="652"/>
      <c r="E20" s="652">
        <v>0.23333333333332984</v>
      </c>
      <c r="F20" s="652"/>
      <c r="G20" s="653">
        <f t="shared" si="1"/>
        <v>0</v>
      </c>
      <c r="H20" s="653"/>
      <c r="I20" s="196"/>
      <c r="J20" s="196"/>
      <c r="K20" s="196"/>
      <c r="L20" s="58"/>
    </row>
    <row r="21" spans="1:12" ht="19.5" customHeight="1">
      <c r="A21" s="895"/>
      <c r="B21" s="650" t="s">
        <v>762</v>
      </c>
      <c r="C21" s="651" t="s">
        <v>763</v>
      </c>
      <c r="D21" s="652">
        <v>261.71666666666675</v>
      </c>
      <c r="E21" s="652"/>
      <c r="F21" s="652"/>
      <c r="G21" s="653"/>
      <c r="H21" s="653"/>
      <c r="I21" s="196"/>
      <c r="J21" s="196"/>
      <c r="K21" s="196"/>
      <c r="L21" s="58"/>
    </row>
    <row r="22" spans="1:12" ht="18.75" customHeight="1">
      <c r="A22" s="421" t="s">
        <v>188</v>
      </c>
      <c r="B22" s="422"/>
      <c r="C22" s="423"/>
      <c r="D22" s="424">
        <f>SUM(D7:D21)</f>
        <v>443.41666666666674</v>
      </c>
      <c r="E22" s="424">
        <f>SUM(E7:E21)</f>
        <v>483.06666666666666</v>
      </c>
      <c r="F22" s="424">
        <f>SUM(F7:F21)</f>
        <v>337.08333333333326</v>
      </c>
      <c r="G22" s="424">
        <f>SUM(G7:G21)</f>
        <v>0.79727084782136615</v>
      </c>
      <c r="H22" s="612">
        <f t="shared" ref="H22" si="2">+E22/F22-1</f>
        <v>0.43307787391841801</v>
      </c>
      <c r="I22" s="196"/>
      <c r="J22" s="196"/>
      <c r="K22" s="197"/>
      <c r="L22" s="206"/>
    </row>
    <row r="23" spans="1:12" ht="11.25" customHeight="1">
      <c r="A23" s="265" t="str">
        <f>"Cuadro N° 14: Horas de operación de los principales equipos de congestión en "&amp;'1. Resumen'!Q4</f>
        <v>Cuadro N° 14: Horas de operación de los principales equipos de congestión en enero</v>
      </c>
      <c r="B23" s="209"/>
      <c r="C23" s="210"/>
      <c r="D23" s="211"/>
      <c r="E23" s="211"/>
      <c r="F23" s="212"/>
      <c r="G23" s="76"/>
      <c r="H23" s="82"/>
      <c r="I23" s="196"/>
      <c r="J23" s="196"/>
      <c r="K23" s="197"/>
      <c r="L23" s="206"/>
    </row>
    <row r="24" spans="1:12" ht="11.25" customHeight="1">
      <c r="A24" s="137"/>
      <c r="B24" s="209"/>
      <c r="C24" s="210"/>
      <c r="D24" s="211"/>
      <c r="E24" s="211"/>
      <c r="F24" s="212"/>
      <c r="G24" s="76"/>
      <c r="H24" s="76"/>
      <c r="I24" s="196"/>
      <c r="J24" s="196"/>
      <c r="K24" s="197"/>
      <c r="L24" s="206"/>
    </row>
    <row r="25" spans="1:12" ht="11.25" customHeight="1">
      <c r="A25" s="137"/>
      <c r="B25" s="209"/>
      <c r="C25" s="210"/>
      <c r="D25" s="211"/>
      <c r="E25" s="211"/>
      <c r="F25" s="212"/>
      <c r="G25" s="76"/>
      <c r="H25" s="76"/>
      <c r="I25" s="196"/>
      <c r="J25" s="196"/>
      <c r="K25" s="197"/>
      <c r="L25" s="206"/>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7"/>
      <c r="L28" s="207"/>
    </row>
    <row r="29" spans="1:12" ht="11.25" customHeight="1">
      <c r="A29" s="77"/>
      <c r="B29" s="164"/>
      <c r="C29" s="78"/>
      <c r="D29" s="79"/>
      <c r="E29" s="79"/>
      <c r="F29" s="80"/>
      <c r="G29" s="76"/>
      <c r="H29" s="76"/>
      <c r="I29" s="196"/>
      <c r="J29" s="196"/>
      <c r="K29" s="197"/>
      <c r="L29" s="206"/>
    </row>
    <row r="30" spans="1:12" ht="11.25" customHeight="1">
      <c r="A30" s="77"/>
      <c r="B30" s="164"/>
      <c r="C30" s="78"/>
      <c r="D30" s="79"/>
      <c r="E30" s="79"/>
      <c r="F30" s="80"/>
      <c r="G30" s="76"/>
      <c r="H30" s="76"/>
      <c r="I30" s="196"/>
      <c r="J30" s="196"/>
      <c r="K30" s="197"/>
      <c r="L30" s="206"/>
    </row>
    <row r="31" spans="1:12" ht="11.25" customHeight="1">
      <c r="A31" s="77"/>
      <c r="B31" s="164"/>
      <c r="C31" s="78"/>
      <c r="D31" s="79"/>
      <c r="E31" s="79"/>
      <c r="F31" s="80"/>
      <c r="G31" s="76"/>
      <c r="H31" s="76"/>
      <c r="I31" s="196"/>
      <c r="J31" s="196"/>
      <c r="K31" s="196"/>
      <c r="L31" s="58"/>
    </row>
    <row r="32" spans="1:12" ht="11.25" customHeight="1">
      <c r="A32" s="77"/>
      <c r="B32" s="164"/>
      <c r="C32" s="78"/>
      <c r="D32" s="79"/>
      <c r="E32" s="79"/>
      <c r="F32" s="80"/>
      <c r="G32" s="76"/>
      <c r="H32" s="76"/>
      <c r="I32" s="196"/>
      <c r="J32" s="196"/>
      <c r="K32" s="197"/>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164"/>
      <c r="C35" s="78"/>
      <c r="D35" s="79"/>
      <c r="E35" s="79"/>
      <c r="F35" s="80"/>
      <c r="G35" s="76"/>
      <c r="H35" s="76"/>
      <c r="I35" s="196"/>
      <c r="J35" s="196"/>
      <c r="K35" s="198"/>
      <c r="L35" s="206"/>
    </row>
    <row r="36" spans="1:12" ht="11.25" customHeight="1">
      <c r="A36" s="77"/>
      <c r="B36" s="164"/>
      <c r="C36" s="78"/>
      <c r="D36" s="79"/>
      <c r="E36" s="79"/>
      <c r="F36" s="80"/>
      <c r="G36" s="76"/>
      <c r="H36" s="76"/>
      <c r="I36" s="196"/>
      <c r="J36" s="196"/>
      <c r="K36" s="198"/>
      <c r="L36" s="206"/>
    </row>
    <row r="37" spans="1:12" ht="11.25" customHeight="1">
      <c r="A37" s="77"/>
      <c r="B37" s="164"/>
      <c r="C37" s="78"/>
      <c r="D37" s="79"/>
      <c r="E37" s="79"/>
      <c r="F37" s="80"/>
      <c r="G37" s="76"/>
      <c r="H37" s="76"/>
      <c r="I37" s="196"/>
      <c r="J37" s="196"/>
      <c r="K37" s="198"/>
      <c r="L37" s="206"/>
    </row>
    <row r="38" spans="1:12" ht="11.25" customHeight="1">
      <c r="A38" s="77"/>
      <c r="B38" s="164"/>
      <c r="C38" s="78"/>
      <c r="D38" s="79"/>
      <c r="E38" s="79"/>
      <c r="F38" s="80"/>
      <c r="G38" s="76"/>
      <c r="H38" s="76"/>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8.25" customHeight="1">
      <c r="A48" s="77"/>
      <c r="B48" s="77"/>
      <c r="C48" s="77"/>
      <c r="D48" s="77"/>
      <c r="E48" s="77"/>
      <c r="F48" s="77"/>
      <c r="G48" s="77"/>
      <c r="H48" s="77"/>
      <c r="I48" s="196"/>
      <c r="J48" s="196"/>
      <c r="K48" s="199"/>
      <c r="L48" s="59"/>
    </row>
    <row r="49" spans="1:12" ht="24.7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1.25" customHeight="1">
      <c r="A52" s="77"/>
      <c r="B52" s="77"/>
      <c r="C52" s="77"/>
      <c r="D52" s="77"/>
      <c r="E52" s="77"/>
      <c r="F52" s="77"/>
      <c r="G52" s="77"/>
      <c r="H52" s="77"/>
      <c r="I52" s="196"/>
      <c r="J52" s="196"/>
      <c r="K52" s="199"/>
      <c r="L52" s="59"/>
    </row>
    <row r="53" spans="1:12" ht="13.2">
      <c r="A53" s="265" t="str">
        <f>"Gráfico N° 23: Comparación de las horas de operación de los principales equipos de congestión en "&amp;'1. Resumen'!Q4&amp;"."</f>
        <v>Gráfico N° 23: Comparación de las horas de operación de los principales equipos de congestión en enero.</v>
      </c>
      <c r="B53" s="77"/>
      <c r="C53" s="77"/>
      <c r="D53" s="77"/>
      <c r="E53" s="77"/>
      <c r="F53" s="77"/>
      <c r="G53" s="77"/>
      <c r="H53" s="77"/>
      <c r="I53" s="111"/>
      <c r="J53" s="111"/>
      <c r="K53" s="198"/>
    </row>
    <row r="54" spans="1:12" ht="13.2">
      <c r="A54" s="77"/>
      <c r="B54" s="77"/>
      <c r="C54" s="77"/>
      <c r="D54" s="77"/>
      <c r="E54" s="77"/>
      <c r="F54" s="77"/>
      <c r="G54" s="77"/>
      <c r="H54" s="77"/>
      <c r="I54" s="197"/>
      <c r="J54" s="197"/>
      <c r="K54" s="198"/>
    </row>
    <row r="55" spans="1:12" ht="13.2">
      <c r="A55" s="196"/>
      <c r="B55" s="197"/>
      <c r="C55" s="197"/>
      <c r="D55" s="197"/>
      <c r="E55" s="197"/>
      <c r="F55" s="197"/>
      <c r="G55" s="197"/>
      <c r="H55" s="197"/>
      <c r="I55" s="197"/>
      <c r="J55" s="197"/>
      <c r="K55" s="198"/>
    </row>
    <row r="56" spans="1:12" ht="13.2">
      <c r="A56" s="196"/>
      <c r="B56" s="208"/>
      <c r="C56" s="198"/>
      <c r="D56" s="198"/>
      <c r="E56" s="198"/>
      <c r="F56" s="198"/>
      <c r="G56" s="197"/>
      <c r="H56" s="197"/>
      <c r="I56" s="197"/>
      <c r="J56" s="197"/>
      <c r="K56" s="198"/>
    </row>
    <row r="57" spans="1:12" ht="13.2">
      <c r="A57" s="1"/>
      <c r="B57" s="31"/>
      <c r="C57" s="31"/>
      <c r="D57" s="31"/>
      <c r="E57" s="31"/>
      <c r="F57" s="31"/>
      <c r="G57" s="31"/>
      <c r="H57" s="197"/>
      <c r="I57" s="197"/>
      <c r="J57" s="197"/>
      <c r="K57" s="198"/>
    </row>
    <row r="58" spans="1:12" ht="13.2">
      <c r="A58" s="1"/>
      <c r="B58" s="31"/>
      <c r="C58" s="31"/>
      <c r="D58" s="31"/>
      <c r="E58" s="31"/>
      <c r="F58" s="31"/>
      <c r="G58" s="31"/>
      <c r="H58" s="197"/>
      <c r="I58" s="197"/>
      <c r="J58" s="197"/>
      <c r="K58" s="197"/>
    </row>
    <row r="59" spans="1:12" ht="13.2">
      <c r="A59" s="1"/>
      <c r="B59" s="31"/>
      <c r="C59" s="31"/>
      <c r="D59" s="31"/>
      <c r="E59" s="31"/>
      <c r="F59" s="31"/>
      <c r="G59" s="31"/>
      <c r="H59" s="197"/>
      <c r="I59" s="197"/>
      <c r="J59" s="197"/>
      <c r="K59" s="197"/>
    </row>
  </sheetData>
  <mergeCells count="5">
    <mergeCell ref="A4:H4"/>
    <mergeCell ref="A2:H2"/>
    <mergeCell ref="A7:A8"/>
    <mergeCell ref="A9:A19"/>
    <mergeCell ref="A20:A2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0"/>
  <sheetViews>
    <sheetView showGridLines="0" view="pageBreakPreview" zoomScale="110" zoomScaleNormal="160" zoomScaleSheetLayoutView="110" zoomScalePageLayoutView="130" workbookViewId="0">
      <selection activeCell="S15" sqref="S15"/>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04" t="s">
        <v>416</v>
      </c>
      <c r="B2" s="904"/>
      <c r="C2" s="904"/>
      <c r="D2" s="904"/>
      <c r="E2" s="904"/>
      <c r="F2" s="904"/>
      <c r="G2" s="904"/>
      <c r="H2" s="904"/>
      <c r="I2" s="904"/>
      <c r="J2" s="904"/>
      <c r="K2" s="163"/>
    </row>
    <row r="3" spans="1:12" ht="6.75" customHeight="1">
      <c r="A3" s="17"/>
      <c r="B3" s="159"/>
      <c r="C3" s="213"/>
      <c r="D3" s="18"/>
      <c r="E3" s="18"/>
      <c r="F3" s="192"/>
      <c r="G3" s="66"/>
      <c r="H3" s="66"/>
      <c r="I3" s="71"/>
      <c r="J3" s="163"/>
      <c r="K3" s="163"/>
      <c r="L3" s="36"/>
    </row>
    <row r="4" spans="1:12" ht="15" customHeight="1">
      <c r="A4" s="905" t="s">
        <v>436</v>
      </c>
      <c r="B4" s="905"/>
      <c r="C4" s="905"/>
      <c r="D4" s="905"/>
      <c r="E4" s="905"/>
      <c r="F4" s="905"/>
      <c r="G4" s="905"/>
      <c r="H4" s="905"/>
      <c r="I4" s="905"/>
      <c r="J4" s="905"/>
      <c r="K4" s="163"/>
      <c r="L4" s="36"/>
    </row>
    <row r="5" spans="1:12" ht="38.25" customHeight="1">
      <c r="A5" s="902" t="s">
        <v>189</v>
      </c>
      <c r="B5" s="431" t="s">
        <v>190</v>
      </c>
      <c r="C5" s="432" t="s">
        <v>191</v>
      </c>
      <c r="D5" s="432" t="s">
        <v>192</v>
      </c>
      <c r="E5" s="432" t="s">
        <v>193</v>
      </c>
      <c r="F5" s="432" t="s">
        <v>194</v>
      </c>
      <c r="G5" s="432" t="s">
        <v>195</v>
      </c>
      <c r="H5" s="432" t="s">
        <v>196</v>
      </c>
      <c r="I5" s="433" t="s">
        <v>197</v>
      </c>
      <c r="J5" s="434" t="s">
        <v>198</v>
      </c>
      <c r="K5" s="131"/>
    </row>
    <row r="6" spans="1:12" ht="11.25" customHeight="1">
      <c r="A6" s="903"/>
      <c r="B6" s="584" t="s">
        <v>199</v>
      </c>
      <c r="C6" s="433" t="s">
        <v>200</v>
      </c>
      <c r="D6" s="433" t="s">
        <v>201</v>
      </c>
      <c r="E6" s="433" t="s">
        <v>202</v>
      </c>
      <c r="F6" s="433" t="s">
        <v>203</v>
      </c>
      <c r="G6" s="433" t="s">
        <v>204</v>
      </c>
      <c r="H6" s="433" t="s">
        <v>205</v>
      </c>
      <c r="I6" s="585"/>
      <c r="J6" s="586" t="s">
        <v>206</v>
      </c>
      <c r="K6" s="19"/>
    </row>
    <row r="7" spans="1:12" ht="20.25" customHeight="1">
      <c r="A7" s="593" t="s">
        <v>506</v>
      </c>
      <c r="B7" s="594">
        <v>37</v>
      </c>
      <c r="C7" s="594">
        <v>8</v>
      </c>
      <c r="D7" s="594">
        <v>1</v>
      </c>
      <c r="E7" s="594"/>
      <c r="F7" s="594">
        <v>6</v>
      </c>
      <c r="G7" s="594">
        <v>1</v>
      </c>
      <c r="H7" s="594"/>
      <c r="I7" s="595">
        <f>+SUM(B7:H7)</f>
        <v>53</v>
      </c>
      <c r="J7" s="596">
        <v>240.34</v>
      </c>
      <c r="K7" s="22"/>
    </row>
    <row r="8" spans="1:12" s="598" customFormat="1" ht="20.25" customHeight="1">
      <c r="A8" s="665" t="s">
        <v>480</v>
      </c>
      <c r="B8" s="666"/>
      <c r="C8" s="666"/>
      <c r="D8" s="666"/>
      <c r="E8" s="666"/>
      <c r="F8" s="666"/>
      <c r="G8" s="666"/>
      <c r="H8" s="666">
        <v>1</v>
      </c>
      <c r="I8" s="595">
        <f t="shared" ref="I8:I11" si="0">+SUM(B8:H8)</f>
        <v>1</v>
      </c>
      <c r="J8" s="667">
        <v>19.260000000000002</v>
      </c>
      <c r="K8" s="22"/>
    </row>
    <row r="9" spans="1:12" s="598" customFormat="1" ht="20.25" customHeight="1">
      <c r="A9" s="665" t="s">
        <v>745</v>
      </c>
      <c r="B9" s="666"/>
      <c r="C9" s="666"/>
      <c r="D9" s="666">
        <v>1</v>
      </c>
      <c r="E9" s="666">
        <v>1</v>
      </c>
      <c r="F9" s="666"/>
      <c r="G9" s="666"/>
      <c r="H9" s="666"/>
      <c r="I9" s="595">
        <f t="shared" si="0"/>
        <v>2</v>
      </c>
      <c r="J9" s="667">
        <v>165.44</v>
      </c>
      <c r="K9" s="22"/>
    </row>
    <row r="10" spans="1:12" s="598" customFormat="1" ht="20.25" hidden="1" customHeight="1">
      <c r="A10" s="665"/>
      <c r="B10" s="666"/>
      <c r="C10" s="666"/>
      <c r="D10" s="666"/>
      <c r="E10" s="666"/>
      <c r="F10" s="666"/>
      <c r="G10" s="666"/>
      <c r="H10" s="666"/>
      <c r="I10" s="595">
        <f t="shared" si="0"/>
        <v>0</v>
      </c>
      <c r="J10" s="667">
        <v>148.51000000000002</v>
      </c>
      <c r="K10" s="22"/>
    </row>
    <row r="11" spans="1:12" s="598" customFormat="1" ht="20.25" hidden="1" customHeight="1">
      <c r="A11" s="665"/>
      <c r="B11" s="666"/>
      <c r="C11" s="666"/>
      <c r="D11" s="666"/>
      <c r="E11" s="666"/>
      <c r="F11" s="666"/>
      <c r="G11" s="666"/>
      <c r="H11" s="666"/>
      <c r="I11" s="595">
        <f t="shared" si="0"/>
        <v>0</v>
      </c>
      <c r="J11" s="667">
        <v>4.76</v>
      </c>
      <c r="K11" s="22"/>
    </row>
    <row r="12" spans="1:12" ht="14.25" customHeight="1">
      <c r="A12" s="592" t="s">
        <v>197</v>
      </c>
      <c r="B12" s="587">
        <f t="shared" ref="B12:H12" si="1">+SUM(B7:B11)</f>
        <v>37</v>
      </c>
      <c r="C12" s="587">
        <f t="shared" si="1"/>
        <v>8</v>
      </c>
      <c r="D12" s="587">
        <f t="shared" si="1"/>
        <v>2</v>
      </c>
      <c r="E12" s="587">
        <f t="shared" si="1"/>
        <v>1</v>
      </c>
      <c r="F12" s="587">
        <f t="shared" si="1"/>
        <v>6</v>
      </c>
      <c r="G12" s="587">
        <f t="shared" si="1"/>
        <v>1</v>
      </c>
      <c r="H12" s="587">
        <f t="shared" si="1"/>
        <v>1</v>
      </c>
      <c r="I12" s="587">
        <f>SUM(I7:I11)</f>
        <v>56</v>
      </c>
      <c r="J12" s="588">
        <f>SUM(J7:J11)</f>
        <v>578.31000000000006</v>
      </c>
      <c r="K12" s="22"/>
    </row>
    <row r="13" spans="1:12" ht="11.25" customHeight="1">
      <c r="A13" s="90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enero 2021</v>
      </c>
      <c r="B13" s="906"/>
      <c r="C13" s="906"/>
      <c r="D13" s="906"/>
      <c r="E13" s="906"/>
      <c r="F13" s="906"/>
      <c r="G13" s="906"/>
      <c r="H13" s="906"/>
      <c r="I13" s="906"/>
      <c r="J13" s="906"/>
      <c r="K13" s="22"/>
    </row>
    <row r="14" spans="1:12" ht="11.25" customHeight="1">
      <c r="K14" s="22"/>
    </row>
    <row r="15" spans="1:12" ht="11.25" customHeight="1">
      <c r="A15" s="17"/>
      <c r="B15" s="215"/>
      <c r="C15" s="214"/>
      <c r="D15" s="214"/>
      <c r="E15" s="214"/>
      <c r="F15" s="214"/>
      <c r="G15" s="178"/>
      <c r="H15" s="178"/>
      <c r="I15" s="138"/>
      <c r="J15" s="25"/>
      <c r="K15" s="25"/>
      <c r="L15" s="22"/>
    </row>
    <row r="16" spans="1:12" ht="11.25" customHeight="1">
      <c r="A16" s="899" t="str">
        <f>"FALLAS  POR TIPO DE CAUSA  -  "&amp;UPPER('1. Resumen'!Q4)&amp;" "&amp;'1. Resumen'!Q5</f>
        <v>FALLAS  POR TIPO DE CAUSA  -  ENERO 2021</v>
      </c>
      <c r="B16" s="899"/>
      <c r="C16" s="899"/>
      <c r="D16" s="899"/>
      <c r="E16" s="899" t="str">
        <f>"FALLAS  POR TIPO DE EQUIPO  -  "&amp;UPPER('1. Resumen'!Q4)&amp;" "&amp;'1. Resumen'!Q5</f>
        <v>FALLAS  POR TIPO DE EQUIPO  -  ENERO 2021</v>
      </c>
      <c r="F16" s="899"/>
      <c r="G16" s="899"/>
      <c r="H16" s="899"/>
      <c r="I16" s="899"/>
      <c r="J16" s="899"/>
      <c r="K16" s="25"/>
      <c r="L16" s="22"/>
    </row>
    <row r="17" spans="1:12" ht="11.25" customHeight="1">
      <c r="A17" s="17"/>
      <c r="E17" s="214"/>
      <c r="F17" s="214"/>
      <c r="G17" s="178"/>
      <c r="H17" s="178"/>
      <c r="I17" s="138"/>
      <c r="J17" s="111"/>
      <c r="K17" s="111"/>
      <c r="L17" s="22"/>
    </row>
    <row r="18" spans="1:12" ht="11.25" customHeight="1">
      <c r="A18" s="17"/>
      <c r="B18" s="215"/>
      <c r="C18" s="214"/>
      <c r="D18" s="214"/>
      <c r="E18" s="214"/>
      <c r="F18" s="214"/>
      <c r="G18" s="178"/>
      <c r="H18" s="178"/>
      <c r="I18" s="138"/>
      <c r="J18" s="111"/>
      <c r="K18" s="111"/>
      <c r="L18" s="30"/>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30"/>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23.25" customHeight="1">
      <c r="A34" s="898" t="s">
        <v>404</v>
      </c>
      <c r="B34" s="898"/>
      <c r="C34" s="898"/>
      <c r="D34" s="268"/>
      <c r="E34" s="901" t="s">
        <v>405</v>
      </c>
      <c r="F34" s="901"/>
      <c r="G34" s="901"/>
      <c r="H34" s="901"/>
      <c r="I34" s="901"/>
      <c r="J34" s="901"/>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6"/>
    </row>
    <row r="37" spans="1:12" ht="11.25" customHeight="1">
      <c r="A37" s="900" t="str">
        <f>"ENERGÍA INTERRUMPIDA APROXIMADA POR TIPO DE EQUIPO (MWh)  -  "&amp;UPPER('1. Resumen'!Q4)&amp;" "&amp;'1. Resumen'!Q5</f>
        <v>ENERGÍA INTERRUMPIDA APROXIMADA POR TIPO DE EQUIPO (MWh)  -  ENERO 2021</v>
      </c>
      <c r="B37" s="900"/>
      <c r="C37" s="900"/>
      <c r="D37" s="900"/>
      <c r="E37" s="900"/>
      <c r="F37" s="900"/>
      <c r="G37" s="900"/>
      <c r="H37" s="900"/>
      <c r="I37" s="900"/>
      <c r="J37" s="900"/>
      <c r="K37" s="25"/>
      <c r="L37" s="216"/>
    </row>
    <row r="38" spans="1:12" ht="11.25" customHeight="1">
      <c r="A38" s="17"/>
      <c r="B38" s="132"/>
      <c r="C38" s="132"/>
      <c r="D38" s="132"/>
      <c r="E38" s="132"/>
      <c r="F38" s="132"/>
      <c r="G38" s="25"/>
      <c r="H38" s="25"/>
      <c r="I38" s="25"/>
      <c r="J38" s="25"/>
      <c r="K38" s="25"/>
      <c r="L38" s="216"/>
    </row>
    <row r="39" spans="1:12" ht="11.25" customHeight="1">
      <c r="A39" s="17"/>
      <c r="B39" s="132"/>
      <c r="C39" s="25"/>
      <c r="D39" s="25"/>
      <c r="E39" s="25"/>
      <c r="F39" s="25"/>
      <c r="G39" s="25"/>
      <c r="H39" s="25"/>
      <c r="I39" s="25"/>
      <c r="J39" s="25"/>
      <c r="K39" s="25"/>
      <c r="L39" s="216"/>
    </row>
    <row r="40" spans="1:12" ht="11.25" customHeight="1">
      <c r="A40" s="17"/>
      <c r="B40" s="132"/>
      <c r="C40" s="25"/>
      <c r="D40" s="25"/>
      <c r="E40" s="25"/>
      <c r="F40" s="25"/>
      <c r="G40" s="25"/>
      <c r="H40" s="25"/>
    </row>
    <row r="41" spans="1:12" ht="13.2">
      <c r="A41" s="17"/>
      <c r="B41" s="132"/>
      <c r="J41" s="25"/>
      <c r="K41" s="25"/>
      <c r="L41" s="216"/>
    </row>
    <row r="42" spans="1:12" ht="13.2">
      <c r="A42" s="17"/>
      <c r="B42" s="132"/>
      <c r="C42" s="132"/>
      <c r="D42" s="132"/>
      <c r="E42" s="132"/>
      <c r="F42" s="132"/>
      <c r="G42" s="25"/>
      <c r="H42" s="25"/>
      <c r="I42" s="25"/>
      <c r="J42" s="25"/>
      <c r="K42" s="25"/>
      <c r="L42" s="216"/>
    </row>
    <row r="43" spans="1:12" ht="3" customHeight="1">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7"/>
      <c r="B46" s="132"/>
      <c r="C46" s="132"/>
      <c r="D46" s="132"/>
      <c r="E46" s="132"/>
      <c r="F46" s="132"/>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13.2">
      <c r="A51" s="163"/>
      <c r="B51" s="25"/>
      <c r="C51" s="25"/>
      <c r="D51" s="25"/>
      <c r="E51" s="25"/>
      <c r="F51" s="25"/>
      <c r="G51" s="25"/>
      <c r="H51" s="25"/>
      <c r="I51" s="25"/>
      <c r="J51" s="25"/>
      <c r="K51" s="25"/>
      <c r="L51" s="216"/>
    </row>
    <row r="52" spans="1:12" ht="9" customHeight="1">
      <c r="A52" s="163"/>
      <c r="B52" s="25"/>
      <c r="C52" s="25"/>
      <c r="D52" s="25"/>
      <c r="E52" s="25"/>
      <c r="F52" s="25"/>
      <c r="G52" s="25"/>
      <c r="H52" s="25"/>
      <c r="I52" s="25"/>
      <c r="J52" s="25"/>
      <c r="K52" s="25"/>
      <c r="L52" s="216"/>
    </row>
    <row r="53" spans="1:12">
      <c r="A53" s="268" t="str">
        <f>"Gráfico N°26: Comparación de la energía interrumpida aproximada por tipo de equipo en "&amp;'1. Resumen'!Q4&amp;" "&amp;'1. Resumen'!Q5</f>
        <v>Gráfico N°26: Comparación de la energía interrumpida aproximada por tipo de equipo en enero 2021</v>
      </c>
      <c r="B53" s="25"/>
      <c r="C53" s="25"/>
      <c r="D53" s="25"/>
      <c r="E53" s="25"/>
      <c r="F53" s="25"/>
      <c r="G53" s="25"/>
      <c r="H53" s="25"/>
      <c r="I53" s="25"/>
      <c r="J53" s="25"/>
      <c r="K53" s="25"/>
      <c r="L53" s="216"/>
    </row>
    <row r="54" spans="1:12" ht="5.25" customHeight="1">
      <c r="B54" s="25"/>
      <c r="C54" s="25"/>
      <c r="D54" s="25"/>
      <c r="E54" s="25"/>
      <c r="F54" s="25"/>
      <c r="G54" s="25"/>
      <c r="H54" s="25"/>
      <c r="I54" s="25"/>
      <c r="J54" s="25"/>
      <c r="K54" s="25"/>
      <c r="L54" s="216"/>
    </row>
    <row r="55" spans="1:12" ht="24" customHeight="1">
      <c r="A55" s="907" t="s">
        <v>207</v>
      </c>
      <c r="B55" s="907"/>
      <c r="C55" s="907"/>
      <c r="D55" s="907"/>
      <c r="E55" s="907"/>
      <c r="F55" s="907"/>
      <c r="G55" s="907"/>
      <c r="H55" s="907"/>
      <c r="I55" s="907"/>
      <c r="J55" s="907"/>
      <c r="K55" s="25"/>
      <c r="L55" s="216"/>
    </row>
    <row r="56" spans="1:12" ht="11.25" customHeight="1">
      <c r="A56" s="897" t="s">
        <v>208</v>
      </c>
      <c r="B56" s="897"/>
      <c r="C56" s="897"/>
      <c r="D56" s="897"/>
      <c r="E56" s="897"/>
      <c r="F56" s="897"/>
      <c r="G56" s="897"/>
      <c r="H56" s="897"/>
      <c r="I56" s="897"/>
      <c r="J56" s="897"/>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C66" s="25"/>
      <c r="D66" s="25"/>
      <c r="E66" s="25"/>
      <c r="F66" s="25"/>
      <c r="G66" s="25"/>
      <c r="H66" s="25"/>
      <c r="I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ht="13.2">
      <c r="A70" s="163"/>
      <c r="B70" s="25"/>
      <c r="J70" s="25"/>
      <c r="K70" s="25"/>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sheetData>
  <mergeCells count="11">
    <mergeCell ref="A5:A6"/>
    <mergeCell ref="A2:J2"/>
    <mergeCell ref="A4:J4"/>
    <mergeCell ref="A13:J13"/>
    <mergeCell ref="A55:J55"/>
    <mergeCell ref="A56:J56"/>
    <mergeCell ref="A34:C34"/>
    <mergeCell ref="A16:D16"/>
    <mergeCell ref="E16:J16"/>
    <mergeCell ref="A37:J37"/>
    <mergeCell ref="E34:J3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S15" sqref="S15"/>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12" t="s">
        <v>0</v>
      </c>
      <c r="B3" s="812"/>
      <c r="C3" s="812"/>
      <c r="D3" s="812"/>
      <c r="E3" s="812"/>
      <c r="F3" s="812"/>
      <c r="G3" s="812"/>
      <c r="H3" s="812"/>
      <c r="I3" s="812"/>
      <c r="J3" s="812"/>
      <c r="K3" s="812"/>
      <c r="L3" s="812"/>
    </row>
    <row r="4" spans="1:12">
      <c r="A4" s="812"/>
      <c r="B4" s="812"/>
      <c r="C4" s="812"/>
      <c r="D4" s="812"/>
      <c r="E4" s="812"/>
      <c r="F4" s="812"/>
      <c r="G4" s="812"/>
      <c r="H4" s="812"/>
      <c r="I4" s="812"/>
      <c r="J4" s="812"/>
      <c r="K4" s="812"/>
      <c r="L4" s="812"/>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398</v>
      </c>
      <c r="B7" s="218"/>
      <c r="C7" s="25"/>
      <c r="D7" s="25"/>
      <c r="E7" s="25"/>
      <c r="F7" s="25"/>
      <c r="G7" s="25"/>
      <c r="H7" s="25"/>
      <c r="I7" s="25"/>
      <c r="J7" s="25"/>
      <c r="K7" s="25"/>
      <c r="L7" s="25"/>
    </row>
    <row r="8" spans="1:12" ht="17.25" customHeight="1">
      <c r="A8" s="25"/>
      <c r="B8" s="25" t="s">
        <v>604</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605</v>
      </c>
      <c r="B10" s="218"/>
      <c r="C10" s="25"/>
      <c r="D10" s="25"/>
      <c r="E10" s="25"/>
      <c r="F10" s="25"/>
      <c r="G10" s="25"/>
      <c r="H10" s="25"/>
      <c r="I10" s="25"/>
      <c r="J10" s="25"/>
      <c r="K10" s="25"/>
      <c r="L10" s="22"/>
    </row>
    <row r="11" spans="1:12" ht="19.5" customHeight="1">
      <c r="A11" s="27"/>
      <c r="B11" s="25" t="s">
        <v>442</v>
      </c>
      <c r="C11" s="25"/>
      <c r="D11" s="25"/>
      <c r="E11" s="25"/>
      <c r="F11" s="21"/>
      <c r="G11" s="21"/>
      <c r="H11" s="21"/>
      <c r="I11" s="21"/>
      <c r="J11" s="21"/>
      <c r="K11" s="21"/>
      <c r="L11" s="22" t="s">
        <v>2</v>
      </c>
    </row>
    <row r="12" spans="1:12" ht="19.5" customHeight="1">
      <c r="A12" s="27"/>
      <c r="B12" s="25" t="s">
        <v>379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391</v>
      </c>
      <c r="B14" s="25"/>
      <c r="C14" s="25"/>
      <c r="D14" s="25"/>
      <c r="E14" s="25"/>
      <c r="F14" s="25"/>
      <c r="G14" s="25"/>
      <c r="H14" s="25"/>
      <c r="I14" s="25"/>
      <c r="J14" s="25"/>
      <c r="K14" s="25"/>
      <c r="L14" s="22"/>
    </row>
    <row r="15" spans="1:12" ht="19.5" customHeight="1">
      <c r="A15" s="27"/>
      <c r="B15" s="25" t="s">
        <v>368</v>
      </c>
      <c r="C15" s="25"/>
      <c r="D15" s="25"/>
      <c r="E15" s="25"/>
      <c r="F15" s="21"/>
      <c r="G15" s="21"/>
      <c r="H15" s="21"/>
      <c r="I15" s="21"/>
      <c r="J15" s="21"/>
      <c r="K15" s="21"/>
      <c r="L15" s="22" t="s">
        <v>3</v>
      </c>
    </row>
    <row r="16" spans="1:12" ht="19.5" customHeight="1">
      <c r="A16" s="27"/>
      <c r="B16" s="25" t="s">
        <v>377</v>
      </c>
      <c r="C16" s="25"/>
      <c r="D16" s="25"/>
      <c r="E16" s="25"/>
      <c r="F16" s="25"/>
      <c r="G16" s="21"/>
      <c r="H16" s="21"/>
      <c r="I16" s="21"/>
      <c r="J16" s="21"/>
      <c r="K16" s="21"/>
      <c r="L16" s="22" t="s">
        <v>4</v>
      </c>
    </row>
    <row r="17" spans="1:12" ht="19.5" customHeight="1">
      <c r="A17" s="27"/>
      <c r="B17" s="25" t="s">
        <v>369</v>
      </c>
      <c r="C17" s="25"/>
      <c r="D17" s="25"/>
      <c r="E17" s="25"/>
      <c r="F17" s="25"/>
      <c r="G17" s="21"/>
      <c r="H17" s="21"/>
      <c r="I17" s="21"/>
      <c r="J17" s="21"/>
      <c r="K17" s="21"/>
      <c r="L17" s="22" t="s">
        <v>5</v>
      </c>
    </row>
    <row r="18" spans="1:12" ht="19.5" customHeight="1">
      <c r="A18" s="27"/>
      <c r="B18" s="25" t="s">
        <v>370</v>
      </c>
      <c r="C18" s="25"/>
      <c r="D18" s="25"/>
      <c r="E18" s="25"/>
      <c r="F18" s="21"/>
      <c r="G18" s="21"/>
      <c r="H18" s="21"/>
      <c r="I18" s="21"/>
      <c r="J18" s="21"/>
      <c r="K18" s="21"/>
      <c r="L18" s="22" t="s">
        <v>6</v>
      </c>
    </row>
    <row r="19" spans="1:12" ht="19.5" customHeight="1">
      <c r="A19" s="27"/>
      <c r="B19" s="25" t="s">
        <v>371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390</v>
      </c>
      <c r="B21" s="25"/>
      <c r="C21" s="25"/>
      <c r="D21" s="25"/>
      <c r="E21" s="25"/>
      <c r="F21" s="25"/>
      <c r="G21" s="25"/>
      <c r="H21" s="25"/>
      <c r="I21" s="25"/>
      <c r="J21" s="25"/>
      <c r="K21" s="25"/>
      <c r="L21" s="30"/>
    </row>
    <row r="22" spans="1:12" ht="19.5" customHeight="1">
      <c r="A22" s="25"/>
      <c r="B22" s="25" t="s">
        <v>392</v>
      </c>
      <c r="C22" s="25"/>
      <c r="D22" s="25"/>
      <c r="E22" s="25"/>
      <c r="F22" s="25"/>
      <c r="G22" s="21"/>
      <c r="H22" s="21"/>
      <c r="I22" s="21"/>
      <c r="J22" s="21"/>
      <c r="K22" s="21"/>
      <c r="L22" s="22" t="s">
        <v>9</v>
      </c>
    </row>
    <row r="23" spans="1:12" ht="19.5" customHeight="1">
      <c r="A23" s="31"/>
      <c r="B23" s="25" t="s">
        <v>432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394</v>
      </c>
      <c r="C26" s="25"/>
      <c r="D26" s="25"/>
      <c r="E26" s="25"/>
      <c r="F26" s="21"/>
      <c r="G26" s="21"/>
      <c r="H26" s="21"/>
      <c r="I26" s="21"/>
      <c r="J26" s="21"/>
      <c r="K26" s="33"/>
      <c r="L26" s="22" t="s">
        <v>11</v>
      </c>
    </row>
    <row r="27" spans="1:12" ht="19.5" customHeight="1">
      <c r="A27" s="25"/>
      <c r="B27" s="25" t="s">
        <v>372</v>
      </c>
      <c r="C27" s="25"/>
      <c r="D27" s="25"/>
      <c r="E27" s="25"/>
      <c r="F27" s="25"/>
      <c r="G27" s="21"/>
      <c r="H27" s="21"/>
      <c r="I27" s="21"/>
      <c r="J27" s="21"/>
      <c r="K27" s="33"/>
      <c r="L27" s="22" t="s">
        <v>11</v>
      </c>
    </row>
    <row r="28" spans="1:12" ht="19.5" customHeight="1">
      <c r="A28" s="31"/>
      <c r="B28" s="25" t="s">
        <v>393</v>
      </c>
      <c r="C28" s="25"/>
      <c r="D28" s="25"/>
      <c r="E28" s="25"/>
      <c r="F28" s="21"/>
      <c r="G28" s="21"/>
      <c r="H28" s="33"/>
      <c r="I28" s="33"/>
      <c r="J28" s="33"/>
      <c r="K28" s="33"/>
      <c r="L28" s="22" t="s">
        <v>12</v>
      </c>
    </row>
    <row r="29" spans="1:12" ht="19.5" customHeight="1">
      <c r="A29" s="31"/>
      <c r="B29" s="25" t="s">
        <v>378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383</v>
      </c>
      <c r="B31" s="25"/>
      <c r="C31" s="25"/>
      <c r="D31" s="25"/>
      <c r="E31" s="25"/>
      <c r="F31" s="25"/>
      <c r="G31" s="25"/>
      <c r="H31" s="25"/>
      <c r="I31" s="25"/>
      <c r="J31" s="25"/>
      <c r="K31" s="25"/>
      <c r="L31" s="22"/>
    </row>
    <row r="32" spans="1:12" ht="19.5" customHeight="1">
      <c r="A32" s="31"/>
      <c r="B32" s="25" t="s">
        <v>395</v>
      </c>
      <c r="C32" s="25"/>
      <c r="D32" s="25"/>
      <c r="E32" s="25"/>
      <c r="F32" s="25"/>
      <c r="G32" s="21"/>
      <c r="H32" s="21"/>
      <c r="I32" s="21"/>
      <c r="J32" s="21"/>
      <c r="K32" s="21"/>
      <c r="L32" s="22" t="s">
        <v>13</v>
      </c>
    </row>
    <row r="33" spans="1:12" ht="19.5" customHeight="1">
      <c r="A33" s="31"/>
      <c r="B33" s="25" t="s">
        <v>373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374</v>
      </c>
      <c r="B35" s="26"/>
      <c r="C35" s="32"/>
      <c r="D35" s="26"/>
      <c r="E35" s="26"/>
      <c r="F35" s="26"/>
      <c r="G35" s="26"/>
      <c r="H35" s="26"/>
      <c r="I35" s="26"/>
      <c r="J35" s="26"/>
      <c r="K35" s="26"/>
      <c r="L35" s="22"/>
    </row>
    <row r="36" spans="1:12" ht="19.5" customHeight="1">
      <c r="A36" s="27"/>
      <c r="B36" s="25" t="s">
        <v>396</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375</v>
      </c>
      <c r="B38" s="35"/>
      <c r="C38" s="25"/>
      <c r="D38" s="25"/>
      <c r="E38" s="25"/>
      <c r="F38" s="25"/>
      <c r="G38" s="25"/>
      <c r="H38" s="25"/>
      <c r="I38" s="25"/>
      <c r="J38" s="25"/>
      <c r="K38" s="25"/>
      <c r="L38" s="38"/>
    </row>
    <row r="39" spans="1:12" ht="19.5" customHeight="1">
      <c r="A39" s="27"/>
      <c r="B39" s="25" t="s">
        <v>376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397</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Mensual-Enero 2021
INFSGI-MES-01-2021
09/02/2021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4"/>
  <sheetViews>
    <sheetView showGridLines="0" view="pageBreakPreview" topLeftCell="A2" zoomScale="130" zoomScaleNormal="100" zoomScaleSheetLayoutView="130" zoomScalePageLayoutView="140" workbookViewId="0">
      <selection activeCell="S15" sqref="S15"/>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3.42578125"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08" t="s">
        <v>248</v>
      </c>
      <c r="B2" s="911" t="s">
        <v>54</v>
      </c>
      <c r="C2" s="914" t="str">
        <f>"ENERGÍA PRODUCIDA "&amp;UPPER('1. Resumen'!Q4)&amp;" "&amp;'1. Resumen'!Q5</f>
        <v>ENERGÍA PRODUCIDA ENERO 2021</v>
      </c>
      <c r="D2" s="914"/>
      <c r="E2" s="914"/>
      <c r="F2" s="914"/>
      <c r="G2" s="537" t="s">
        <v>274</v>
      </c>
      <c r="H2" s="203"/>
    </row>
    <row r="3" spans="1:8" ht="11.25" customHeight="1">
      <c r="A3" s="909"/>
      <c r="B3" s="912"/>
      <c r="C3" s="915" t="s">
        <v>275</v>
      </c>
      <c r="D3" s="915"/>
      <c r="E3" s="915"/>
      <c r="F3" s="916" t="str">
        <f>"TOTAL 
"&amp;UPPER('1. Resumen'!Q4)</f>
        <v>TOTAL 
ENERO</v>
      </c>
      <c r="G3" s="538" t="s">
        <v>276</v>
      </c>
      <c r="H3" s="194"/>
    </row>
    <row r="4" spans="1:8" ht="12.75" customHeight="1">
      <c r="A4" s="909"/>
      <c r="B4" s="912"/>
      <c r="C4" s="529" t="s">
        <v>213</v>
      </c>
      <c r="D4" s="529" t="s">
        <v>214</v>
      </c>
      <c r="E4" s="529" t="s">
        <v>277</v>
      </c>
      <c r="F4" s="917"/>
      <c r="G4" s="538">
        <v>2021</v>
      </c>
      <c r="H4" s="196"/>
    </row>
    <row r="5" spans="1:8" ht="11.25" customHeight="1">
      <c r="A5" s="910"/>
      <c r="B5" s="913"/>
      <c r="C5" s="530" t="s">
        <v>278</v>
      </c>
      <c r="D5" s="530" t="s">
        <v>278</v>
      </c>
      <c r="E5" s="530" t="s">
        <v>278</v>
      </c>
      <c r="F5" s="530" t="s">
        <v>278</v>
      </c>
      <c r="G5" s="539" t="s">
        <v>206</v>
      </c>
      <c r="H5" s="196"/>
    </row>
    <row r="6" spans="1:8" ht="9.75" customHeight="1">
      <c r="A6" s="579" t="s">
        <v>119</v>
      </c>
      <c r="B6" s="357" t="s">
        <v>86</v>
      </c>
      <c r="C6" s="358"/>
      <c r="D6" s="358"/>
      <c r="E6" s="358">
        <v>94.973550000000003</v>
      </c>
      <c r="F6" s="358">
        <v>94.973550000000003</v>
      </c>
      <c r="G6" s="578">
        <v>94.973550000000003</v>
      </c>
      <c r="H6" s="196"/>
    </row>
    <row r="7" spans="1:8" ht="9.75" customHeight="1">
      <c r="A7" s="574" t="s">
        <v>511</v>
      </c>
      <c r="B7" s="425"/>
      <c r="C7" s="426"/>
      <c r="D7" s="426"/>
      <c r="E7" s="426">
        <v>94.973550000000003</v>
      </c>
      <c r="F7" s="426">
        <v>94.973550000000003</v>
      </c>
      <c r="G7" s="576">
        <v>94.973550000000003</v>
      </c>
      <c r="H7" s="196"/>
    </row>
    <row r="8" spans="1:8" ht="9.75" customHeight="1">
      <c r="A8" s="579" t="s">
        <v>118</v>
      </c>
      <c r="B8" s="357" t="s">
        <v>63</v>
      </c>
      <c r="C8" s="358"/>
      <c r="D8" s="358"/>
      <c r="E8" s="358">
        <v>14737.734667500001</v>
      </c>
      <c r="F8" s="358">
        <v>14737.734667500001</v>
      </c>
      <c r="G8" s="578">
        <v>14737.734667500001</v>
      </c>
      <c r="H8" s="196"/>
    </row>
    <row r="9" spans="1:8" ht="9.75" customHeight="1">
      <c r="A9" s="574" t="s">
        <v>512</v>
      </c>
      <c r="B9" s="425"/>
      <c r="C9" s="426"/>
      <c r="D9" s="426"/>
      <c r="E9" s="426">
        <v>14737.734667500001</v>
      </c>
      <c r="F9" s="426">
        <v>14737.734667500001</v>
      </c>
      <c r="G9" s="576">
        <v>14737.734667500001</v>
      </c>
      <c r="H9" s="196"/>
    </row>
    <row r="10" spans="1:8" ht="9.75" customHeight="1">
      <c r="A10" s="573" t="s">
        <v>106</v>
      </c>
      <c r="B10" s="532" t="s">
        <v>83</v>
      </c>
      <c r="C10" s="533"/>
      <c r="D10" s="533"/>
      <c r="E10" s="533">
        <v>8841.5323050000006</v>
      </c>
      <c r="F10" s="533">
        <v>8841.5323050000006</v>
      </c>
      <c r="G10" s="575">
        <v>8841.5323050000006</v>
      </c>
      <c r="H10" s="196"/>
    </row>
    <row r="11" spans="1:8" ht="9.75" customHeight="1">
      <c r="A11" s="574" t="s">
        <v>513</v>
      </c>
      <c r="B11" s="425"/>
      <c r="C11" s="426"/>
      <c r="D11" s="426"/>
      <c r="E11" s="426">
        <v>8841.5323050000006</v>
      </c>
      <c r="F11" s="426">
        <v>8841.5323050000006</v>
      </c>
      <c r="G11" s="576">
        <v>8841.5323050000006</v>
      </c>
      <c r="H11" s="196"/>
    </row>
    <row r="12" spans="1:8" ht="9.75" customHeight="1">
      <c r="A12" s="573" t="s">
        <v>415</v>
      </c>
      <c r="B12" s="532" t="s">
        <v>417</v>
      </c>
      <c r="C12" s="533"/>
      <c r="D12" s="533"/>
      <c r="E12" s="533">
        <v>13700.093522499999</v>
      </c>
      <c r="F12" s="533">
        <v>13700.093522499999</v>
      </c>
      <c r="G12" s="575">
        <v>13700.093522499999</v>
      </c>
      <c r="H12" s="196"/>
    </row>
    <row r="13" spans="1:8" ht="9.75" customHeight="1">
      <c r="A13" s="574" t="s">
        <v>514</v>
      </c>
      <c r="B13" s="425"/>
      <c r="C13" s="426"/>
      <c r="D13" s="426"/>
      <c r="E13" s="426">
        <v>13700.093522499999</v>
      </c>
      <c r="F13" s="426">
        <v>13700.093522499999</v>
      </c>
      <c r="G13" s="576">
        <v>13700.093522499999</v>
      </c>
      <c r="H13" s="196"/>
    </row>
    <row r="14" spans="1:8" s="598" customFormat="1" ht="9.75" customHeight="1">
      <c r="A14" s="573" t="s">
        <v>573</v>
      </c>
      <c r="B14" s="532" t="s">
        <v>75</v>
      </c>
      <c r="C14" s="533"/>
      <c r="D14" s="533"/>
      <c r="E14" s="533">
        <v>191.80260250000001</v>
      </c>
      <c r="F14" s="533">
        <v>191.80260250000001</v>
      </c>
      <c r="G14" s="575">
        <v>191.80260250000001</v>
      </c>
      <c r="H14" s="196"/>
    </row>
    <row r="15" spans="1:8" s="598" customFormat="1" ht="13.5" customHeight="1">
      <c r="A15" s="574" t="s">
        <v>577</v>
      </c>
      <c r="B15" s="425"/>
      <c r="C15" s="426"/>
      <c r="D15" s="426"/>
      <c r="E15" s="426">
        <v>191.80260250000001</v>
      </c>
      <c r="F15" s="426">
        <v>191.80260250000001</v>
      </c>
      <c r="G15" s="576">
        <v>191.80260250000001</v>
      </c>
      <c r="H15" s="196"/>
    </row>
    <row r="16" spans="1:8" ht="9.75" customHeight="1">
      <c r="A16" s="573" t="s">
        <v>448</v>
      </c>
      <c r="B16" s="532" t="s">
        <v>455</v>
      </c>
      <c r="C16" s="533"/>
      <c r="D16" s="533"/>
      <c r="E16" s="533">
        <v>5558.5937599999997</v>
      </c>
      <c r="F16" s="533">
        <v>5558.5937599999997</v>
      </c>
      <c r="G16" s="575">
        <v>5558.5937599999997</v>
      </c>
      <c r="H16" s="196"/>
    </row>
    <row r="17" spans="1:8" ht="9.75" customHeight="1">
      <c r="A17" s="574" t="s">
        <v>515</v>
      </c>
      <c r="B17" s="425"/>
      <c r="C17" s="426"/>
      <c r="D17" s="426"/>
      <c r="E17" s="426">
        <v>5558.5937599999997</v>
      </c>
      <c r="F17" s="426">
        <v>5558.5937599999997</v>
      </c>
      <c r="G17" s="576">
        <v>5558.5937599999997</v>
      </c>
      <c r="H17" s="196"/>
    </row>
    <row r="18" spans="1:8" ht="10.5" customHeight="1">
      <c r="A18" s="573" t="s">
        <v>94</v>
      </c>
      <c r="B18" s="532" t="s">
        <v>279</v>
      </c>
      <c r="C18" s="533">
        <v>137383.41464500001</v>
      </c>
      <c r="D18" s="533"/>
      <c r="E18" s="533"/>
      <c r="F18" s="533">
        <v>137383.41464500001</v>
      </c>
      <c r="G18" s="575">
        <v>137383.41464500001</v>
      </c>
      <c r="H18" s="196"/>
    </row>
    <row r="19" spans="1:8" ht="10.5" customHeight="1">
      <c r="A19" s="574" t="s">
        <v>516</v>
      </c>
      <c r="B19" s="425"/>
      <c r="C19" s="426">
        <v>137383.41464500001</v>
      </c>
      <c r="D19" s="426"/>
      <c r="E19" s="426"/>
      <c r="F19" s="426">
        <v>137383.41464500001</v>
      </c>
      <c r="G19" s="576">
        <v>137383.41464500001</v>
      </c>
      <c r="H19" s="196"/>
    </row>
    <row r="20" spans="1:8" ht="9.75" customHeight="1">
      <c r="A20" s="573" t="s">
        <v>576</v>
      </c>
      <c r="B20" s="532" t="s">
        <v>321</v>
      </c>
      <c r="C20" s="533">
        <v>13288.608757499998</v>
      </c>
      <c r="D20" s="533"/>
      <c r="E20" s="533"/>
      <c r="F20" s="533">
        <v>13288.608757499998</v>
      </c>
      <c r="G20" s="575">
        <v>13288.608757499998</v>
      </c>
      <c r="H20" s="196"/>
    </row>
    <row r="21" spans="1:8" ht="9.75" customHeight="1">
      <c r="A21" s="574" t="s">
        <v>578</v>
      </c>
      <c r="B21" s="425"/>
      <c r="C21" s="426">
        <v>13288.608757499998</v>
      </c>
      <c r="D21" s="426"/>
      <c r="E21" s="426"/>
      <c r="F21" s="426">
        <v>13288.608757499998</v>
      </c>
      <c r="G21" s="576">
        <v>13288.608757499998</v>
      </c>
      <c r="H21" s="196"/>
    </row>
    <row r="22" spans="1:8" ht="9.75" customHeight="1">
      <c r="A22" s="573" t="s">
        <v>234</v>
      </c>
      <c r="B22" s="532" t="s">
        <v>280</v>
      </c>
      <c r="C22" s="533"/>
      <c r="D22" s="533">
        <v>382.57468999999998</v>
      </c>
      <c r="E22" s="533"/>
      <c r="F22" s="533">
        <v>382.57468999999998</v>
      </c>
      <c r="G22" s="575">
        <v>382.57468999999998</v>
      </c>
      <c r="H22" s="196"/>
    </row>
    <row r="23" spans="1:8" ht="9.75" customHeight="1">
      <c r="A23" s="574" t="s">
        <v>517</v>
      </c>
      <c r="B23" s="425"/>
      <c r="C23" s="426"/>
      <c r="D23" s="426">
        <v>382.57468999999998</v>
      </c>
      <c r="E23" s="426"/>
      <c r="F23" s="426">
        <v>382.57468999999998</v>
      </c>
      <c r="G23" s="576">
        <v>382.57468999999998</v>
      </c>
      <c r="H23" s="196"/>
    </row>
    <row r="24" spans="1:8" ht="9.75" customHeight="1">
      <c r="A24" s="573" t="s">
        <v>93</v>
      </c>
      <c r="B24" s="532" t="s">
        <v>281</v>
      </c>
      <c r="C24" s="533">
        <v>95168.454832499992</v>
      </c>
      <c r="D24" s="533"/>
      <c r="E24" s="533"/>
      <c r="F24" s="533">
        <v>95168.454832499992</v>
      </c>
      <c r="G24" s="575">
        <v>95168.454832499992</v>
      </c>
      <c r="H24" s="196"/>
    </row>
    <row r="25" spans="1:8" ht="9.75" customHeight="1">
      <c r="A25" s="573"/>
      <c r="B25" s="532" t="s">
        <v>282</v>
      </c>
      <c r="C25" s="533">
        <v>29090.9432925</v>
      </c>
      <c r="D25" s="533"/>
      <c r="E25" s="533"/>
      <c r="F25" s="533">
        <v>29090.9432925</v>
      </c>
      <c r="G25" s="575">
        <v>29090.9432925</v>
      </c>
      <c r="H25" s="196"/>
    </row>
    <row r="26" spans="1:8" ht="9.75" customHeight="1">
      <c r="A26" s="574" t="s">
        <v>518</v>
      </c>
      <c r="B26" s="425"/>
      <c r="C26" s="426">
        <v>124259.39812499999</v>
      </c>
      <c r="D26" s="426"/>
      <c r="E26" s="426"/>
      <c r="F26" s="426">
        <v>124259.39812499999</v>
      </c>
      <c r="G26" s="576">
        <v>124259.39812499999</v>
      </c>
      <c r="H26" s="196"/>
    </row>
    <row r="27" spans="1:8" ht="9.75" customHeight="1">
      <c r="A27" s="573" t="s">
        <v>91</v>
      </c>
      <c r="B27" s="532" t="s">
        <v>283</v>
      </c>
      <c r="C27" s="533">
        <v>1233.1026149999998</v>
      </c>
      <c r="D27" s="533"/>
      <c r="E27" s="533"/>
      <c r="F27" s="533">
        <v>1233.1026149999998</v>
      </c>
      <c r="G27" s="575">
        <v>1233.1026149999998</v>
      </c>
      <c r="H27" s="196"/>
    </row>
    <row r="28" spans="1:8" ht="9.75" customHeight="1">
      <c r="A28" s="573"/>
      <c r="B28" s="532" t="s">
        <v>284</v>
      </c>
      <c r="C28" s="533">
        <v>419.48753749999997</v>
      </c>
      <c r="D28" s="533"/>
      <c r="E28" s="533"/>
      <c r="F28" s="533">
        <v>419.48753749999997</v>
      </c>
      <c r="G28" s="575">
        <v>419.48753749999997</v>
      </c>
      <c r="H28" s="196"/>
    </row>
    <row r="29" spans="1:8" ht="9.75" customHeight="1">
      <c r="A29" s="573"/>
      <c r="B29" s="532" t="s">
        <v>285</v>
      </c>
      <c r="C29" s="533">
        <v>3416.5508049999999</v>
      </c>
      <c r="D29" s="533"/>
      <c r="E29" s="533"/>
      <c r="F29" s="533">
        <v>3416.5508049999999</v>
      </c>
      <c r="G29" s="575">
        <v>3416.5508049999999</v>
      </c>
      <c r="H29" s="196"/>
    </row>
    <row r="30" spans="1:8" ht="9.75" customHeight="1">
      <c r="A30" s="573"/>
      <c r="B30" s="532" t="s">
        <v>286</v>
      </c>
      <c r="C30" s="533">
        <v>11080.669239999999</v>
      </c>
      <c r="D30" s="533"/>
      <c r="E30" s="533"/>
      <c r="F30" s="533">
        <v>11080.669239999999</v>
      </c>
      <c r="G30" s="575">
        <v>11080.669239999999</v>
      </c>
      <c r="H30" s="196"/>
    </row>
    <row r="31" spans="1:8" ht="9.75" customHeight="1">
      <c r="A31" s="573"/>
      <c r="B31" s="532" t="s">
        <v>287</v>
      </c>
      <c r="C31" s="533">
        <v>81604.067204999999</v>
      </c>
      <c r="D31" s="533"/>
      <c r="E31" s="533"/>
      <c r="F31" s="533">
        <v>81604.067204999999</v>
      </c>
      <c r="G31" s="575">
        <v>81604.067204999999</v>
      </c>
      <c r="H31" s="196"/>
    </row>
    <row r="32" spans="1:8" ht="9.75" customHeight="1">
      <c r="A32" s="573"/>
      <c r="B32" s="532" t="s">
        <v>288</v>
      </c>
      <c r="C32" s="533">
        <v>5977.5722175000001</v>
      </c>
      <c r="D32" s="533"/>
      <c r="E32" s="533"/>
      <c r="F32" s="533">
        <v>5977.5722175000001</v>
      </c>
      <c r="G32" s="575">
        <v>5977.5722175000001</v>
      </c>
      <c r="H32" s="196"/>
    </row>
    <row r="33" spans="1:8" ht="9.75" customHeight="1">
      <c r="A33" s="573"/>
      <c r="B33" s="532" t="s">
        <v>289</v>
      </c>
      <c r="C33" s="533"/>
      <c r="D33" s="533">
        <v>0</v>
      </c>
      <c r="E33" s="533"/>
      <c r="F33" s="533">
        <v>0</v>
      </c>
      <c r="G33" s="575">
        <v>0</v>
      </c>
      <c r="H33" s="196"/>
    </row>
    <row r="34" spans="1:8" ht="9.75" customHeight="1">
      <c r="A34" s="573"/>
      <c r="B34" s="532" t="s">
        <v>290</v>
      </c>
      <c r="C34" s="533"/>
      <c r="D34" s="533">
        <v>2.9758899999999997</v>
      </c>
      <c r="E34" s="533"/>
      <c r="F34" s="533">
        <v>2.9758899999999997</v>
      </c>
      <c r="G34" s="575">
        <v>2.9758899999999997</v>
      </c>
      <c r="H34" s="196"/>
    </row>
    <row r="35" spans="1:8" ht="9.75" customHeight="1">
      <c r="A35" s="573"/>
      <c r="B35" s="532" t="s">
        <v>291</v>
      </c>
      <c r="C35" s="533"/>
      <c r="D35" s="533">
        <v>0</v>
      </c>
      <c r="E35" s="533"/>
      <c r="F35" s="533">
        <v>0</v>
      </c>
      <c r="G35" s="575">
        <v>0</v>
      </c>
      <c r="H35" s="196"/>
    </row>
    <row r="36" spans="1:8" ht="9.75" customHeight="1">
      <c r="A36" s="574" t="s">
        <v>519</v>
      </c>
      <c r="B36" s="425"/>
      <c r="C36" s="426">
        <v>103731.44962</v>
      </c>
      <c r="D36" s="426">
        <v>2.9758899999999997</v>
      </c>
      <c r="E36" s="426"/>
      <c r="F36" s="426">
        <v>103734.42551</v>
      </c>
      <c r="G36" s="576">
        <v>103734.42551</v>
      </c>
      <c r="H36" s="196"/>
    </row>
    <row r="37" spans="1:8" ht="9.75" customHeight="1">
      <c r="A37" s="573" t="s">
        <v>112</v>
      </c>
      <c r="B37" s="532" t="s">
        <v>70</v>
      </c>
      <c r="C37" s="533"/>
      <c r="D37" s="533"/>
      <c r="E37" s="533">
        <v>1861.853875</v>
      </c>
      <c r="F37" s="533">
        <v>1861.853875</v>
      </c>
      <c r="G37" s="575">
        <v>1861.853875</v>
      </c>
      <c r="H37" s="196"/>
    </row>
    <row r="38" spans="1:8" ht="9.75" customHeight="1">
      <c r="A38" s="574" t="s">
        <v>520</v>
      </c>
      <c r="B38" s="425"/>
      <c r="C38" s="426"/>
      <c r="D38" s="426"/>
      <c r="E38" s="426">
        <v>1861.853875</v>
      </c>
      <c r="F38" s="426">
        <v>1861.853875</v>
      </c>
      <c r="G38" s="576">
        <v>1861.853875</v>
      </c>
      <c r="H38" s="196"/>
    </row>
    <row r="39" spans="1:8" ht="9.75" customHeight="1">
      <c r="A39" s="573" t="s">
        <v>92</v>
      </c>
      <c r="B39" s="532" t="s">
        <v>292</v>
      </c>
      <c r="C39" s="533">
        <v>121602.70070750001</v>
      </c>
      <c r="D39" s="533"/>
      <c r="E39" s="533"/>
      <c r="F39" s="533">
        <v>121602.70070750001</v>
      </c>
      <c r="G39" s="575">
        <v>121602.70070750001</v>
      </c>
      <c r="H39" s="196"/>
    </row>
    <row r="40" spans="1:8" ht="9.75" customHeight="1">
      <c r="A40" s="574" t="s">
        <v>521</v>
      </c>
      <c r="B40" s="425"/>
      <c r="C40" s="426">
        <v>121602.70070750001</v>
      </c>
      <c r="D40" s="426"/>
      <c r="E40" s="426"/>
      <c r="F40" s="426">
        <v>121602.70070750001</v>
      </c>
      <c r="G40" s="576">
        <v>121602.70070750001</v>
      </c>
      <c r="H40" s="196"/>
    </row>
    <row r="41" spans="1:8" ht="10.95" customHeight="1">
      <c r="A41" s="573" t="s">
        <v>101</v>
      </c>
      <c r="B41" s="532" t="s">
        <v>293</v>
      </c>
      <c r="C41" s="533">
        <v>5281.2659999999996</v>
      </c>
      <c r="D41" s="533"/>
      <c r="E41" s="533"/>
      <c r="F41" s="533">
        <v>5281.2659999999996</v>
      </c>
      <c r="G41" s="575">
        <v>5281.2659999999996</v>
      </c>
      <c r="H41" s="196"/>
    </row>
    <row r="42" spans="1:8" ht="12" customHeight="1">
      <c r="A42" s="573"/>
      <c r="B42" s="532" t="s">
        <v>294</v>
      </c>
      <c r="C42" s="533">
        <v>3894.4875000000002</v>
      </c>
      <c r="D42" s="533"/>
      <c r="E42" s="533"/>
      <c r="F42" s="533">
        <v>3894.4875000000002</v>
      </c>
      <c r="G42" s="575">
        <v>3894.4875000000002</v>
      </c>
      <c r="H42" s="196"/>
    </row>
    <row r="43" spans="1:8" ht="9.75" customHeight="1">
      <c r="A43" s="573"/>
      <c r="B43" s="532" t="s">
        <v>295</v>
      </c>
      <c r="C43" s="533"/>
      <c r="D43" s="533">
        <v>3495.6230624999998</v>
      </c>
      <c r="E43" s="533"/>
      <c r="F43" s="533">
        <v>3495.6230624999998</v>
      </c>
      <c r="G43" s="575">
        <v>3495.6230624999998</v>
      </c>
      <c r="H43" s="196"/>
    </row>
    <row r="44" spans="1:8" ht="9.75" customHeight="1">
      <c r="A44" s="574" t="s">
        <v>522</v>
      </c>
      <c r="B44" s="425"/>
      <c r="C44" s="426">
        <v>9175.7534999999989</v>
      </c>
      <c r="D44" s="426">
        <v>3495.6230624999998</v>
      </c>
      <c r="E44" s="426"/>
      <c r="F44" s="426">
        <v>12671.376562499998</v>
      </c>
      <c r="G44" s="576">
        <v>12671.376562499998</v>
      </c>
      <c r="H44" s="196"/>
    </row>
    <row r="45" spans="1:8" ht="9.75" customHeight="1">
      <c r="A45" s="573" t="s">
        <v>113</v>
      </c>
      <c r="B45" s="532" t="s">
        <v>73</v>
      </c>
      <c r="C45" s="533"/>
      <c r="D45" s="533"/>
      <c r="E45" s="533">
        <v>2593.3447125000002</v>
      </c>
      <c r="F45" s="533">
        <v>2593.3447125000002</v>
      </c>
      <c r="G45" s="575">
        <v>2593.3447125000002</v>
      </c>
      <c r="H45" s="196"/>
    </row>
    <row r="46" spans="1:8" ht="9.75" customHeight="1">
      <c r="A46" s="574" t="s">
        <v>523</v>
      </c>
      <c r="B46" s="425"/>
      <c r="C46" s="426"/>
      <c r="D46" s="426"/>
      <c r="E46" s="426">
        <v>2593.3447125000002</v>
      </c>
      <c r="F46" s="426">
        <v>2593.3447125000002</v>
      </c>
      <c r="G46" s="576">
        <v>2593.3447125000002</v>
      </c>
      <c r="H46" s="196"/>
    </row>
    <row r="47" spans="1:8" ht="9.75" customHeight="1">
      <c r="A47" s="573" t="s">
        <v>418</v>
      </c>
      <c r="B47" s="532" t="s">
        <v>420</v>
      </c>
      <c r="C47" s="533"/>
      <c r="D47" s="533"/>
      <c r="E47" s="533">
        <v>8875.4785550000015</v>
      </c>
      <c r="F47" s="533">
        <v>8875.4785550000015</v>
      </c>
      <c r="G47" s="575">
        <v>8875.4785550000015</v>
      </c>
      <c r="H47" s="196"/>
    </row>
    <row r="48" spans="1:8" ht="9.75" customHeight="1">
      <c r="A48" s="574" t="s">
        <v>524</v>
      </c>
      <c r="B48" s="425"/>
      <c r="C48" s="426"/>
      <c r="D48" s="426"/>
      <c r="E48" s="426">
        <v>8875.4785550000015</v>
      </c>
      <c r="F48" s="426">
        <v>8875.4785550000015</v>
      </c>
      <c r="G48" s="576">
        <v>8875.4785550000015</v>
      </c>
      <c r="H48" s="196"/>
    </row>
    <row r="49" spans="1:8" ht="9.75" customHeight="1">
      <c r="A49" s="573" t="s">
        <v>89</v>
      </c>
      <c r="B49" s="532" t="s">
        <v>296</v>
      </c>
      <c r="C49" s="533">
        <v>475397.44200000004</v>
      </c>
      <c r="D49" s="533"/>
      <c r="E49" s="533"/>
      <c r="F49" s="533">
        <v>475397.44200000004</v>
      </c>
      <c r="G49" s="575">
        <v>475397.44200000004</v>
      </c>
      <c r="H49" s="196"/>
    </row>
    <row r="50" spans="1:8" ht="9.75" customHeight="1">
      <c r="A50" s="573"/>
      <c r="B50" s="532" t="s">
        <v>297</v>
      </c>
      <c r="C50" s="533">
        <v>151767.79631999999</v>
      </c>
      <c r="D50" s="533"/>
      <c r="E50" s="533"/>
      <c r="F50" s="533">
        <v>151767.79631999999</v>
      </c>
      <c r="G50" s="575">
        <v>151767.79631999999</v>
      </c>
      <c r="H50" s="196"/>
    </row>
    <row r="51" spans="1:8" ht="9.75" customHeight="1">
      <c r="A51" s="573"/>
      <c r="B51" s="532" t="s">
        <v>298</v>
      </c>
      <c r="C51" s="533"/>
      <c r="D51" s="533">
        <v>0</v>
      </c>
      <c r="E51" s="533"/>
      <c r="F51" s="533">
        <v>0</v>
      </c>
      <c r="G51" s="575">
        <v>0</v>
      </c>
      <c r="H51" s="196"/>
    </row>
    <row r="52" spans="1:8" ht="9.75" customHeight="1">
      <c r="A52" s="574" t="s">
        <v>525</v>
      </c>
      <c r="B52" s="425"/>
      <c r="C52" s="426">
        <v>627165.23832</v>
      </c>
      <c r="D52" s="426">
        <v>0</v>
      </c>
      <c r="E52" s="426"/>
      <c r="F52" s="426">
        <v>627165.23832</v>
      </c>
      <c r="G52" s="576">
        <v>627165.23832</v>
      </c>
      <c r="H52" s="196"/>
    </row>
    <row r="53" spans="1:8" ht="9.75" customHeight="1">
      <c r="A53" s="573" t="s">
        <v>235</v>
      </c>
      <c r="B53" s="532" t="s">
        <v>299</v>
      </c>
      <c r="C53" s="533">
        <v>315284.62467749999</v>
      </c>
      <c r="D53" s="533"/>
      <c r="E53" s="533"/>
      <c r="F53" s="533">
        <v>315284.62467749999</v>
      </c>
      <c r="G53" s="575">
        <v>315284.62467749999</v>
      </c>
      <c r="H53" s="196"/>
    </row>
    <row r="54" spans="1:8" ht="9.75" customHeight="1">
      <c r="A54" s="573"/>
      <c r="B54" s="532" t="s">
        <v>300</v>
      </c>
      <c r="C54" s="533">
        <v>4566.7490275</v>
      </c>
      <c r="D54" s="533"/>
      <c r="E54" s="533"/>
      <c r="F54" s="533">
        <v>4566.7490275</v>
      </c>
      <c r="G54" s="575">
        <v>4566.7490275</v>
      </c>
      <c r="H54" s="196"/>
    </row>
    <row r="55" spans="1:8" ht="9.75" customHeight="1">
      <c r="A55" s="574" t="s">
        <v>526</v>
      </c>
      <c r="B55" s="425"/>
      <c r="C55" s="426">
        <v>319851.37370499998</v>
      </c>
      <c r="D55" s="426"/>
      <c r="E55" s="426"/>
      <c r="F55" s="426">
        <v>319851.37370499998</v>
      </c>
      <c r="G55" s="576">
        <v>319851.37370499998</v>
      </c>
      <c r="H55" s="111"/>
    </row>
    <row r="56" spans="1:8">
      <c r="A56" s="573" t="s">
        <v>236</v>
      </c>
      <c r="B56" s="532" t="s">
        <v>301</v>
      </c>
      <c r="C56" s="533">
        <v>39350.211767500004</v>
      </c>
      <c r="D56" s="533"/>
      <c r="E56" s="533"/>
      <c r="F56" s="533">
        <v>39350.211767500004</v>
      </c>
      <c r="G56" s="575">
        <v>39350.211767500004</v>
      </c>
      <c r="H56" s="111"/>
    </row>
    <row r="57" spans="1:8" ht="9.75" customHeight="1">
      <c r="A57" s="574" t="s">
        <v>527</v>
      </c>
      <c r="B57" s="425"/>
      <c r="C57" s="426">
        <v>39350.211767500004</v>
      </c>
      <c r="D57" s="426"/>
      <c r="E57" s="426"/>
      <c r="F57" s="426">
        <v>39350.211767500004</v>
      </c>
      <c r="G57" s="576">
        <v>39350.211767500004</v>
      </c>
      <c r="H57" s="111"/>
    </row>
    <row r="58" spans="1:8" s="598" customFormat="1" ht="9.75" customHeight="1">
      <c r="A58" s="573" t="s">
        <v>574</v>
      </c>
      <c r="B58" s="532" t="s">
        <v>65</v>
      </c>
      <c r="C58" s="533"/>
      <c r="D58" s="533"/>
      <c r="E58" s="533">
        <v>7073.8326699999998</v>
      </c>
      <c r="F58" s="533">
        <v>7073.8326699999998</v>
      </c>
      <c r="G58" s="575">
        <v>7073.8326699999998</v>
      </c>
      <c r="H58" s="111"/>
    </row>
    <row r="59" spans="1:8" s="598" customFormat="1" ht="9.75" customHeight="1">
      <c r="A59" s="573"/>
      <c r="B59" s="532" t="s">
        <v>64</v>
      </c>
      <c r="C59" s="533"/>
      <c r="D59" s="533"/>
      <c r="E59" s="533">
        <v>7289.4697249999999</v>
      </c>
      <c r="F59" s="533">
        <v>7289.4697249999999</v>
      </c>
      <c r="G59" s="575">
        <v>7289.4697249999999</v>
      </c>
      <c r="H59" s="111"/>
    </row>
    <row r="60" spans="1:8" s="598" customFormat="1" ht="9.75" customHeight="1">
      <c r="A60" s="573"/>
      <c r="B60" s="532" t="s">
        <v>60</v>
      </c>
      <c r="C60" s="533"/>
      <c r="D60" s="533"/>
      <c r="E60" s="533">
        <v>12885.078885000001</v>
      </c>
      <c r="F60" s="533">
        <v>12885.078885000001</v>
      </c>
      <c r="G60" s="575">
        <v>12885.078885000001</v>
      </c>
      <c r="H60" s="111"/>
    </row>
    <row r="61" spans="1:8" s="598" customFormat="1" ht="9.75" customHeight="1">
      <c r="A61" s="573"/>
      <c r="B61" s="532" t="s">
        <v>57</v>
      </c>
      <c r="C61" s="533"/>
      <c r="D61" s="533"/>
      <c r="E61" s="533">
        <v>14914.06769</v>
      </c>
      <c r="F61" s="533">
        <v>14914.06769</v>
      </c>
      <c r="G61" s="575">
        <v>14914.06769</v>
      </c>
      <c r="H61" s="111"/>
    </row>
    <row r="62" spans="1:8">
      <c r="A62" s="573"/>
      <c r="B62" s="532" t="s">
        <v>68</v>
      </c>
      <c r="C62" s="533"/>
      <c r="D62" s="533"/>
      <c r="E62" s="533">
        <v>4797.9605425</v>
      </c>
      <c r="F62" s="533">
        <v>4797.9605425</v>
      </c>
      <c r="G62" s="575">
        <v>4797.9605425</v>
      </c>
      <c r="H62" s="111"/>
    </row>
    <row r="63" spans="1:8" ht="9.75" customHeight="1">
      <c r="A63" s="573"/>
      <c r="B63" s="532" t="s">
        <v>67</v>
      </c>
      <c r="C63" s="533"/>
      <c r="D63" s="533"/>
      <c r="E63" s="533">
        <v>4919.6278474999999</v>
      </c>
      <c r="F63" s="533">
        <v>4919.6278474999999</v>
      </c>
      <c r="G63" s="575">
        <v>4919.6278474999999</v>
      </c>
      <c r="H63" s="111"/>
    </row>
    <row r="64" spans="1:8" ht="9.75" customHeight="1">
      <c r="A64" s="574" t="s">
        <v>575</v>
      </c>
      <c r="B64" s="425"/>
      <c r="C64" s="426"/>
      <c r="D64" s="426"/>
      <c r="E64" s="426">
        <v>51880.037359999995</v>
      </c>
      <c r="F64" s="426">
        <v>51880.037359999995</v>
      </c>
      <c r="G64" s="576">
        <v>51880.037359999995</v>
      </c>
      <c r="H64" s="197"/>
    </row>
    <row r="65" spans="1:8" ht="9.75" customHeight="1">
      <c r="A65" s="573" t="s">
        <v>88</v>
      </c>
      <c r="B65" s="532" t="s">
        <v>456</v>
      </c>
      <c r="C65" s="533">
        <v>55780.347752499998</v>
      </c>
      <c r="D65" s="533"/>
      <c r="E65" s="533"/>
      <c r="F65" s="533">
        <v>55780.347752499998</v>
      </c>
      <c r="G65" s="575">
        <v>55780.347752499998</v>
      </c>
      <c r="H65" s="197"/>
    </row>
    <row r="66" spans="1:8" ht="9.75" customHeight="1">
      <c r="A66" s="573"/>
      <c r="B66" s="532" t="s">
        <v>302</v>
      </c>
      <c r="C66" s="533">
        <v>13190.397702499999</v>
      </c>
      <c r="D66" s="533"/>
      <c r="E66" s="533"/>
      <c r="F66" s="533">
        <v>13190.397702499999</v>
      </c>
      <c r="G66" s="575">
        <v>13190.397702499999</v>
      </c>
      <c r="H66" s="197"/>
    </row>
    <row r="67" spans="1:8" ht="9.75" customHeight="1">
      <c r="A67" s="573"/>
      <c r="B67" s="532" t="s">
        <v>303</v>
      </c>
      <c r="C67" s="533">
        <v>160918.36581000002</v>
      </c>
      <c r="D67" s="533"/>
      <c r="E67" s="533"/>
      <c r="F67" s="533">
        <v>160918.36581000002</v>
      </c>
      <c r="G67" s="575">
        <v>160918.36581000002</v>
      </c>
      <c r="H67" s="197"/>
    </row>
    <row r="68" spans="1:8" ht="9.75" customHeight="1">
      <c r="A68" s="573"/>
      <c r="B68" s="532" t="s">
        <v>304</v>
      </c>
      <c r="C68" s="533">
        <v>88093.981522499991</v>
      </c>
      <c r="D68" s="533"/>
      <c r="E68" s="533"/>
      <c r="F68" s="533">
        <v>88093.981522499991</v>
      </c>
      <c r="G68" s="575">
        <v>88093.981522499991</v>
      </c>
      <c r="H68" s="197"/>
    </row>
    <row r="69" spans="1:8" ht="9.75" customHeight="1">
      <c r="A69" s="573"/>
      <c r="B69" s="532" t="s">
        <v>305</v>
      </c>
      <c r="C69" s="533">
        <v>45073.138415000001</v>
      </c>
      <c r="D69" s="533"/>
      <c r="E69" s="533"/>
      <c r="F69" s="533">
        <v>45073.138415000001</v>
      </c>
      <c r="G69" s="575">
        <v>45073.138415000001</v>
      </c>
      <c r="H69" s="197"/>
    </row>
    <row r="70" spans="1:8" ht="9.75" customHeight="1">
      <c r="A70" s="573"/>
      <c r="B70" s="532" t="s">
        <v>306</v>
      </c>
      <c r="C70" s="533"/>
      <c r="D70" s="533">
        <v>6092.0840050000006</v>
      </c>
      <c r="E70" s="533"/>
      <c r="F70" s="533">
        <v>6092.0840050000006</v>
      </c>
      <c r="G70" s="575">
        <v>6092.0840050000006</v>
      </c>
    </row>
    <row r="71" spans="1:8" ht="9.75" customHeight="1">
      <c r="A71" s="573"/>
      <c r="B71" s="532" t="s">
        <v>307</v>
      </c>
      <c r="C71" s="533"/>
      <c r="D71" s="533">
        <v>13397.231535000001</v>
      </c>
      <c r="E71" s="533"/>
      <c r="F71" s="533">
        <v>13397.231535000001</v>
      </c>
      <c r="G71" s="575">
        <v>13397.231535000001</v>
      </c>
    </row>
    <row r="72" spans="1:8" ht="9.75" customHeight="1">
      <c r="A72" s="573"/>
      <c r="B72" s="532" t="s">
        <v>308</v>
      </c>
      <c r="C72" s="533"/>
      <c r="D72" s="533">
        <v>260439.15575500001</v>
      </c>
      <c r="E72" s="533"/>
      <c r="F72" s="533">
        <v>260439.15575500001</v>
      </c>
      <c r="G72" s="575">
        <v>260439.15575500001</v>
      </c>
    </row>
    <row r="73" spans="1:8" ht="9.75" customHeight="1">
      <c r="A73" s="573"/>
      <c r="B73" s="532" t="s">
        <v>413</v>
      </c>
      <c r="C73" s="533"/>
      <c r="D73" s="533"/>
      <c r="E73" s="533">
        <v>235.97951749999999</v>
      </c>
      <c r="F73" s="533">
        <v>235.97951749999999</v>
      </c>
      <c r="G73" s="575">
        <v>235.97951749999999</v>
      </c>
    </row>
    <row r="74" spans="1:8" ht="9.75" customHeight="1">
      <c r="A74" s="574" t="s">
        <v>528</v>
      </c>
      <c r="B74" s="425"/>
      <c r="C74" s="426">
        <v>363056.2312025</v>
      </c>
      <c r="D74" s="426">
        <v>279928.471295</v>
      </c>
      <c r="E74" s="426">
        <v>235.97951749999999</v>
      </c>
      <c r="F74" s="426">
        <v>643220.68201500003</v>
      </c>
      <c r="G74" s="576">
        <v>643220.68201500003</v>
      </c>
    </row>
    <row r="75" spans="1:8" ht="9.75" customHeight="1">
      <c r="A75" s="573" t="s">
        <v>96</v>
      </c>
      <c r="B75" s="532" t="s">
        <v>309</v>
      </c>
      <c r="C75" s="533"/>
      <c r="D75" s="533">
        <v>1774.307405</v>
      </c>
      <c r="E75" s="533"/>
      <c r="F75" s="533">
        <v>1774.307405</v>
      </c>
      <c r="G75" s="575">
        <v>1774.307405</v>
      </c>
    </row>
    <row r="76" spans="1:8">
      <c r="A76" s="573"/>
      <c r="B76" s="532" t="s">
        <v>310</v>
      </c>
      <c r="C76" s="533"/>
      <c r="D76" s="533">
        <v>50457.710335000003</v>
      </c>
      <c r="E76" s="533"/>
      <c r="F76" s="533">
        <v>50457.710335000003</v>
      </c>
      <c r="G76" s="575">
        <v>50457.710335000003</v>
      </c>
    </row>
    <row r="77" spans="1:8" ht="9.75" customHeight="1">
      <c r="A77" s="573"/>
      <c r="B77" s="532" t="s">
        <v>311</v>
      </c>
      <c r="C77" s="533"/>
      <c r="D77" s="533">
        <v>0.74792000000000003</v>
      </c>
      <c r="E77" s="533"/>
      <c r="F77" s="533">
        <v>0.74792000000000003</v>
      </c>
      <c r="G77" s="575">
        <v>0.74792000000000003</v>
      </c>
    </row>
    <row r="78" spans="1:8" ht="9.75" customHeight="1">
      <c r="A78" s="574" t="s">
        <v>529</v>
      </c>
      <c r="B78" s="425"/>
      <c r="C78" s="426"/>
      <c r="D78" s="426">
        <v>52232.765660000005</v>
      </c>
      <c r="E78" s="426"/>
      <c r="F78" s="426">
        <v>52232.765660000005</v>
      </c>
      <c r="G78" s="576">
        <v>52232.765660000005</v>
      </c>
    </row>
    <row r="79" spans="1:8">
      <c r="A79" s="573" t="s">
        <v>98</v>
      </c>
      <c r="B79" s="532" t="s">
        <v>422</v>
      </c>
      <c r="C79" s="533"/>
      <c r="D79" s="533"/>
      <c r="E79" s="533">
        <v>41403.814890000001</v>
      </c>
      <c r="F79" s="533">
        <v>41403.814890000001</v>
      </c>
      <c r="G79" s="575">
        <v>41403.814890000001</v>
      </c>
    </row>
    <row r="80" spans="1:8" ht="9.75" customHeight="1">
      <c r="A80" s="573"/>
      <c r="B80" s="532" t="s">
        <v>421</v>
      </c>
      <c r="C80" s="533"/>
      <c r="D80" s="533"/>
      <c r="E80" s="533">
        <v>53747.50649</v>
      </c>
      <c r="F80" s="533">
        <v>53747.50649</v>
      </c>
      <c r="G80" s="575">
        <v>53747.50649</v>
      </c>
    </row>
    <row r="81" spans="1:7" ht="9.75" customHeight="1">
      <c r="A81" s="574" t="s">
        <v>530</v>
      </c>
      <c r="B81" s="425"/>
      <c r="C81" s="426"/>
      <c r="D81" s="426"/>
      <c r="E81" s="426">
        <v>95151.321380000009</v>
      </c>
      <c r="F81" s="426">
        <v>95151.321380000009</v>
      </c>
      <c r="G81" s="576">
        <v>95151.321380000009</v>
      </c>
    </row>
    <row r="82" spans="1:7" ht="9.75" customHeight="1">
      <c r="A82" s="573"/>
      <c r="B82" s="532"/>
      <c r="C82" s="533"/>
      <c r="D82" s="533"/>
      <c r="E82" s="533"/>
      <c r="F82" s="533"/>
      <c r="G82" s="575"/>
    </row>
    <row r="83" spans="1:7" ht="9.75" customHeight="1">
      <c r="A83" s="312"/>
      <c r="B83" s="312"/>
      <c r="C83" s="312"/>
      <c r="D83" s="312"/>
      <c r="E83" s="312"/>
      <c r="F83" s="312"/>
      <c r="G83" s="312"/>
    </row>
    <row r="84" spans="1:7" ht="9.75" customHeight="1">
      <c r="A84" s="312"/>
      <c r="B84" s="312"/>
      <c r="C84" s="312"/>
      <c r="D84" s="312"/>
      <c r="E84" s="312"/>
      <c r="F84" s="312"/>
      <c r="G84" s="312"/>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5" orientation="portrait" r:id="rId1"/>
  <headerFooter>
    <oddHeader>&amp;R&amp;7Informe de la Operación Mensual-Enero 2021
INFSGI-MES-01-2021
09/02/2021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4"/>
  <sheetViews>
    <sheetView showGridLines="0" view="pageBreakPreview" zoomScaleNormal="100" zoomScaleSheetLayoutView="100" zoomScalePageLayoutView="130" workbookViewId="0">
      <selection activeCell="S15" sqref="S15"/>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08" t="s">
        <v>248</v>
      </c>
      <c r="B1" s="911" t="s">
        <v>54</v>
      </c>
      <c r="C1" s="914" t="str">
        <f>+'18. ANEXOI-1'!C2:F2</f>
        <v>ENERGÍA PRODUCIDA ENERO 2021</v>
      </c>
      <c r="D1" s="914"/>
      <c r="E1" s="914"/>
      <c r="F1" s="914"/>
      <c r="G1" s="537" t="s">
        <v>274</v>
      </c>
      <c r="H1" s="203"/>
    </row>
    <row r="2" spans="1:8" ht="11.25" customHeight="1">
      <c r="A2" s="909"/>
      <c r="B2" s="912"/>
      <c r="C2" s="915" t="s">
        <v>275</v>
      </c>
      <c r="D2" s="915"/>
      <c r="E2" s="915"/>
      <c r="F2" s="916" t="str">
        <f>"TOTAL 
"&amp;UPPER('1. Resumen'!Q4)</f>
        <v>TOTAL 
ENERO</v>
      </c>
      <c r="G2" s="538" t="s">
        <v>276</v>
      </c>
      <c r="H2" s="194"/>
    </row>
    <row r="3" spans="1:8" ht="11.25" customHeight="1">
      <c r="A3" s="909"/>
      <c r="B3" s="912"/>
      <c r="C3" s="529" t="s">
        <v>213</v>
      </c>
      <c r="D3" s="529" t="s">
        <v>214</v>
      </c>
      <c r="E3" s="529" t="s">
        <v>277</v>
      </c>
      <c r="F3" s="917"/>
      <c r="G3" s="538">
        <v>2021</v>
      </c>
      <c r="H3" s="196"/>
    </row>
    <row r="4" spans="1:8" ht="11.25" customHeight="1">
      <c r="A4" s="918"/>
      <c r="B4" s="919"/>
      <c r="C4" s="530" t="s">
        <v>278</v>
      </c>
      <c r="D4" s="530" t="s">
        <v>278</v>
      </c>
      <c r="E4" s="530" t="s">
        <v>278</v>
      </c>
      <c r="F4" s="530" t="s">
        <v>278</v>
      </c>
      <c r="G4" s="539" t="s">
        <v>206</v>
      </c>
      <c r="H4" s="196"/>
    </row>
    <row r="5" spans="1:8" ht="10.5" customHeight="1">
      <c r="A5" s="573" t="s">
        <v>97</v>
      </c>
      <c r="B5" s="532" t="s">
        <v>77</v>
      </c>
      <c r="C5" s="533"/>
      <c r="D5" s="533"/>
      <c r="E5" s="533">
        <v>31247.1043775</v>
      </c>
      <c r="F5" s="533">
        <v>31247.1043775</v>
      </c>
      <c r="G5" s="575">
        <v>31247.1043775</v>
      </c>
    </row>
    <row r="6" spans="1:8" ht="10.5" customHeight="1">
      <c r="A6" s="573"/>
      <c r="B6" s="532" t="s">
        <v>79</v>
      </c>
      <c r="C6" s="533"/>
      <c r="D6" s="533"/>
      <c r="E6" s="533">
        <v>9675.2359300000007</v>
      </c>
      <c r="F6" s="533">
        <v>9675.2359300000007</v>
      </c>
      <c r="G6" s="575">
        <v>9675.2359300000007</v>
      </c>
    </row>
    <row r="7" spans="1:8" ht="10.5" customHeight="1">
      <c r="A7" s="574" t="s">
        <v>531</v>
      </c>
      <c r="B7" s="425"/>
      <c r="C7" s="426"/>
      <c r="D7" s="426"/>
      <c r="E7" s="426">
        <v>40922.340307500002</v>
      </c>
      <c r="F7" s="426">
        <v>40922.340307500002</v>
      </c>
      <c r="G7" s="576">
        <v>40922.340307500002</v>
      </c>
    </row>
    <row r="8" spans="1:8" ht="10.5" customHeight="1">
      <c r="A8" s="573" t="s">
        <v>87</v>
      </c>
      <c r="B8" s="532" t="s">
        <v>312</v>
      </c>
      <c r="C8" s="533">
        <v>77877.508644999994</v>
      </c>
      <c r="D8" s="533"/>
      <c r="E8" s="533"/>
      <c r="F8" s="533">
        <v>77877.508644999994</v>
      </c>
      <c r="G8" s="575">
        <v>77877.508644999994</v>
      </c>
    </row>
    <row r="9" spans="1:8" ht="10.5" customHeight="1">
      <c r="A9" s="573"/>
      <c r="B9" s="532" t="s">
        <v>313</v>
      </c>
      <c r="C9" s="533">
        <v>96011.429605000012</v>
      </c>
      <c r="D9" s="533"/>
      <c r="E9" s="533"/>
      <c r="F9" s="533">
        <v>96011.429605000012</v>
      </c>
      <c r="G9" s="575">
        <v>96011.429605000012</v>
      </c>
    </row>
    <row r="10" spans="1:8" ht="10.5" customHeight="1">
      <c r="A10" s="573"/>
      <c r="B10" s="532" t="s">
        <v>314</v>
      </c>
      <c r="C10" s="533"/>
      <c r="D10" s="533">
        <v>65589.556002500001</v>
      </c>
      <c r="E10" s="533"/>
      <c r="F10" s="533">
        <v>65589.556002500001</v>
      </c>
      <c r="G10" s="575">
        <v>65589.556002500001</v>
      </c>
    </row>
    <row r="11" spans="1:8" ht="10.5" customHeight="1">
      <c r="A11" s="573"/>
      <c r="B11" s="532" t="s">
        <v>315</v>
      </c>
      <c r="C11" s="533"/>
      <c r="D11" s="533">
        <v>50032.990460000001</v>
      </c>
      <c r="E11" s="533"/>
      <c r="F11" s="533">
        <v>50032.990460000001</v>
      </c>
      <c r="G11" s="575">
        <v>50032.990460000001</v>
      </c>
    </row>
    <row r="12" spans="1:8" ht="10.5" customHeight="1">
      <c r="A12" s="573"/>
      <c r="B12" s="532" t="s">
        <v>316</v>
      </c>
      <c r="C12" s="533"/>
      <c r="D12" s="533">
        <v>0</v>
      </c>
      <c r="E12" s="533"/>
      <c r="F12" s="533">
        <v>0</v>
      </c>
      <c r="G12" s="575">
        <v>0</v>
      </c>
    </row>
    <row r="13" spans="1:8" ht="10.5" customHeight="1">
      <c r="A13" s="573"/>
      <c r="B13" s="532" t="s">
        <v>317</v>
      </c>
      <c r="C13" s="533"/>
      <c r="D13" s="533">
        <v>0</v>
      </c>
      <c r="E13" s="533"/>
      <c r="F13" s="533">
        <v>0</v>
      </c>
      <c r="G13" s="575">
        <v>0</v>
      </c>
    </row>
    <row r="14" spans="1:8" ht="10.5" customHeight="1">
      <c r="A14" s="573"/>
      <c r="B14" s="532" t="s">
        <v>318</v>
      </c>
      <c r="C14" s="533"/>
      <c r="D14" s="533">
        <v>0</v>
      </c>
      <c r="E14" s="533"/>
      <c r="F14" s="533">
        <v>0</v>
      </c>
      <c r="G14" s="575">
        <v>0</v>
      </c>
    </row>
    <row r="15" spans="1:8" ht="10.5" customHeight="1">
      <c r="A15" s="573"/>
      <c r="B15" s="532" t="s">
        <v>423</v>
      </c>
      <c r="C15" s="533"/>
      <c r="D15" s="533"/>
      <c r="E15" s="533">
        <v>9091.0523649999996</v>
      </c>
      <c r="F15" s="533">
        <v>9091.0523649999996</v>
      </c>
      <c r="G15" s="575">
        <v>9091.0523649999996</v>
      </c>
    </row>
    <row r="16" spans="1:8" s="598" customFormat="1" ht="10.5" customHeight="1">
      <c r="A16" s="574" t="s">
        <v>532</v>
      </c>
      <c r="B16" s="425"/>
      <c r="C16" s="426">
        <v>173888.93825000001</v>
      </c>
      <c r="D16" s="426">
        <v>115622.5464625</v>
      </c>
      <c r="E16" s="426">
        <v>9091.0523649999996</v>
      </c>
      <c r="F16" s="426">
        <v>298602.53707750002</v>
      </c>
      <c r="G16" s="576">
        <v>298602.53707750002</v>
      </c>
    </row>
    <row r="17" spans="1:7" s="598" customFormat="1" ht="10.5" customHeight="1">
      <c r="A17" s="573" t="s">
        <v>237</v>
      </c>
      <c r="B17" s="532" t="s">
        <v>319</v>
      </c>
      <c r="C17" s="533"/>
      <c r="D17" s="533">
        <v>118615.19201500001</v>
      </c>
      <c r="E17" s="533"/>
      <c r="F17" s="533">
        <v>118615.19201500001</v>
      </c>
      <c r="G17" s="575">
        <v>118615.19201500001</v>
      </c>
    </row>
    <row r="18" spans="1:7" s="598" customFormat="1" ht="10.5" customHeight="1">
      <c r="A18" s="574" t="s">
        <v>533</v>
      </c>
      <c r="B18" s="425"/>
      <c r="C18" s="426"/>
      <c r="D18" s="426">
        <v>118615.19201500001</v>
      </c>
      <c r="E18" s="426"/>
      <c r="F18" s="426">
        <v>118615.19201500001</v>
      </c>
      <c r="G18" s="576">
        <v>118615.19201500001</v>
      </c>
    </row>
    <row r="19" spans="1:7" ht="10.5" customHeight="1">
      <c r="A19" s="573" t="s">
        <v>449</v>
      </c>
      <c r="B19" s="532" t="s">
        <v>454</v>
      </c>
      <c r="C19" s="533"/>
      <c r="D19" s="533"/>
      <c r="E19" s="533">
        <v>11514.566999999999</v>
      </c>
      <c r="F19" s="533">
        <v>11514.566999999999</v>
      </c>
      <c r="G19" s="575">
        <v>11514.566999999999</v>
      </c>
    </row>
    <row r="20" spans="1:7" ht="10.5" customHeight="1">
      <c r="A20" s="573"/>
      <c r="B20" s="532" t="s">
        <v>450</v>
      </c>
      <c r="C20" s="533"/>
      <c r="D20" s="533"/>
      <c r="E20" s="533">
        <v>6074.4195099999997</v>
      </c>
      <c r="F20" s="533">
        <v>6074.4195099999997</v>
      </c>
      <c r="G20" s="575">
        <v>6074.4195099999997</v>
      </c>
    </row>
    <row r="21" spans="1:7" ht="10.5" customHeight="1">
      <c r="A21" s="574" t="s">
        <v>534</v>
      </c>
      <c r="B21" s="425"/>
      <c r="C21" s="426"/>
      <c r="D21" s="426"/>
      <c r="E21" s="426">
        <v>17588.986509999999</v>
      </c>
      <c r="F21" s="426">
        <v>17588.986509999999</v>
      </c>
      <c r="G21" s="576">
        <v>17588.986509999999</v>
      </c>
    </row>
    <row r="22" spans="1:7" ht="10.5" customHeight="1">
      <c r="A22" s="573" t="s">
        <v>108</v>
      </c>
      <c r="B22" s="532" t="s">
        <v>66</v>
      </c>
      <c r="C22" s="533"/>
      <c r="D22" s="533"/>
      <c r="E22" s="533">
        <v>4937.8227325000007</v>
      </c>
      <c r="F22" s="533">
        <v>4937.8227325000007</v>
      </c>
      <c r="G22" s="575">
        <v>4937.8227325000007</v>
      </c>
    </row>
    <row r="23" spans="1:7" ht="10.5" customHeight="1">
      <c r="A23" s="573"/>
      <c r="B23" s="532" t="s">
        <v>412</v>
      </c>
      <c r="C23" s="533"/>
      <c r="D23" s="533"/>
      <c r="E23" s="533">
        <v>13934.684850000001</v>
      </c>
      <c r="F23" s="533">
        <v>13934.684850000001</v>
      </c>
      <c r="G23" s="575">
        <v>13934.684850000001</v>
      </c>
    </row>
    <row r="24" spans="1:7" ht="10.5" customHeight="1">
      <c r="A24" s="573"/>
      <c r="B24" s="532" t="s">
        <v>410</v>
      </c>
      <c r="C24" s="533"/>
      <c r="D24" s="533"/>
      <c r="E24" s="533">
        <v>13799.757697500001</v>
      </c>
      <c r="F24" s="533">
        <v>13799.757697500001</v>
      </c>
      <c r="G24" s="575">
        <v>13799.757697500001</v>
      </c>
    </row>
    <row r="25" spans="1:7" ht="10.5" customHeight="1">
      <c r="A25" s="573"/>
      <c r="B25" s="532" t="s">
        <v>411</v>
      </c>
      <c r="C25" s="533"/>
      <c r="D25" s="533"/>
      <c r="E25" s="533">
        <v>13686.861765</v>
      </c>
      <c r="F25" s="533">
        <v>13686.861765</v>
      </c>
      <c r="G25" s="575">
        <v>13686.861765</v>
      </c>
    </row>
    <row r="26" spans="1:7" ht="10.5" customHeight="1">
      <c r="A26" s="574" t="s">
        <v>535</v>
      </c>
      <c r="B26" s="425"/>
      <c r="C26" s="426"/>
      <c r="D26" s="426"/>
      <c r="E26" s="426">
        <v>46359.127045000001</v>
      </c>
      <c r="F26" s="426">
        <v>46359.127045000001</v>
      </c>
      <c r="G26" s="576">
        <v>46359.127045000001</v>
      </c>
    </row>
    <row r="27" spans="1:7" ht="10.5" customHeight="1">
      <c r="A27" s="573" t="s">
        <v>567</v>
      </c>
      <c r="B27" s="532" t="s">
        <v>618</v>
      </c>
      <c r="C27" s="533"/>
      <c r="D27" s="533"/>
      <c r="E27" s="533">
        <v>985.30925500000001</v>
      </c>
      <c r="F27" s="533">
        <v>985.30925500000001</v>
      </c>
      <c r="G27" s="575">
        <v>985.30925500000001</v>
      </c>
    </row>
    <row r="28" spans="1:7" ht="10.5" customHeight="1">
      <c r="A28" s="574" t="s">
        <v>569</v>
      </c>
      <c r="B28" s="425"/>
      <c r="C28" s="426"/>
      <c r="D28" s="426"/>
      <c r="E28" s="426">
        <v>985.30925500000001</v>
      </c>
      <c r="F28" s="426">
        <v>985.30925500000001</v>
      </c>
      <c r="G28" s="576">
        <v>985.30925500000001</v>
      </c>
    </row>
    <row r="29" spans="1:7" ht="10.5" customHeight="1">
      <c r="A29" s="573" t="s">
        <v>568</v>
      </c>
      <c r="B29" s="532" t="s">
        <v>621</v>
      </c>
      <c r="C29" s="533"/>
      <c r="D29" s="533"/>
      <c r="E29" s="533">
        <v>1190.8014700000001</v>
      </c>
      <c r="F29" s="533">
        <v>1190.8014700000001</v>
      </c>
      <c r="G29" s="575">
        <v>1190.8014700000001</v>
      </c>
    </row>
    <row r="30" spans="1:7" ht="10.199999999999999" customHeight="1">
      <c r="A30" s="574" t="s">
        <v>570</v>
      </c>
      <c r="B30" s="425"/>
      <c r="C30" s="426"/>
      <c r="D30" s="426"/>
      <c r="E30" s="426">
        <v>1190.8014700000001</v>
      </c>
      <c r="F30" s="426">
        <v>1190.8014700000001</v>
      </c>
      <c r="G30" s="576">
        <v>1190.8014700000001</v>
      </c>
    </row>
    <row r="31" spans="1:7" ht="10.5" customHeight="1">
      <c r="A31" s="573" t="s">
        <v>114</v>
      </c>
      <c r="B31" s="532" t="s">
        <v>74</v>
      </c>
      <c r="C31" s="533"/>
      <c r="D31" s="533"/>
      <c r="E31" s="533">
        <v>2366</v>
      </c>
      <c r="F31" s="533">
        <v>2366</v>
      </c>
      <c r="G31" s="575">
        <v>2366</v>
      </c>
    </row>
    <row r="32" spans="1:7">
      <c r="A32" s="574" t="s">
        <v>536</v>
      </c>
      <c r="B32" s="425"/>
      <c r="C32" s="426"/>
      <c r="D32" s="426"/>
      <c r="E32" s="426">
        <v>2366</v>
      </c>
      <c r="F32" s="426">
        <v>2366</v>
      </c>
      <c r="G32" s="576">
        <v>2366</v>
      </c>
    </row>
    <row r="33" spans="1:7" ht="10.199999999999999" customHeight="1">
      <c r="A33" s="573" t="s">
        <v>615</v>
      </c>
      <c r="B33" s="532" t="s">
        <v>320</v>
      </c>
      <c r="C33" s="533">
        <v>11761.868259999999</v>
      </c>
      <c r="D33" s="533"/>
      <c r="E33" s="533"/>
      <c r="F33" s="533">
        <v>11761.868259999999</v>
      </c>
      <c r="G33" s="575">
        <v>11761.868259999999</v>
      </c>
    </row>
    <row r="34" spans="1:7" ht="10.5" customHeight="1">
      <c r="A34" s="574" t="s">
        <v>616</v>
      </c>
      <c r="B34" s="425"/>
      <c r="C34" s="426">
        <v>11761.868259999999</v>
      </c>
      <c r="D34" s="426"/>
      <c r="E34" s="426"/>
      <c r="F34" s="426">
        <v>11761.868259999999</v>
      </c>
      <c r="G34" s="576">
        <v>11761.868259999999</v>
      </c>
    </row>
    <row r="35" spans="1:7" ht="10.5" customHeight="1">
      <c r="A35" s="573" t="s">
        <v>238</v>
      </c>
      <c r="B35" s="532" t="s">
        <v>59</v>
      </c>
      <c r="C35" s="533"/>
      <c r="D35" s="533"/>
      <c r="E35" s="533">
        <v>11941.666740000001</v>
      </c>
      <c r="F35" s="533">
        <v>11941.666740000001</v>
      </c>
      <c r="G35" s="575">
        <v>11941.666740000001</v>
      </c>
    </row>
    <row r="36" spans="1:7" ht="10.5" customHeight="1">
      <c r="A36" s="574" t="s">
        <v>538</v>
      </c>
      <c r="B36" s="425"/>
      <c r="C36" s="426"/>
      <c r="D36" s="426"/>
      <c r="E36" s="426">
        <v>11941.666740000001</v>
      </c>
      <c r="F36" s="426">
        <v>11941.666740000001</v>
      </c>
      <c r="G36" s="576">
        <v>11941.666740000001</v>
      </c>
    </row>
    <row r="37" spans="1:7" ht="10.5" customHeight="1">
      <c r="A37" s="573" t="s">
        <v>409</v>
      </c>
      <c r="B37" s="532" t="s">
        <v>457</v>
      </c>
      <c r="C37" s="533">
        <v>440.14800000000002</v>
      </c>
      <c r="D37" s="533"/>
      <c r="E37" s="533"/>
      <c r="F37" s="533">
        <v>440.14800000000002</v>
      </c>
      <c r="G37" s="575">
        <v>440.14800000000002</v>
      </c>
    </row>
    <row r="38" spans="1:7" ht="10.5" customHeight="1">
      <c r="A38" s="574" t="s">
        <v>539</v>
      </c>
      <c r="B38" s="425"/>
      <c r="C38" s="426">
        <v>440.14800000000002</v>
      </c>
      <c r="D38" s="426"/>
      <c r="E38" s="426"/>
      <c r="F38" s="426">
        <v>440.14800000000002</v>
      </c>
      <c r="G38" s="576">
        <v>440.14800000000002</v>
      </c>
    </row>
    <row r="39" spans="1:7" ht="10.5" customHeight="1">
      <c r="A39" s="573" t="s">
        <v>425</v>
      </c>
      <c r="B39" s="532" t="s">
        <v>429</v>
      </c>
      <c r="C39" s="533">
        <v>66189.807239999995</v>
      </c>
      <c r="D39" s="533"/>
      <c r="E39" s="533"/>
      <c r="F39" s="533">
        <v>66189.807239999995</v>
      </c>
      <c r="G39" s="575">
        <v>66189.807239999995</v>
      </c>
    </row>
    <row r="40" spans="1:7" s="46" customFormat="1" ht="10.199999999999999" customHeight="1">
      <c r="A40" s="574" t="s">
        <v>540</v>
      </c>
      <c r="B40" s="425"/>
      <c r="C40" s="426">
        <v>66189.807239999995</v>
      </c>
      <c r="D40" s="426"/>
      <c r="E40" s="426"/>
      <c r="F40" s="426">
        <v>66189.807239999995</v>
      </c>
      <c r="G40" s="576">
        <v>66189.807239999995</v>
      </c>
    </row>
    <row r="41" spans="1:7" ht="22.8" customHeight="1">
      <c r="A41" s="577" t="s">
        <v>464</v>
      </c>
      <c r="B41" s="532" t="s">
        <v>485</v>
      </c>
      <c r="C41" s="533"/>
      <c r="D41" s="533"/>
      <c r="E41" s="533">
        <v>7666.2428974999993</v>
      </c>
      <c r="F41" s="533">
        <v>7666.2428974999993</v>
      </c>
      <c r="G41" s="575">
        <v>7666.2428974999993</v>
      </c>
    </row>
    <row r="42" spans="1:7" ht="19.8" customHeight="1">
      <c r="A42" s="600" t="s">
        <v>541</v>
      </c>
      <c r="B42" s="425"/>
      <c r="C42" s="426"/>
      <c r="D42" s="426"/>
      <c r="E42" s="426">
        <v>7666.2428974999993</v>
      </c>
      <c r="F42" s="426">
        <v>7666.2428974999993</v>
      </c>
      <c r="G42" s="576">
        <v>7666.2428974999993</v>
      </c>
    </row>
    <row r="43" spans="1:7" ht="10.5" customHeight="1">
      <c r="A43" s="573" t="s">
        <v>116</v>
      </c>
      <c r="B43" s="532" t="s">
        <v>322</v>
      </c>
      <c r="C43" s="533"/>
      <c r="D43" s="533">
        <v>20.701965000000001</v>
      </c>
      <c r="E43" s="533"/>
      <c r="F43" s="533">
        <v>20.701965000000001</v>
      </c>
      <c r="G43" s="575">
        <v>20.701965000000001</v>
      </c>
    </row>
    <row r="44" spans="1:7" ht="10.5" customHeight="1">
      <c r="A44" s="573"/>
      <c r="B44" s="532" t="s">
        <v>323</v>
      </c>
      <c r="C44" s="533"/>
      <c r="D44" s="533">
        <v>0.78154250000000003</v>
      </c>
      <c r="E44" s="533"/>
      <c r="F44" s="533">
        <v>0.78154250000000003</v>
      </c>
      <c r="G44" s="575">
        <v>0.78154250000000003</v>
      </c>
    </row>
    <row r="45" spans="1:7" ht="10.5" customHeight="1">
      <c r="A45" s="574" t="s">
        <v>542</v>
      </c>
      <c r="B45" s="425"/>
      <c r="C45" s="426"/>
      <c r="D45" s="426">
        <v>21.483507500000002</v>
      </c>
      <c r="E45" s="426"/>
      <c r="F45" s="426">
        <v>21.483507500000002</v>
      </c>
      <c r="G45" s="576">
        <v>21.483507500000002</v>
      </c>
    </row>
    <row r="46" spans="1:7" ht="10.5" customHeight="1">
      <c r="A46" s="573" t="s">
        <v>407</v>
      </c>
      <c r="B46" s="532" t="s">
        <v>324</v>
      </c>
      <c r="C46" s="533"/>
      <c r="D46" s="533">
        <v>362534.38353500003</v>
      </c>
      <c r="E46" s="533"/>
      <c r="F46" s="533">
        <v>362534.38353500003</v>
      </c>
      <c r="G46" s="575">
        <v>362534.38353500003</v>
      </c>
    </row>
    <row r="47" spans="1:7" ht="10.5" customHeight="1">
      <c r="A47" s="573"/>
      <c r="B47" s="532" t="s">
        <v>325</v>
      </c>
      <c r="C47" s="533"/>
      <c r="D47" s="533">
        <v>34231.869037500001</v>
      </c>
      <c r="E47" s="533"/>
      <c r="F47" s="533">
        <v>34231.869037500001</v>
      </c>
      <c r="G47" s="575">
        <v>34231.869037500001</v>
      </c>
    </row>
    <row r="48" spans="1:7" ht="10.5" customHeight="1">
      <c r="A48" s="573"/>
      <c r="B48" s="532" t="s">
        <v>427</v>
      </c>
      <c r="C48" s="533">
        <v>372420.67499249999</v>
      </c>
      <c r="D48" s="533"/>
      <c r="E48" s="533"/>
      <c r="F48" s="533">
        <v>372420.67499249999</v>
      </c>
      <c r="G48" s="575">
        <v>372420.67499249999</v>
      </c>
    </row>
    <row r="49" spans="1:8" ht="10.5" customHeight="1">
      <c r="A49" s="573"/>
      <c r="B49" s="532" t="s">
        <v>326</v>
      </c>
      <c r="C49" s="533">
        <v>7061.9140950000001</v>
      </c>
      <c r="D49" s="533"/>
      <c r="E49" s="533"/>
      <c r="F49" s="533">
        <v>7061.9140950000001</v>
      </c>
      <c r="G49" s="575">
        <v>7061.9140950000001</v>
      </c>
    </row>
    <row r="50" spans="1:8" ht="10.5" customHeight="1">
      <c r="A50" s="574" t="s">
        <v>543</v>
      </c>
      <c r="B50" s="425"/>
      <c r="C50" s="426">
        <v>379482.5890875</v>
      </c>
      <c r="D50" s="426">
        <v>396766.25257250003</v>
      </c>
      <c r="E50" s="426"/>
      <c r="F50" s="426">
        <v>776248.84166000003</v>
      </c>
      <c r="G50" s="576">
        <v>776248.84166000003</v>
      </c>
    </row>
    <row r="51" spans="1:8" ht="10.5" customHeight="1">
      <c r="A51" s="573" t="s">
        <v>115</v>
      </c>
      <c r="B51" s="532" t="s">
        <v>72</v>
      </c>
      <c r="C51" s="533"/>
      <c r="D51" s="533"/>
      <c r="E51" s="533">
        <v>1851.5024324999999</v>
      </c>
      <c r="F51" s="533">
        <v>1851.5024324999999</v>
      </c>
      <c r="G51" s="575">
        <v>1851.5024324999999</v>
      </c>
      <c r="H51" s="336"/>
    </row>
    <row r="52" spans="1:8" ht="10.5" customHeight="1">
      <c r="A52" s="574" t="s">
        <v>544</v>
      </c>
      <c r="B52" s="425"/>
      <c r="C52" s="426"/>
      <c r="D52" s="426"/>
      <c r="E52" s="426">
        <v>1851.5024324999999</v>
      </c>
      <c r="F52" s="426">
        <v>1851.5024324999999</v>
      </c>
      <c r="G52" s="576">
        <v>1851.5024324999999</v>
      </c>
    </row>
    <row r="53" spans="1:8" ht="10.5" customHeight="1">
      <c r="A53" s="573" t="s">
        <v>565</v>
      </c>
      <c r="B53" s="532" t="s">
        <v>231</v>
      </c>
      <c r="C53" s="533"/>
      <c r="D53" s="533"/>
      <c r="E53" s="533">
        <v>3518.8224</v>
      </c>
      <c r="F53" s="533">
        <v>3518.8224</v>
      </c>
      <c r="G53" s="575">
        <v>3518.8224</v>
      </c>
    </row>
    <row r="54" spans="1:8" ht="10.5" customHeight="1">
      <c r="A54" s="574" t="s">
        <v>571</v>
      </c>
      <c r="B54" s="425"/>
      <c r="C54" s="426"/>
      <c r="D54" s="426"/>
      <c r="E54" s="426">
        <v>3518.8224</v>
      </c>
      <c r="F54" s="426">
        <v>3518.8224</v>
      </c>
      <c r="G54" s="576">
        <v>3518.8224</v>
      </c>
    </row>
    <row r="55" spans="1:8" ht="10.5" customHeight="1">
      <c r="A55" s="573" t="s">
        <v>110</v>
      </c>
      <c r="B55" s="532" t="s">
        <v>81</v>
      </c>
      <c r="C55" s="533"/>
      <c r="D55" s="533"/>
      <c r="E55" s="533">
        <v>4517.6643775000002</v>
      </c>
      <c r="F55" s="533">
        <v>4517.6643775000002</v>
      </c>
      <c r="G55" s="575">
        <v>4517.6643775000002</v>
      </c>
    </row>
    <row r="56" spans="1:8" ht="10.5" customHeight="1">
      <c r="A56" s="574" t="s">
        <v>545</v>
      </c>
      <c r="B56" s="425"/>
      <c r="C56" s="426"/>
      <c r="D56" s="426"/>
      <c r="E56" s="426">
        <v>4517.6643775000002</v>
      </c>
      <c r="F56" s="426">
        <v>4517.6643775000002</v>
      </c>
      <c r="G56" s="576">
        <v>4517.6643775000002</v>
      </c>
    </row>
    <row r="57" spans="1:8" ht="10.5" customHeight="1">
      <c r="A57" s="573" t="s">
        <v>239</v>
      </c>
      <c r="B57" s="532" t="s">
        <v>71</v>
      </c>
      <c r="C57" s="533"/>
      <c r="D57" s="533"/>
      <c r="E57" s="533">
        <v>4081.5392350000002</v>
      </c>
      <c r="F57" s="533">
        <v>4081.5392350000002</v>
      </c>
      <c r="G57" s="575">
        <v>4081.5392350000002</v>
      </c>
    </row>
    <row r="58" spans="1:8" ht="10.5" customHeight="1">
      <c r="A58" s="573"/>
      <c r="B58" s="532" t="s">
        <v>327</v>
      </c>
      <c r="C58" s="533">
        <v>167732.58068750001</v>
      </c>
      <c r="D58" s="533"/>
      <c r="E58" s="533"/>
      <c r="F58" s="533">
        <v>167732.58068750001</v>
      </c>
      <c r="G58" s="575">
        <v>167732.58068750001</v>
      </c>
    </row>
    <row r="59" spans="1:8" ht="10.5" customHeight="1">
      <c r="A59" s="573"/>
      <c r="B59" s="532" t="s">
        <v>328</v>
      </c>
      <c r="C59" s="533">
        <v>67194.082192499991</v>
      </c>
      <c r="D59" s="533"/>
      <c r="E59" s="533"/>
      <c r="F59" s="533">
        <v>67194.082192499991</v>
      </c>
      <c r="G59" s="575">
        <v>67194.082192499991</v>
      </c>
    </row>
    <row r="60" spans="1:8" ht="10.5" customHeight="1">
      <c r="A60" s="573"/>
      <c r="B60" s="532" t="s">
        <v>62</v>
      </c>
      <c r="C60" s="533"/>
      <c r="D60" s="533"/>
      <c r="E60" s="533">
        <v>7126.2525699999997</v>
      </c>
      <c r="F60" s="533">
        <v>7126.2525699999997</v>
      </c>
      <c r="G60" s="575">
        <v>7126.2525699999997</v>
      </c>
    </row>
    <row r="61" spans="1:8" ht="10.5" customHeight="1">
      <c r="A61" s="574" t="s">
        <v>546</v>
      </c>
      <c r="B61" s="425"/>
      <c r="C61" s="426">
        <v>234926.66288000002</v>
      </c>
      <c r="D61" s="426"/>
      <c r="E61" s="426">
        <v>11207.791805000001</v>
      </c>
      <c r="F61" s="426">
        <v>246134.454685</v>
      </c>
      <c r="G61" s="576">
        <v>246134.454685</v>
      </c>
    </row>
    <row r="62" spans="1:8" ht="10.5" customHeight="1">
      <c r="A62" s="573" t="s">
        <v>240</v>
      </c>
      <c r="B62" s="532" t="s">
        <v>78</v>
      </c>
      <c r="C62" s="533"/>
      <c r="D62" s="533"/>
      <c r="E62" s="533">
        <v>16229.013414999999</v>
      </c>
      <c r="F62" s="533">
        <v>16229.013414999999</v>
      </c>
      <c r="G62" s="575">
        <v>16229.013414999999</v>
      </c>
    </row>
    <row r="63" spans="1:8" ht="10.5" customHeight="1">
      <c r="A63" s="574" t="s">
        <v>547</v>
      </c>
      <c r="B63" s="425"/>
      <c r="C63" s="426"/>
      <c r="D63" s="426"/>
      <c r="E63" s="426">
        <v>16229.013414999999</v>
      </c>
      <c r="F63" s="426">
        <v>16229.013414999999</v>
      </c>
      <c r="G63" s="576">
        <v>16229.013414999999</v>
      </c>
    </row>
    <row r="64" spans="1:8" ht="10.5" customHeight="1">
      <c r="A64" s="573" t="s">
        <v>99</v>
      </c>
      <c r="B64" s="532" t="s">
        <v>76</v>
      </c>
      <c r="C64" s="533"/>
      <c r="D64" s="533"/>
      <c r="E64" s="533">
        <v>45996.032740000002</v>
      </c>
      <c r="F64" s="533">
        <v>45996.032740000002</v>
      </c>
      <c r="G64" s="575">
        <v>45996.032740000002</v>
      </c>
    </row>
    <row r="65" spans="1:7" ht="10.5" customHeight="1">
      <c r="A65" s="574" t="s">
        <v>548</v>
      </c>
      <c r="B65" s="425"/>
      <c r="C65" s="426"/>
      <c r="D65" s="426"/>
      <c r="E65" s="426">
        <v>45996.032740000002</v>
      </c>
      <c r="F65" s="426">
        <v>45996.032740000002</v>
      </c>
      <c r="G65" s="576">
        <v>45996.032740000002</v>
      </c>
    </row>
    <row r="66" spans="1:7" ht="10.5" customHeight="1">
      <c r="A66" s="573" t="s">
        <v>107</v>
      </c>
      <c r="B66" s="532" t="s">
        <v>230</v>
      </c>
      <c r="C66" s="533"/>
      <c r="D66" s="533"/>
      <c r="E66" s="533">
        <v>5469.1903625000004</v>
      </c>
      <c r="F66" s="533">
        <v>5469.1903625000004</v>
      </c>
      <c r="G66" s="575">
        <v>5469.1903625000004</v>
      </c>
    </row>
    <row r="67" spans="1:7" ht="10.5" customHeight="1">
      <c r="A67" s="574" t="s">
        <v>549</v>
      </c>
      <c r="B67" s="425"/>
      <c r="C67" s="426"/>
      <c r="D67" s="426"/>
      <c r="E67" s="426">
        <v>5469.1903625000004</v>
      </c>
      <c r="F67" s="426">
        <v>5469.1903625000004</v>
      </c>
      <c r="G67" s="576">
        <v>5469.1903625000004</v>
      </c>
    </row>
    <row r="68" spans="1:7" ht="10.5" customHeight="1">
      <c r="A68" s="573" t="s">
        <v>408</v>
      </c>
      <c r="B68" s="532" t="s">
        <v>85</v>
      </c>
      <c r="C68" s="533"/>
      <c r="D68" s="533"/>
      <c r="E68" s="533">
        <v>1983.4555725</v>
      </c>
      <c r="F68" s="533">
        <v>1983.4555725</v>
      </c>
      <c r="G68" s="575">
        <v>1983.4555725</v>
      </c>
    </row>
    <row r="69" spans="1:7" ht="10.5" customHeight="1">
      <c r="A69" s="573"/>
      <c r="B69" s="532" t="s">
        <v>84</v>
      </c>
      <c r="C69" s="533"/>
      <c r="D69" s="533"/>
      <c r="E69" s="533">
        <v>2936.3544675000003</v>
      </c>
      <c r="F69" s="533">
        <v>2936.3544675000003</v>
      </c>
      <c r="G69" s="575">
        <v>2936.3544675000003</v>
      </c>
    </row>
    <row r="70" spans="1:7" ht="10.5" customHeight="1">
      <c r="A70" s="573"/>
      <c r="B70" s="532" t="s">
        <v>424</v>
      </c>
      <c r="C70" s="533"/>
      <c r="D70" s="533"/>
      <c r="E70" s="533">
        <v>1413.8110925000001</v>
      </c>
      <c r="F70" s="533">
        <v>1413.8110925000001</v>
      </c>
      <c r="G70" s="575">
        <v>1413.8110925000001</v>
      </c>
    </row>
    <row r="71" spans="1:7" ht="10.5" customHeight="1">
      <c r="A71" s="573"/>
      <c r="B71" s="532" t="s">
        <v>478</v>
      </c>
      <c r="C71" s="533"/>
      <c r="D71" s="533"/>
      <c r="E71" s="533">
        <v>1459.5317300000002</v>
      </c>
      <c r="F71" s="533">
        <v>1459.5317300000002</v>
      </c>
      <c r="G71" s="575">
        <v>1459.5317300000002</v>
      </c>
    </row>
    <row r="72" spans="1:7" ht="10.5" customHeight="1">
      <c r="A72" s="574" t="s">
        <v>550</v>
      </c>
      <c r="B72" s="425"/>
      <c r="C72" s="426"/>
      <c r="D72" s="426"/>
      <c r="E72" s="426">
        <v>7793.152862500001</v>
      </c>
      <c r="F72" s="426">
        <v>7793.152862500001</v>
      </c>
      <c r="G72" s="576">
        <v>7793.152862500001</v>
      </c>
    </row>
    <row r="73" spans="1:7" ht="10.5" customHeight="1">
      <c r="A73" s="573" t="s">
        <v>241</v>
      </c>
      <c r="B73" s="532" t="s">
        <v>329</v>
      </c>
      <c r="C73" s="533"/>
      <c r="D73" s="533">
        <v>333.36389000000003</v>
      </c>
      <c r="E73" s="533"/>
      <c r="F73" s="533">
        <v>333.36389000000003</v>
      </c>
      <c r="G73" s="575">
        <v>333.36389000000003</v>
      </c>
    </row>
    <row r="74" spans="1:7">
      <c r="A74" s="574" t="s">
        <v>551</v>
      </c>
      <c r="B74" s="425"/>
      <c r="C74" s="426"/>
      <c r="D74" s="426">
        <v>333.36389000000003</v>
      </c>
      <c r="E74" s="426"/>
      <c r="F74" s="426">
        <v>333.36389000000003</v>
      </c>
      <c r="G74" s="576">
        <v>333.36389000000003</v>
      </c>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0" orientation="portrait" r:id="rId1"/>
  <headerFooter>
    <oddHeader>&amp;R&amp;7Informe de la Operación Mensual-Enero 2021
INFSGI-MES-01-2021
09/02/2021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7"/>
  <sheetViews>
    <sheetView showGridLines="0" view="pageBreakPreview" zoomScaleNormal="100" zoomScaleSheetLayoutView="100" zoomScalePageLayoutView="110" workbookViewId="0">
      <selection activeCell="S15" sqref="S15"/>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8" t="s">
        <v>248</v>
      </c>
      <c r="B1" s="911" t="s">
        <v>54</v>
      </c>
      <c r="C1" s="914" t="str">
        <f>+'19. ANEXOI-2'!C1:F1</f>
        <v>ENERGÍA PRODUCIDA ENERO 2021</v>
      </c>
      <c r="D1" s="914"/>
      <c r="E1" s="914"/>
      <c r="F1" s="914"/>
      <c r="G1" s="537" t="s">
        <v>274</v>
      </c>
      <c r="H1" s="203"/>
    </row>
    <row r="2" spans="1:8" ht="11.25" customHeight="1">
      <c r="A2" s="909"/>
      <c r="B2" s="912"/>
      <c r="C2" s="915" t="s">
        <v>275</v>
      </c>
      <c r="D2" s="915"/>
      <c r="E2" s="915"/>
      <c r="F2" s="916" t="str">
        <f>"TOTAL 
"&amp;UPPER('1. Resumen'!Q4)</f>
        <v>TOTAL 
ENERO</v>
      </c>
      <c r="G2" s="538" t="s">
        <v>276</v>
      </c>
      <c r="H2" s="194"/>
    </row>
    <row r="3" spans="1:8" ht="11.25" customHeight="1">
      <c r="A3" s="909"/>
      <c r="B3" s="912"/>
      <c r="C3" s="529" t="s">
        <v>213</v>
      </c>
      <c r="D3" s="529" t="s">
        <v>214</v>
      </c>
      <c r="E3" s="529" t="s">
        <v>277</v>
      </c>
      <c r="F3" s="917"/>
      <c r="G3" s="538">
        <v>2021</v>
      </c>
      <c r="H3" s="196"/>
    </row>
    <row r="4" spans="1:8" ht="11.25" customHeight="1">
      <c r="A4" s="918"/>
      <c r="B4" s="919"/>
      <c r="C4" s="530" t="s">
        <v>278</v>
      </c>
      <c r="D4" s="530" t="s">
        <v>278</v>
      </c>
      <c r="E4" s="530" t="s">
        <v>278</v>
      </c>
      <c r="F4" s="530" t="s">
        <v>278</v>
      </c>
      <c r="G4" s="539" t="s">
        <v>206</v>
      </c>
      <c r="H4" s="196"/>
    </row>
    <row r="5" spans="1:8" s="312" customFormat="1" ht="9" customHeight="1">
      <c r="A5" s="573" t="s">
        <v>566</v>
      </c>
      <c r="B5" s="532" t="s">
        <v>82</v>
      </c>
      <c r="C5" s="533"/>
      <c r="D5" s="533"/>
      <c r="E5" s="533">
        <v>3455.9144824999998</v>
      </c>
      <c r="F5" s="533">
        <v>3455.9144824999998</v>
      </c>
      <c r="G5" s="575">
        <v>3455.9144824999998</v>
      </c>
    </row>
    <row r="6" spans="1:8" s="312" customFormat="1" ht="9" customHeight="1">
      <c r="A6" s="574" t="s">
        <v>572</v>
      </c>
      <c r="B6" s="425"/>
      <c r="C6" s="426"/>
      <c r="D6" s="426"/>
      <c r="E6" s="426">
        <v>3455.9144824999998</v>
      </c>
      <c r="F6" s="426">
        <v>3455.9144824999998</v>
      </c>
      <c r="G6" s="576">
        <v>3455.9144824999998</v>
      </c>
    </row>
    <row r="7" spans="1:8" s="312" customFormat="1" ht="9" customHeight="1">
      <c r="A7" s="573" t="s">
        <v>439</v>
      </c>
      <c r="B7" s="532" t="s">
        <v>451</v>
      </c>
      <c r="C7" s="533"/>
      <c r="D7" s="533"/>
      <c r="E7" s="533">
        <v>14598.490412499999</v>
      </c>
      <c r="F7" s="533">
        <v>14598.490412499999</v>
      </c>
      <c r="G7" s="575">
        <v>14598.490412499999</v>
      </c>
    </row>
    <row r="8" spans="1:8" s="312" customFormat="1" ht="9" customHeight="1">
      <c r="A8" s="574" t="s">
        <v>552</v>
      </c>
      <c r="B8" s="425"/>
      <c r="C8" s="426"/>
      <c r="D8" s="426"/>
      <c r="E8" s="426">
        <v>14598.490412499999</v>
      </c>
      <c r="F8" s="426">
        <v>14598.490412499999</v>
      </c>
      <c r="G8" s="576">
        <v>14598.490412499999</v>
      </c>
    </row>
    <row r="9" spans="1:8" s="312" customFormat="1" ht="9" customHeight="1">
      <c r="A9" s="573" t="s">
        <v>104</v>
      </c>
      <c r="B9" s="532" t="s">
        <v>61</v>
      </c>
      <c r="C9" s="533"/>
      <c r="D9" s="533"/>
      <c r="E9" s="533">
        <v>13499.85932</v>
      </c>
      <c r="F9" s="533">
        <v>13499.85932</v>
      </c>
      <c r="G9" s="575">
        <v>13499.85932</v>
      </c>
    </row>
    <row r="10" spans="1:8" s="312" customFormat="1" ht="9" customHeight="1">
      <c r="A10" s="574" t="s">
        <v>553</v>
      </c>
      <c r="B10" s="425"/>
      <c r="C10" s="426"/>
      <c r="D10" s="426"/>
      <c r="E10" s="426">
        <v>13499.85932</v>
      </c>
      <c r="F10" s="426">
        <v>13499.85932</v>
      </c>
      <c r="G10" s="576">
        <v>13499.85932</v>
      </c>
    </row>
    <row r="11" spans="1:8" s="312" customFormat="1" ht="9" customHeight="1">
      <c r="A11" s="573" t="s">
        <v>242</v>
      </c>
      <c r="B11" s="532" t="s">
        <v>330</v>
      </c>
      <c r="C11" s="533"/>
      <c r="D11" s="533">
        <v>0</v>
      </c>
      <c r="E11" s="533"/>
      <c r="F11" s="533">
        <v>0</v>
      </c>
      <c r="G11" s="575">
        <v>0</v>
      </c>
    </row>
    <row r="12" spans="1:8" s="312" customFormat="1" ht="9" customHeight="1">
      <c r="A12" s="574" t="s">
        <v>554</v>
      </c>
      <c r="B12" s="425"/>
      <c r="C12" s="426"/>
      <c r="D12" s="426">
        <v>0</v>
      </c>
      <c r="E12" s="426"/>
      <c r="F12" s="426">
        <v>0</v>
      </c>
      <c r="G12" s="576">
        <v>0</v>
      </c>
    </row>
    <row r="13" spans="1:8" s="312" customFormat="1" ht="9" customHeight="1">
      <c r="A13" s="573" t="s">
        <v>95</v>
      </c>
      <c r="B13" s="532" t="s">
        <v>331</v>
      </c>
      <c r="C13" s="533">
        <v>78913.463842500001</v>
      </c>
      <c r="D13" s="533"/>
      <c r="E13" s="533"/>
      <c r="F13" s="533">
        <v>78913.463842500001</v>
      </c>
      <c r="G13" s="575">
        <v>78913.463842500001</v>
      </c>
    </row>
    <row r="14" spans="1:8" s="312" customFormat="1" ht="9" customHeight="1">
      <c r="A14" s="574" t="s">
        <v>555</v>
      </c>
      <c r="B14" s="425"/>
      <c r="C14" s="426">
        <v>78913.463842500001</v>
      </c>
      <c r="D14" s="426"/>
      <c r="E14" s="426"/>
      <c r="F14" s="426">
        <v>78913.463842500001</v>
      </c>
      <c r="G14" s="576">
        <v>78913.463842500001</v>
      </c>
    </row>
    <row r="15" spans="1:8" s="312" customFormat="1" ht="9" customHeight="1">
      <c r="A15" s="573" t="s">
        <v>426</v>
      </c>
      <c r="B15" s="532" t="s">
        <v>458</v>
      </c>
      <c r="C15" s="533"/>
      <c r="D15" s="533"/>
      <c r="E15" s="533">
        <v>4006.8069375</v>
      </c>
      <c r="F15" s="533">
        <v>4006.8069375</v>
      </c>
      <c r="G15" s="575">
        <v>4006.8069375</v>
      </c>
    </row>
    <row r="16" spans="1:8" s="312" customFormat="1" ht="9" customHeight="1">
      <c r="A16" s="574" t="s">
        <v>556</v>
      </c>
      <c r="B16" s="425"/>
      <c r="C16" s="426"/>
      <c r="D16" s="426"/>
      <c r="E16" s="426">
        <v>4006.8069375</v>
      </c>
      <c r="F16" s="426">
        <v>4006.8069375</v>
      </c>
      <c r="G16" s="576">
        <v>4006.8069375</v>
      </c>
    </row>
    <row r="17" spans="1:7" s="312" customFormat="1" ht="9" customHeight="1">
      <c r="A17" s="573" t="s">
        <v>399</v>
      </c>
      <c r="B17" s="532" t="s">
        <v>403</v>
      </c>
      <c r="C17" s="533"/>
      <c r="D17" s="533"/>
      <c r="E17" s="533">
        <v>14708.4575375</v>
      </c>
      <c r="F17" s="533">
        <v>14708.4575375</v>
      </c>
      <c r="G17" s="575">
        <v>14708.4575375</v>
      </c>
    </row>
    <row r="18" spans="1:7" s="312" customFormat="1" ht="9" customHeight="1">
      <c r="A18" s="574" t="s">
        <v>557</v>
      </c>
      <c r="B18" s="425"/>
      <c r="C18" s="426"/>
      <c r="D18" s="426"/>
      <c r="E18" s="426">
        <v>14708.4575375</v>
      </c>
      <c r="F18" s="426">
        <v>14708.4575375</v>
      </c>
      <c r="G18" s="576">
        <v>14708.4575375</v>
      </c>
    </row>
    <row r="19" spans="1:7" s="312" customFormat="1" ht="9" customHeight="1">
      <c r="A19" s="573" t="s">
        <v>102</v>
      </c>
      <c r="B19" s="532" t="s">
        <v>332</v>
      </c>
      <c r="C19" s="533"/>
      <c r="D19" s="533">
        <v>71.470162500000001</v>
      </c>
      <c r="E19" s="533"/>
      <c r="F19" s="533">
        <v>71.470162500000001</v>
      </c>
      <c r="G19" s="575">
        <v>71.470162500000001</v>
      </c>
    </row>
    <row r="20" spans="1:7" s="312" customFormat="1" ht="9" customHeight="1">
      <c r="A20" s="574" t="s">
        <v>558</v>
      </c>
      <c r="B20" s="425"/>
      <c r="C20" s="426"/>
      <c r="D20" s="426">
        <v>71.470162500000001</v>
      </c>
      <c r="E20" s="426"/>
      <c r="F20" s="426">
        <v>71.470162500000001</v>
      </c>
      <c r="G20" s="576">
        <v>71.470162500000001</v>
      </c>
    </row>
    <row r="21" spans="1:7" s="312" customFormat="1" ht="9" customHeight="1">
      <c r="A21" s="573" t="s">
        <v>117</v>
      </c>
      <c r="B21" s="532" t="s">
        <v>333</v>
      </c>
      <c r="C21" s="533"/>
      <c r="D21" s="533">
        <v>547.83606250000003</v>
      </c>
      <c r="E21" s="533"/>
      <c r="F21" s="533">
        <v>547.83606250000003</v>
      </c>
      <c r="G21" s="575">
        <v>547.83606250000003</v>
      </c>
    </row>
    <row r="22" spans="1:7" s="312" customFormat="1" ht="9" customHeight="1">
      <c r="A22" s="574" t="s">
        <v>559</v>
      </c>
      <c r="B22" s="425"/>
      <c r="C22" s="426"/>
      <c r="D22" s="426">
        <v>547.83606250000003</v>
      </c>
      <c r="E22" s="426"/>
      <c r="F22" s="426">
        <v>547.83606250000003</v>
      </c>
      <c r="G22" s="576">
        <v>547.83606250000003</v>
      </c>
    </row>
    <row r="23" spans="1:7" s="312" customFormat="1" ht="9" customHeight="1">
      <c r="A23" s="573" t="s">
        <v>111</v>
      </c>
      <c r="B23" s="532" t="s">
        <v>452</v>
      </c>
      <c r="C23" s="533"/>
      <c r="D23" s="533"/>
      <c r="E23" s="533">
        <v>14752.021639999999</v>
      </c>
      <c r="F23" s="533">
        <v>14752.021639999999</v>
      </c>
      <c r="G23" s="575">
        <v>14752.021639999999</v>
      </c>
    </row>
    <row r="24" spans="1:7" s="312" customFormat="1" ht="9" customHeight="1">
      <c r="A24" s="573"/>
      <c r="B24" s="532" t="s">
        <v>69</v>
      </c>
      <c r="C24" s="533"/>
      <c r="D24" s="533"/>
      <c r="E24" s="533">
        <v>2909.9305749999999</v>
      </c>
      <c r="F24" s="533">
        <v>2909.9305749999999</v>
      </c>
      <c r="G24" s="575">
        <v>2909.9305749999999</v>
      </c>
    </row>
    <row r="25" spans="1:7" s="312" customFormat="1" ht="9" customHeight="1">
      <c r="A25" s="574" t="s">
        <v>560</v>
      </c>
      <c r="B25" s="425"/>
      <c r="C25" s="426"/>
      <c r="D25" s="426"/>
      <c r="E25" s="426">
        <v>17661.952214999998</v>
      </c>
      <c r="F25" s="426">
        <v>17661.952214999998</v>
      </c>
      <c r="G25" s="576">
        <v>17661.952214999998</v>
      </c>
    </row>
    <row r="26" spans="1:7" s="312" customFormat="1" ht="9" customHeight="1">
      <c r="A26" s="573" t="s">
        <v>90</v>
      </c>
      <c r="B26" s="532" t="s">
        <v>334</v>
      </c>
      <c r="C26" s="533">
        <v>29867.551209999998</v>
      </c>
      <c r="D26" s="533"/>
      <c r="E26" s="533"/>
      <c r="F26" s="533">
        <v>29867.551209999998</v>
      </c>
      <c r="G26" s="575">
        <v>29867.551209999998</v>
      </c>
    </row>
    <row r="27" spans="1:7" s="312" customFormat="1" ht="9" customHeight="1">
      <c r="A27" s="573"/>
      <c r="B27" s="532" t="s">
        <v>335</v>
      </c>
      <c r="C27" s="533">
        <v>111954.14089000001</v>
      </c>
      <c r="D27" s="533"/>
      <c r="E27" s="533"/>
      <c r="F27" s="533">
        <v>111954.14089000001</v>
      </c>
      <c r="G27" s="575">
        <v>111954.14089000001</v>
      </c>
    </row>
    <row r="28" spans="1:7" s="312" customFormat="1" ht="9" customHeight="1">
      <c r="A28" s="573"/>
      <c r="B28" s="532" t="s">
        <v>336</v>
      </c>
      <c r="C28" s="533">
        <v>14420.6811325</v>
      </c>
      <c r="D28" s="533"/>
      <c r="E28" s="533"/>
      <c r="F28" s="533">
        <v>14420.6811325</v>
      </c>
      <c r="G28" s="575">
        <v>14420.6811325</v>
      </c>
    </row>
    <row r="29" spans="1:7" s="312" customFormat="1" ht="9" customHeight="1">
      <c r="A29" s="573"/>
      <c r="B29" s="532" t="s">
        <v>337</v>
      </c>
      <c r="C29" s="533">
        <v>159.85892749999999</v>
      </c>
      <c r="D29" s="533"/>
      <c r="E29" s="533"/>
      <c r="F29" s="533">
        <v>159.85892749999999</v>
      </c>
      <c r="G29" s="575">
        <v>159.85892749999999</v>
      </c>
    </row>
    <row r="30" spans="1:7" s="312" customFormat="1" ht="9" customHeight="1">
      <c r="A30" s="573"/>
      <c r="B30" s="532" t="s">
        <v>338</v>
      </c>
      <c r="C30" s="533">
        <v>30364.9646025</v>
      </c>
      <c r="D30" s="533"/>
      <c r="E30" s="533"/>
      <c r="F30" s="533">
        <v>30364.9646025</v>
      </c>
      <c r="G30" s="575">
        <v>30364.9646025</v>
      </c>
    </row>
    <row r="31" spans="1:7" s="312" customFormat="1" ht="9" customHeight="1">
      <c r="A31" s="573"/>
      <c r="B31" s="532" t="s">
        <v>339</v>
      </c>
      <c r="C31" s="533">
        <v>2383.6727074999999</v>
      </c>
      <c r="D31" s="533"/>
      <c r="E31" s="533"/>
      <c r="F31" s="533">
        <v>2383.6727074999999</v>
      </c>
      <c r="G31" s="575">
        <v>2383.6727074999999</v>
      </c>
    </row>
    <row r="32" spans="1:7" s="312" customFormat="1" ht="9" customHeight="1">
      <c r="A32" s="573"/>
      <c r="B32" s="532" t="s">
        <v>340</v>
      </c>
      <c r="C32" s="533">
        <v>4440.4137000000001</v>
      </c>
      <c r="D32" s="533"/>
      <c r="E32" s="533"/>
      <c r="F32" s="533">
        <v>4440.4137000000001</v>
      </c>
      <c r="G32" s="575">
        <v>4440.4137000000001</v>
      </c>
    </row>
    <row r="33" spans="1:7" s="312" customFormat="1" ht="9" customHeight="1">
      <c r="A33" s="573"/>
      <c r="B33" s="532" t="s">
        <v>341</v>
      </c>
      <c r="C33" s="533">
        <v>430.94616250000001</v>
      </c>
      <c r="D33" s="533"/>
      <c r="E33" s="533"/>
      <c r="F33" s="533">
        <v>430.94616250000001</v>
      </c>
      <c r="G33" s="575">
        <v>430.94616250000001</v>
      </c>
    </row>
    <row r="34" spans="1:7" s="312" customFormat="1" ht="9" customHeight="1">
      <c r="A34" s="573"/>
      <c r="B34" s="532" t="s">
        <v>342</v>
      </c>
      <c r="C34" s="533">
        <v>2248.2354074999998</v>
      </c>
      <c r="D34" s="533"/>
      <c r="E34" s="533"/>
      <c r="F34" s="533">
        <v>2248.2354074999998</v>
      </c>
      <c r="G34" s="575">
        <v>2248.2354074999998</v>
      </c>
    </row>
    <row r="35" spans="1:7" s="312" customFormat="1" ht="8.25" customHeight="1">
      <c r="A35" s="573"/>
      <c r="B35" s="532" t="s">
        <v>343</v>
      </c>
      <c r="C35" s="533">
        <v>189.2242775</v>
      </c>
      <c r="D35" s="533"/>
      <c r="E35" s="533"/>
      <c r="F35" s="533">
        <v>189.2242775</v>
      </c>
      <c r="G35" s="575">
        <v>189.2242775</v>
      </c>
    </row>
    <row r="36" spans="1:7" s="312" customFormat="1" ht="9" customHeight="1">
      <c r="A36" s="573"/>
      <c r="B36" s="532" t="s">
        <v>344</v>
      </c>
      <c r="C36" s="533">
        <v>247.80971</v>
      </c>
      <c r="D36" s="533"/>
      <c r="E36" s="533"/>
      <c r="F36" s="533">
        <v>247.80971</v>
      </c>
      <c r="G36" s="575">
        <v>247.80971</v>
      </c>
    </row>
    <row r="37" spans="1:7" s="312" customFormat="1" ht="9" customHeight="1">
      <c r="A37" s="573"/>
      <c r="B37" s="532" t="s">
        <v>345</v>
      </c>
      <c r="C37" s="533">
        <v>71912.090857499992</v>
      </c>
      <c r="D37" s="533"/>
      <c r="E37" s="533"/>
      <c r="F37" s="533">
        <v>71912.090857499992</v>
      </c>
      <c r="G37" s="575">
        <v>71912.090857499992</v>
      </c>
    </row>
    <row r="38" spans="1:7" s="312" customFormat="1" ht="9" customHeight="1">
      <c r="A38" s="574" t="s">
        <v>561</v>
      </c>
      <c r="B38" s="425"/>
      <c r="C38" s="426">
        <v>268619.58958500001</v>
      </c>
      <c r="D38" s="426"/>
      <c r="E38" s="426"/>
      <c r="F38" s="426">
        <v>268619.58958500001</v>
      </c>
      <c r="G38" s="576">
        <v>268619.58958500001</v>
      </c>
    </row>
    <row r="39" spans="1:7" s="312" customFormat="1" ht="9" customHeight="1">
      <c r="A39" s="573" t="s">
        <v>109</v>
      </c>
      <c r="B39" s="532" t="s">
        <v>229</v>
      </c>
      <c r="C39" s="533"/>
      <c r="D39" s="533"/>
      <c r="E39" s="533">
        <v>5485.1325825000004</v>
      </c>
      <c r="F39" s="533">
        <v>5485.1325825000004</v>
      </c>
      <c r="G39" s="575">
        <v>5485.1325825000004</v>
      </c>
    </row>
    <row r="40" spans="1:7" s="312" customFormat="1" ht="9" customHeight="1">
      <c r="A40" s="574" t="s">
        <v>562</v>
      </c>
      <c r="B40" s="425"/>
      <c r="C40" s="426"/>
      <c r="D40" s="426"/>
      <c r="E40" s="426">
        <v>5485.1325825000004</v>
      </c>
      <c r="F40" s="426">
        <v>5485.1325825000004</v>
      </c>
      <c r="G40" s="576">
        <v>5485.1325825000004</v>
      </c>
    </row>
    <row r="41" spans="1:7" s="312" customFormat="1" ht="9" customHeight="1">
      <c r="A41" s="573" t="s">
        <v>100</v>
      </c>
      <c r="B41" s="532" t="s">
        <v>428</v>
      </c>
      <c r="C41" s="533"/>
      <c r="D41" s="533">
        <v>0</v>
      </c>
      <c r="E41" s="533"/>
      <c r="F41" s="533">
        <v>0</v>
      </c>
      <c r="G41" s="575">
        <v>0</v>
      </c>
    </row>
    <row r="42" spans="1:7" s="312" customFormat="1" ht="9" customHeight="1">
      <c r="A42" s="574" t="s">
        <v>563</v>
      </c>
      <c r="B42" s="425"/>
      <c r="C42" s="426"/>
      <c r="D42" s="426">
        <v>0</v>
      </c>
      <c r="E42" s="426"/>
      <c r="F42" s="426">
        <v>0</v>
      </c>
      <c r="G42" s="576">
        <v>0</v>
      </c>
    </row>
    <row r="43" spans="1:7">
      <c r="A43" s="573" t="s">
        <v>105</v>
      </c>
      <c r="B43" s="532" t="s">
        <v>346</v>
      </c>
      <c r="C43" s="532"/>
      <c r="D43" s="533">
        <v>4496.5459074999999</v>
      </c>
      <c r="E43" s="533"/>
      <c r="F43" s="533">
        <v>4496.5459074999999</v>
      </c>
      <c r="G43" s="575">
        <v>4496.5459074999999</v>
      </c>
    </row>
    <row r="44" spans="1:7">
      <c r="A44" s="574" t="s">
        <v>564</v>
      </c>
      <c r="B44" s="425"/>
      <c r="C44" s="426"/>
      <c r="D44" s="426">
        <v>4496.5459074999999</v>
      </c>
      <c r="E44" s="426"/>
      <c r="F44" s="426">
        <v>4496.5459074999999</v>
      </c>
      <c r="G44" s="576">
        <v>4496.5459074999999</v>
      </c>
    </row>
    <row r="45" spans="1:7">
      <c r="A45" s="410" t="s">
        <v>419</v>
      </c>
      <c r="B45" s="410"/>
      <c r="C45" s="409">
        <v>3073087.4474950004</v>
      </c>
      <c r="D45" s="409">
        <v>972517.10117750021</v>
      </c>
      <c r="E45" s="409">
        <v>511834.05627999996</v>
      </c>
      <c r="F45" s="409">
        <v>4557438.6049525002</v>
      </c>
      <c r="G45" s="540">
        <v>4557438.6049525002</v>
      </c>
    </row>
    <row r="46" spans="1:7">
      <c r="A46" s="410" t="s">
        <v>347</v>
      </c>
      <c r="B46" s="410"/>
      <c r="C46" s="411"/>
      <c r="D46" s="411"/>
      <c r="E46" s="442"/>
      <c r="F46" s="412">
        <f>+'3. Tipo Generación'!D14*1000</f>
        <v>0</v>
      </c>
      <c r="G46" s="541">
        <f>+'4. Tipo Recurso'!$G$21*1000</f>
        <v>0</v>
      </c>
    </row>
    <row r="47" spans="1:7">
      <c r="A47" s="542" t="s">
        <v>348</v>
      </c>
      <c r="B47" s="410"/>
      <c r="C47" s="411"/>
      <c r="D47" s="411"/>
      <c r="E47" s="442"/>
      <c r="F47" s="412"/>
      <c r="G47" s="541"/>
    </row>
    <row r="48" spans="1:7" ht="6.75" customHeight="1">
      <c r="A48" s="543"/>
      <c r="B48" s="543"/>
      <c r="C48" s="543"/>
      <c r="D48" s="543"/>
      <c r="E48" s="543"/>
      <c r="F48" s="543"/>
      <c r="G48" s="543"/>
    </row>
    <row r="49" spans="1:8" ht="23.25" customHeight="1">
      <c r="A49" s="920" t="s">
        <v>460</v>
      </c>
      <c r="B49" s="920"/>
      <c r="C49" s="920"/>
      <c r="D49" s="920"/>
      <c r="E49" s="920"/>
      <c r="F49" s="920"/>
      <c r="G49" s="920"/>
    </row>
    <row r="50" spans="1:8" ht="17.25" customHeight="1">
      <c r="A50" s="589"/>
      <c r="B50" s="589"/>
      <c r="C50" s="589"/>
      <c r="D50" s="589"/>
      <c r="E50" s="589"/>
      <c r="F50" s="589"/>
      <c r="G50" s="589"/>
      <c r="H50" s="46"/>
    </row>
    <row r="51" spans="1:8" ht="17.25" customHeight="1">
      <c r="A51" s="809" t="s">
        <v>617</v>
      </c>
      <c r="B51" s="589"/>
      <c r="C51" s="589"/>
      <c r="D51" s="589"/>
      <c r="E51" s="589"/>
      <c r="F51" s="589"/>
      <c r="G51" s="589"/>
      <c r="H51" s="46"/>
    </row>
    <row r="52" spans="1:8" s="344" customFormat="1" ht="17.25" customHeight="1">
      <c r="A52" s="810" t="s">
        <v>782</v>
      </c>
      <c r="B52" s="589"/>
      <c r="C52" s="589"/>
      <c r="D52" s="589"/>
      <c r="E52" s="589"/>
      <c r="F52" s="589"/>
      <c r="G52" s="589"/>
      <c r="H52" s="46"/>
    </row>
    <row r="53" spans="1:8" ht="17.25" customHeight="1">
      <c r="A53" s="589"/>
      <c r="B53" s="589"/>
      <c r="C53" s="589"/>
      <c r="D53" s="589"/>
      <c r="E53" s="589"/>
      <c r="F53" s="589"/>
      <c r="G53" s="589"/>
      <c r="H53" s="46"/>
    </row>
    <row r="54" spans="1:8" ht="17.25" customHeight="1">
      <c r="A54" s="589"/>
      <c r="B54" s="275"/>
      <c r="C54" s="275"/>
      <c r="D54" s="275"/>
      <c r="E54" s="275"/>
      <c r="F54" s="275"/>
      <c r="G54" s="46"/>
      <c r="H54" s="46"/>
    </row>
    <row r="55" spans="1:8" ht="17.25" customHeight="1">
      <c r="A55" s="589"/>
      <c r="B55" s="275"/>
      <c r="C55" s="275"/>
      <c r="D55" s="275"/>
      <c r="E55" s="275"/>
      <c r="F55" s="275"/>
      <c r="G55" s="46"/>
      <c r="H55" s="46"/>
    </row>
    <row r="56" spans="1:8" ht="22.5" customHeight="1">
      <c r="A56" s="757"/>
      <c r="B56" s="757"/>
      <c r="C56" s="757"/>
      <c r="D56" s="757"/>
      <c r="E56" s="757"/>
      <c r="F56" s="757"/>
      <c r="G56" s="757"/>
    </row>
    <row r="57" spans="1:8" ht="16.5" customHeight="1">
      <c r="A57" s="589"/>
      <c r="B57" s="271"/>
      <c r="C57" s="271"/>
      <c r="D57" s="271"/>
      <c r="E57" s="271"/>
      <c r="F57" s="271"/>
    </row>
    <row r="58" spans="1:8" s="598" customFormat="1" ht="16.5" customHeight="1">
      <c r="A58" s="589"/>
      <c r="B58" s="271"/>
      <c r="C58" s="271"/>
      <c r="D58" s="271"/>
      <c r="E58" s="271"/>
      <c r="F58" s="271"/>
    </row>
    <row r="59" spans="1:8" s="598" customFormat="1" ht="16.5" customHeight="1">
      <c r="A59" s="589"/>
      <c r="B59" s="271"/>
      <c r="C59" s="271"/>
      <c r="D59" s="271"/>
      <c r="E59" s="271"/>
      <c r="F59" s="271"/>
    </row>
    <row r="60" spans="1:8">
      <c r="A60" s="312"/>
      <c r="B60" s="271"/>
      <c r="C60" s="271"/>
      <c r="D60" s="271"/>
      <c r="E60" s="271"/>
      <c r="F60" s="271"/>
    </row>
    <row r="61" spans="1:8">
      <c r="A61" s="312"/>
      <c r="B61" s="271"/>
      <c r="C61" s="271"/>
      <c r="D61" s="271"/>
      <c r="E61" s="271"/>
      <c r="F61" s="271"/>
    </row>
    <row r="62" spans="1:8">
      <c r="A62" s="312"/>
      <c r="B62" s="271"/>
      <c r="C62" s="271"/>
      <c r="D62" s="271"/>
      <c r="E62" s="271"/>
      <c r="F62" s="271"/>
    </row>
    <row r="63" spans="1:8">
      <c r="A63" s="312"/>
      <c r="B63" s="271"/>
      <c r="C63" s="271"/>
      <c r="D63" s="271"/>
      <c r="E63" s="271"/>
      <c r="F63" s="271"/>
    </row>
    <row r="64" spans="1:8">
      <c r="A64" s="312"/>
      <c r="B64" s="271"/>
      <c r="C64" s="271"/>
      <c r="D64" s="271"/>
      <c r="E64" s="271"/>
      <c r="F64" s="271"/>
    </row>
    <row r="65" spans="1:1">
      <c r="A65" s="312"/>
    </row>
    <row r="66" spans="1:1">
      <c r="A66" s="312"/>
    </row>
    <row r="67" spans="1:1">
      <c r="A67" s="312"/>
    </row>
  </sheetData>
  <mergeCells count="6">
    <mergeCell ref="A49:G49"/>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10" zoomScaleNormal="100" zoomScaleSheetLayoutView="110" zoomScalePageLayoutView="110" workbookViewId="0">
      <selection activeCell="S15" sqref="S15"/>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52" t="s">
        <v>351</v>
      </c>
      <c r="B1" s="553"/>
      <c r="C1" s="553"/>
      <c r="D1" s="553"/>
      <c r="E1" s="553"/>
      <c r="F1" s="553"/>
    </row>
    <row r="2" spans="1:12" s="312" customFormat="1" ht="11.25" customHeight="1">
      <c r="A2" s="921" t="s">
        <v>248</v>
      </c>
      <c r="B2" s="924" t="s">
        <v>54</v>
      </c>
      <c r="C2" s="924" t="s">
        <v>352</v>
      </c>
      <c r="D2" s="924"/>
      <c r="E2" s="924"/>
      <c r="F2" s="927"/>
      <c r="G2" s="359"/>
      <c r="H2" s="359"/>
      <c r="I2" s="359"/>
      <c r="J2" s="359"/>
      <c r="K2" s="359"/>
    </row>
    <row r="3" spans="1:12" s="312" customFormat="1" ht="11.25" customHeight="1">
      <c r="A3" s="922"/>
      <c r="B3" s="925"/>
      <c r="C3" s="413" t="str">
        <f>UPPER('1. Resumen'!Q4)&amp;" "&amp;'1. Resumen'!Q5</f>
        <v>ENERO 2021</v>
      </c>
      <c r="D3" s="414" t="str">
        <f>UPPER('1. Resumen'!Q4)&amp;" "&amp;'1. Resumen'!Q5-1</f>
        <v>ENERO 2020</v>
      </c>
      <c r="E3" s="414">
        <v>2020</v>
      </c>
      <c r="F3" s="544" t="s">
        <v>619</v>
      </c>
      <c r="G3" s="360"/>
      <c r="H3" s="360"/>
      <c r="I3" s="360"/>
      <c r="J3" s="360"/>
      <c r="K3" s="360"/>
      <c r="L3" s="359"/>
    </row>
    <row r="4" spans="1:12" s="312" customFormat="1" ht="11.25" customHeight="1">
      <c r="A4" s="922"/>
      <c r="B4" s="925"/>
      <c r="C4" s="416">
        <f>+'8. Max Potencia'!D8</f>
        <v>44204.822916666664</v>
      </c>
      <c r="D4" s="416">
        <f>+'8. Max Potencia'!E8</f>
        <v>43854.8125</v>
      </c>
      <c r="E4" s="416">
        <f>+'8. Max Potencia'!G8</f>
        <v>44204.822916666664</v>
      </c>
      <c r="F4" s="545" t="s">
        <v>349</v>
      </c>
      <c r="G4" s="361"/>
      <c r="H4" s="361"/>
      <c r="I4" s="362"/>
      <c r="J4" s="362"/>
      <c r="K4" s="362"/>
      <c r="L4" s="359"/>
    </row>
    <row r="5" spans="1:12" s="312" customFormat="1" ht="11.25" customHeight="1">
      <c r="A5" s="923"/>
      <c r="B5" s="926"/>
      <c r="C5" s="547">
        <f>+'8. Max Potencia'!D9</f>
        <v>44204.822916666664</v>
      </c>
      <c r="D5" s="547">
        <f>+'8. Max Potencia'!E9</f>
        <v>43854.8125</v>
      </c>
      <c r="E5" s="547">
        <f>+'8. Max Potencia'!G9</f>
        <v>44204.822916666664</v>
      </c>
      <c r="F5" s="548" t="s">
        <v>350</v>
      </c>
      <c r="G5" s="361"/>
      <c r="H5" s="361"/>
      <c r="I5" s="361"/>
      <c r="J5" s="361"/>
      <c r="K5" s="361"/>
      <c r="L5" s="363"/>
    </row>
    <row r="6" spans="1:12" s="312" customFormat="1" ht="9" customHeight="1">
      <c r="A6" s="579" t="s">
        <v>119</v>
      </c>
      <c r="B6" s="357" t="s">
        <v>86</v>
      </c>
      <c r="C6" s="358">
        <v>0</v>
      </c>
      <c r="D6" s="358">
        <v>0</v>
      </c>
      <c r="E6" s="358">
        <v>0</v>
      </c>
      <c r="F6" s="758" t="str">
        <f>+IF(D6=0,"",C6/D6-1)</f>
        <v/>
      </c>
      <c r="G6" s="361"/>
      <c r="H6" s="607"/>
      <c r="I6" s="607"/>
      <c r="J6" s="361"/>
      <c r="K6" s="361"/>
      <c r="L6" s="364"/>
    </row>
    <row r="7" spans="1:12" s="312" customFormat="1" ht="9" customHeight="1">
      <c r="A7" s="574" t="s">
        <v>511</v>
      </c>
      <c r="B7" s="425"/>
      <c r="C7" s="426">
        <v>0</v>
      </c>
      <c r="D7" s="426">
        <v>0</v>
      </c>
      <c r="E7" s="426">
        <v>0</v>
      </c>
      <c r="F7" s="759" t="str">
        <f t="shared" ref="F7:F70" si="0">+IF(D7=0,"",C7/D7-1)</f>
        <v/>
      </c>
      <c r="G7" s="361"/>
      <c r="H7" s="607"/>
      <c r="I7" s="607"/>
      <c r="J7" s="361"/>
      <c r="K7" s="361"/>
      <c r="L7" s="365"/>
    </row>
    <row r="8" spans="1:12" s="312" customFormat="1" ht="9" customHeight="1">
      <c r="A8" s="579" t="s">
        <v>118</v>
      </c>
      <c r="B8" s="357" t="s">
        <v>63</v>
      </c>
      <c r="C8" s="358">
        <v>19.876760000000001</v>
      </c>
      <c r="D8" s="358">
        <v>12.75592</v>
      </c>
      <c r="E8" s="358">
        <v>19.876760000000001</v>
      </c>
      <c r="F8" s="758">
        <f t="shared" si="0"/>
        <v>0.55823805730986087</v>
      </c>
      <c r="G8" s="361"/>
      <c r="H8" s="607"/>
      <c r="I8" s="607"/>
      <c r="J8" s="361"/>
      <c r="K8" s="361"/>
      <c r="L8" s="366"/>
    </row>
    <row r="9" spans="1:12" s="312" customFormat="1" ht="9" customHeight="1">
      <c r="A9" s="574" t="s">
        <v>512</v>
      </c>
      <c r="B9" s="425"/>
      <c r="C9" s="426">
        <v>19.876760000000001</v>
      </c>
      <c r="D9" s="426">
        <v>12.75592</v>
      </c>
      <c r="E9" s="426">
        <v>19.876760000000001</v>
      </c>
      <c r="F9" s="759">
        <f t="shared" si="0"/>
        <v>0.55823805730986087</v>
      </c>
      <c r="G9" s="361"/>
      <c r="H9" s="607"/>
      <c r="I9" s="607"/>
      <c r="J9" s="361"/>
      <c r="K9" s="361"/>
      <c r="L9" s="365"/>
    </row>
    <row r="10" spans="1:12" s="312" customFormat="1" ht="9" customHeight="1">
      <c r="A10" s="573" t="s">
        <v>106</v>
      </c>
      <c r="B10" s="532" t="s">
        <v>83</v>
      </c>
      <c r="C10" s="533">
        <v>14.8032</v>
      </c>
      <c r="D10" s="533">
        <v>15.36608</v>
      </c>
      <c r="E10" s="533">
        <v>14.8032</v>
      </c>
      <c r="F10" s="760">
        <f t="shared" si="0"/>
        <v>-3.6631333430517055E-2</v>
      </c>
      <c r="G10" s="361"/>
      <c r="H10" s="607"/>
      <c r="I10" s="607"/>
      <c r="J10" s="361"/>
      <c r="K10" s="361"/>
      <c r="L10" s="365"/>
    </row>
    <row r="11" spans="1:12" s="312" customFormat="1" ht="9" customHeight="1">
      <c r="A11" s="574" t="s">
        <v>513</v>
      </c>
      <c r="B11" s="425"/>
      <c r="C11" s="426">
        <v>14.8032</v>
      </c>
      <c r="D11" s="426">
        <v>15.36608</v>
      </c>
      <c r="E11" s="426">
        <v>14.8032</v>
      </c>
      <c r="F11" s="759">
        <f t="shared" si="0"/>
        <v>-3.6631333430517055E-2</v>
      </c>
      <c r="G11" s="361"/>
      <c r="H11" s="607"/>
      <c r="I11" s="607"/>
      <c r="J11" s="361"/>
      <c r="K11" s="361"/>
      <c r="L11" s="365"/>
    </row>
    <row r="12" spans="1:12" s="312" customFormat="1" ht="9" customHeight="1">
      <c r="A12" s="573" t="s">
        <v>415</v>
      </c>
      <c r="B12" s="532" t="s">
        <v>417</v>
      </c>
      <c r="C12" s="533">
        <v>20.57124</v>
      </c>
      <c r="D12" s="533">
        <v>16.092680000000001</v>
      </c>
      <c r="E12" s="533">
        <v>20.57124</v>
      </c>
      <c r="F12" s="760">
        <f t="shared" si="0"/>
        <v>0.27829795907207489</v>
      </c>
      <c r="G12" s="361"/>
      <c r="H12" s="607"/>
      <c r="I12" s="607"/>
      <c r="J12" s="361"/>
      <c r="K12" s="361"/>
      <c r="L12" s="365"/>
    </row>
    <row r="13" spans="1:12" s="312" customFormat="1" ht="9" customHeight="1">
      <c r="A13" s="574" t="s">
        <v>514</v>
      </c>
      <c r="B13" s="425"/>
      <c r="C13" s="426">
        <v>20.57124</v>
      </c>
      <c r="D13" s="426">
        <v>16.092680000000001</v>
      </c>
      <c r="E13" s="426">
        <v>20.57124</v>
      </c>
      <c r="F13" s="759">
        <f t="shared" si="0"/>
        <v>0.27829795907207489</v>
      </c>
      <c r="G13" s="361"/>
      <c r="H13" s="607"/>
      <c r="I13" s="607"/>
      <c r="J13" s="361"/>
      <c r="K13" s="361"/>
      <c r="L13" s="365"/>
    </row>
    <row r="14" spans="1:12" s="312" customFormat="1" ht="9" customHeight="1">
      <c r="A14" s="573" t="s">
        <v>573</v>
      </c>
      <c r="B14" s="532" t="s">
        <v>75</v>
      </c>
      <c r="C14" s="533">
        <v>0.89524000000000004</v>
      </c>
      <c r="D14" s="533">
        <v>1.1613800000000001</v>
      </c>
      <c r="E14" s="533">
        <v>0.89524000000000004</v>
      </c>
      <c r="F14" s="760">
        <f t="shared" si="0"/>
        <v>-0.22915841498906475</v>
      </c>
      <c r="G14" s="361"/>
      <c r="H14" s="607"/>
      <c r="I14" s="607"/>
      <c r="J14" s="361"/>
      <c r="K14" s="361"/>
      <c r="L14" s="365"/>
    </row>
    <row r="15" spans="1:12" s="312" customFormat="1" ht="9" customHeight="1">
      <c r="A15" s="574" t="s">
        <v>577</v>
      </c>
      <c r="B15" s="425"/>
      <c r="C15" s="426">
        <v>0.89524000000000004</v>
      </c>
      <c r="D15" s="426">
        <v>1.1613800000000001</v>
      </c>
      <c r="E15" s="426">
        <v>0.89524000000000004</v>
      </c>
      <c r="F15" s="759">
        <f t="shared" si="0"/>
        <v>-0.22915841498906475</v>
      </c>
      <c r="G15" s="361"/>
      <c r="H15" s="607"/>
      <c r="I15" s="607"/>
      <c r="J15" s="361"/>
      <c r="K15" s="361"/>
      <c r="L15" s="365"/>
    </row>
    <row r="16" spans="1:12" s="312" customFormat="1" ht="9" customHeight="1">
      <c r="A16" s="573" t="s">
        <v>448</v>
      </c>
      <c r="B16" s="532" t="s">
        <v>455</v>
      </c>
      <c r="C16" s="533">
        <v>9.21875</v>
      </c>
      <c r="D16" s="533">
        <v>8.25</v>
      </c>
      <c r="E16" s="533">
        <v>9.21875</v>
      </c>
      <c r="F16" s="760">
        <f t="shared" si="0"/>
        <v>0.11742424242424243</v>
      </c>
      <c r="G16" s="361"/>
      <c r="H16" s="607"/>
      <c r="I16" s="607"/>
      <c r="J16" s="361"/>
      <c r="K16" s="361"/>
      <c r="L16" s="365"/>
    </row>
    <row r="17" spans="1:16" s="312" customFormat="1" ht="9" customHeight="1">
      <c r="A17" s="574" t="s">
        <v>515</v>
      </c>
      <c r="B17" s="425"/>
      <c r="C17" s="426">
        <v>9.21875</v>
      </c>
      <c r="D17" s="426">
        <v>8.25</v>
      </c>
      <c r="E17" s="426">
        <v>9.21875</v>
      </c>
      <c r="F17" s="759">
        <f t="shared" si="0"/>
        <v>0.11742424242424243</v>
      </c>
      <c r="G17" s="361"/>
      <c r="H17" s="607"/>
      <c r="I17" s="607"/>
      <c r="J17" s="361"/>
      <c r="K17" s="361"/>
      <c r="L17" s="366"/>
    </row>
    <row r="18" spans="1:16" s="312" customFormat="1" ht="9" customHeight="1">
      <c r="A18" s="573" t="s">
        <v>94</v>
      </c>
      <c r="B18" s="532" t="s">
        <v>279</v>
      </c>
      <c r="C18" s="533">
        <v>215.75957</v>
      </c>
      <c r="D18" s="533">
        <v>208.65701999999999</v>
      </c>
      <c r="E18" s="533">
        <v>215.75957</v>
      </c>
      <c r="F18" s="760">
        <f t="shared" si="0"/>
        <v>3.4039353193101363E-2</v>
      </c>
      <c r="G18" s="361"/>
      <c r="H18" s="607"/>
      <c r="I18" s="607"/>
      <c r="J18" s="361"/>
      <c r="K18" s="361"/>
      <c r="L18" s="366"/>
    </row>
    <row r="19" spans="1:16" s="312" customFormat="1" ht="9" customHeight="1">
      <c r="A19" s="574" t="s">
        <v>516</v>
      </c>
      <c r="B19" s="425"/>
      <c r="C19" s="426">
        <v>215.75957</v>
      </c>
      <c r="D19" s="426">
        <v>208.65701999999999</v>
      </c>
      <c r="E19" s="426">
        <v>215.75957</v>
      </c>
      <c r="F19" s="759">
        <f t="shared" si="0"/>
        <v>3.4039353193101363E-2</v>
      </c>
      <c r="G19" s="361"/>
      <c r="H19" s="607"/>
      <c r="I19" s="607"/>
      <c r="J19" s="361"/>
      <c r="K19" s="361"/>
      <c r="L19" s="366"/>
    </row>
    <row r="20" spans="1:16" s="312" customFormat="1" ht="9" customHeight="1">
      <c r="A20" s="573" t="s">
        <v>576</v>
      </c>
      <c r="B20" s="532" t="s">
        <v>321</v>
      </c>
      <c r="C20" s="533">
        <v>18.80396</v>
      </c>
      <c r="D20" s="533">
        <v>19.085319999999999</v>
      </c>
      <c r="E20" s="533">
        <v>18.80396</v>
      </c>
      <c r="F20" s="760">
        <f t="shared" si="0"/>
        <v>-1.4742220722523847E-2</v>
      </c>
      <c r="G20" s="361"/>
      <c r="H20" s="607"/>
      <c r="I20" s="607"/>
      <c r="J20" s="361"/>
      <c r="K20" s="361"/>
      <c r="L20" s="361"/>
      <c r="M20" s="361"/>
      <c r="N20" s="361"/>
      <c r="O20" s="361"/>
      <c r="P20" s="361"/>
    </row>
    <row r="21" spans="1:16" s="312" customFormat="1" ht="9" customHeight="1">
      <c r="A21" s="574" t="s">
        <v>578</v>
      </c>
      <c r="B21" s="425"/>
      <c r="C21" s="426">
        <v>18.80396</v>
      </c>
      <c r="D21" s="426">
        <v>19.085319999999999</v>
      </c>
      <c r="E21" s="426">
        <v>18.80396</v>
      </c>
      <c r="F21" s="759">
        <f t="shared" si="0"/>
        <v>-1.4742220722523847E-2</v>
      </c>
      <c r="G21" s="361"/>
      <c r="H21" s="607"/>
      <c r="I21" s="607"/>
      <c r="J21" s="361"/>
      <c r="K21" s="361"/>
      <c r="L21" s="361"/>
      <c r="M21" s="361"/>
      <c r="N21" s="361"/>
      <c r="O21" s="361"/>
      <c r="P21" s="361"/>
    </row>
    <row r="22" spans="1:16" s="312" customFormat="1" ht="9" customHeight="1">
      <c r="A22" s="573" t="s">
        <v>234</v>
      </c>
      <c r="B22" s="532" t="s">
        <v>280</v>
      </c>
      <c r="C22" s="533">
        <v>0</v>
      </c>
      <c r="D22" s="533">
        <v>0</v>
      </c>
      <c r="E22" s="533">
        <v>0</v>
      </c>
      <c r="F22" s="760" t="str">
        <f t="shared" si="0"/>
        <v/>
      </c>
      <c r="G22" s="361"/>
      <c r="H22" s="607"/>
      <c r="I22" s="607"/>
      <c r="J22" s="361"/>
      <c r="K22" s="361"/>
      <c r="L22" s="365"/>
    </row>
    <row r="23" spans="1:16" s="312" customFormat="1" ht="9" customHeight="1">
      <c r="A23" s="574" t="s">
        <v>517</v>
      </c>
      <c r="B23" s="425"/>
      <c r="C23" s="426">
        <v>0</v>
      </c>
      <c r="D23" s="426">
        <v>0</v>
      </c>
      <c r="E23" s="426">
        <v>0</v>
      </c>
      <c r="F23" s="759" t="str">
        <f t="shared" si="0"/>
        <v/>
      </c>
      <c r="G23" s="361"/>
      <c r="H23" s="607"/>
      <c r="I23" s="607"/>
      <c r="J23" s="361"/>
      <c r="K23" s="361"/>
      <c r="L23" s="365"/>
    </row>
    <row r="24" spans="1:16" s="312" customFormat="1" ht="9" customHeight="1">
      <c r="A24" s="573" t="s">
        <v>93</v>
      </c>
      <c r="B24" s="532" t="s">
        <v>281</v>
      </c>
      <c r="C24" s="533">
        <v>0</v>
      </c>
      <c r="D24" s="533">
        <v>153.34129999999999</v>
      </c>
      <c r="E24" s="533">
        <v>0</v>
      </c>
      <c r="F24" s="760">
        <f t="shared" si="0"/>
        <v>-1</v>
      </c>
      <c r="G24" s="361"/>
      <c r="H24" s="607"/>
      <c r="I24" s="607"/>
      <c r="J24" s="361"/>
      <c r="K24" s="361"/>
      <c r="L24" s="365"/>
    </row>
    <row r="25" spans="1:16" s="312" customFormat="1" ht="9" customHeight="1">
      <c r="A25" s="573"/>
      <c r="B25" s="532" t="s">
        <v>282</v>
      </c>
      <c r="C25" s="533">
        <v>42.658540000000002</v>
      </c>
      <c r="D25" s="533">
        <v>42.576860000000003</v>
      </c>
      <c r="E25" s="533">
        <v>42.658540000000002</v>
      </c>
      <c r="F25" s="760">
        <f t="shared" si="0"/>
        <v>1.918412959527771E-3</v>
      </c>
      <c r="G25" s="361"/>
      <c r="H25" s="607"/>
      <c r="I25" s="607"/>
      <c r="J25" s="361"/>
      <c r="K25" s="361"/>
      <c r="L25" s="365"/>
    </row>
    <row r="26" spans="1:16" s="312" customFormat="1" ht="9" customHeight="1">
      <c r="A26" s="574" t="s">
        <v>518</v>
      </c>
      <c r="B26" s="425"/>
      <c r="C26" s="426">
        <v>42.658540000000002</v>
      </c>
      <c r="D26" s="426">
        <v>195.91816</v>
      </c>
      <c r="E26" s="426">
        <v>42.658540000000002</v>
      </c>
      <c r="F26" s="759">
        <f t="shared" si="0"/>
        <v>-0.78226347164550747</v>
      </c>
      <c r="G26" s="361"/>
      <c r="H26" s="607"/>
      <c r="I26" s="607"/>
      <c r="J26" s="361"/>
      <c r="K26" s="361"/>
      <c r="L26" s="365"/>
    </row>
    <row r="27" spans="1:16" s="312" customFormat="1" ht="9" customHeight="1">
      <c r="A27" s="573" t="s">
        <v>91</v>
      </c>
      <c r="B27" s="532" t="s">
        <v>283</v>
      </c>
      <c r="C27" s="533">
        <v>1.65076</v>
      </c>
      <c r="D27" s="533">
        <v>1.65289</v>
      </c>
      <c r="E27" s="533">
        <v>1.65076</v>
      </c>
      <c r="F27" s="760">
        <f t="shared" si="0"/>
        <v>-1.2886519974105726E-3</v>
      </c>
      <c r="G27" s="361"/>
      <c r="H27" s="607"/>
      <c r="I27" s="607"/>
      <c r="J27" s="361"/>
      <c r="K27" s="361"/>
      <c r="L27" s="365"/>
    </row>
    <row r="28" spans="1:16" s="312" customFormat="1" ht="9" customHeight="1">
      <c r="A28" s="573"/>
      <c r="B28" s="532" t="s">
        <v>284</v>
      </c>
      <c r="C28" s="533">
        <v>0.56249000000000005</v>
      </c>
      <c r="D28" s="533">
        <v>0.56835999999999998</v>
      </c>
      <c r="E28" s="533">
        <v>0.56249000000000005</v>
      </c>
      <c r="F28" s="760">
        <f t="shared" si="0"/>
        <v>-1.0327961151382792E-2</v>
      </c>
      <c r="G28" s="361"/>
      <c r="H28" s="607"/>
      <c r="I28" s="607"/>
      <c r="J28" s="361"/>
      <c r="K28" s="361"/>
      <c r="L28" s="365"/>
    </row>
    <row r="29" spans="1:16" s="312" customFormat="1" ht="9" customHeight="1">
      <c r="A29" s="573"/>
      <c r="B29" s="532" t="s">
        <v>285</v>
      </c>
      <c r="C29" s="533">
        <v>4.6688700000000001</v>
      </c>
      <c r="D29" s="533">
        <v>4.6181300000000007</v>
      </c>
      <c r="E29" s="533">
        <v>4.6688700000000001</v>
      </c>
      <c r="F29" s="760">
        <f t="shared" si="0"/>
        <v>1.0987131154817975E-2</v>
      </c>
      <c r="G29" s="361"/>
      <c r="H29" s="607"/>
      <c r="I29" s="607"/>
      <c r="J29" s="361"/>
      <c r="K29" s="361"/>
      <c r="L29" s="367"/>
    </row>
    <row r="30" spans="1:16" s="312" customFormat="1" ht="9" customHeight="1">
      <c r="A30" s="573"/>
      <c r="B30" s="532" t="s">
        <v>286</v>
      </c>
      <c r="C30" s="533">
        <v>14.582380000000001</v>
      </c>
      <c r="D30" s="533">
        <v>14.085570000000001</v>
      </c>
      <c r="E30" s="533">
        <v>14.582380000000001</v>
      </c>
      <c r="F30" s="760">
        <f t="shared" si="0"/>
        <v>3.5270848109093311E-2</v>
      </c>
      <c r="G30" s="361"/>
      <c r="H30" s="607"/>
      <c r="I30" s="607"/>
      <c r="J30" s="361"/>
      <c r="K30" s="361"/>
      <c r="L30" s="365"/>
    </row>
    <row r="31" spans="1:16" s="312" customFormat="1" ht="9" customHeight="1">
      <c r="A31" s="573"/>
      <c r="B31" s="532" t="s">
        <v>287</v>
      </c>
      <c r="C31" s="533">
        <v>94.758110000000002</v>
      </c>
      <c r="D31" s="533">
        <v>141.22718</v>
      </c>
      <c r="E31" s="533">
        <v>94.758110000000002</v>
      </c>
      <c r="F31" s="760">
        <f t="shared" si="0"/>
        <v>-0.32903772489120009</v>
      </c>
      <c r="G31" s="361"/>
      <c r="H31" s="607"/>
      <c r="I31" s="607"/>
      <c r="J31" s="361"/>
      <c r="K31" s="361"/>
      <c r="L31" s="365"/>
    </row>
    <row r="32" spans="1:16" s="312" customFormat="1" ht="9" customHeight="1">
      <c r="A32" s="573"/>
      <c r="B32" s="532" t="s">
        <v>288</v>
      </c>
      <c r="C32" s="533">
        <v>8.1988000000000003</v>
      </c>
      <c r="D32" s="533">
        <v>8.5780499999999993</v>
      </c>
      <c r="E32" s="533">
        <v>8.1988000000000003</v>
      </c>
      <c r="F32" s="760">
        <f t="shared" si="0"/>
        <v>-4.4211679810679416E-2</v>
      </c>
      <c r="G32" s="361"/>
      <c r="H32" s="607"/>
      <c r="I32" s="607"/>
      <c r="J32" s="361"/>
      <c r="K32" s="361"/>
      <c r="L32" s="365"/>
    </row>
    <row r="33" spans="1:12" s="312" customFormat="1" ht="9" customHeight="1">
      <c r="A33" s="573"/>
      <c r="B33" s="532" t="s">
        <v>289</v>
      </c>
      <c r="C33" s="533">
        <v>0</v>
      </c>
      <c r="D33" s="533">
        <v>0</v>
      </c>
      <c r="E33" s="533">
        <v>0</v>
      </c>
      <c r="F33" s="760" t="str">
        <f t="shared" si="0"/>
        <v/>
      </c>
      <c r="G33" s="361"/>
      <c r="H33" s="607"/>
      <c r="I33" s="607"/>
      <c r="J33" s="361"/>
      <c r="K33" s="361"/>
      <c r="L33" s="367"/>
    </row>
    <row r="34" spans="1:12" s="312" customFormat="1" ht="9" customHeight="1">
      <c r="A34" s="573"/>
      <c r="B34" s="532" t="s">
        <v>290</v>
      </c>
      <c r="C34" s="533">
        <v>0</v>
      </c>
      <c r="D34" s="533">
        <v>0</v>
      </c>
      <c r="E34" s="533">
        <v>0</v>
      </c>
      <c r="F34" s="760" t="str">
        <f t="shared" si="0"/>
        <v/>
      </c>
      <c r="G34" s="361"/>
      <c r="H34" s="607"/>
      <c r="I34" s="607"/>
      <c r="J34" s="361"/>
      <c r="K34" s="361"/>
      <c r="L34" s="365"/>
    </row>
    <row r="35" spans="1:12" s="312" customFormat="1" ht="9" customHeight="1">
      <c r="A35" s="573"/>
      <c r="B35" s="532" t="s">
        <v>291</v>
      </c>
      <c r="C35" s="533">
        <v>0</v>
      </c>
      <c r="D35" s="533">
        <v>0</v>
      </c>
      <c r="E35" s="533">
        <v>0</v>
      </c>
      <c r="F35" s="760" t="str">
        <f t="shared" si="0"/>
        <v/>
      </c>
      <c r="G35" s="361"/>
      <c r="H35" s="607"/>
      <c r="I35" s="607"/>
      <c r="J35" s="361"/>
      <c r="K35" s="361"/>
      <c r="L35" s="365"/>
    </row>
    <row r="36" spans="1:12" s="312" customFormat="1" ht="9" customHeight="1">
      <c r="A36" s="574" t="s">
        <v>519</v>
      </c>
      <c r="B36" s="425"/>
      <c r="C36" s="426">
        <v>124.42141000000001</v>
      </c>
      <c r="D36" s="426">
        <v>170.73017999999999</v>
      </c>
      <c r="E36" s="426">
        <v>124.42141000000001</v>
      </c>
      <c r="F36" s="759">
        <f t="shared" si="0"/>
        <v>-0.27123950785971163</v>
      </c>
      <c r="G36" s="361"/>
      <c r="H36" s="607"/>
      <c r="I36" s="607"/>
      <c r="J36" s="361"/>
      <c r="K36" s="361"/>
      <c r="L36" s="365"/>
    </row>
    <row r="37" spans="1:12" s="312" customFormat="1" ht="9" customHeight="1">
      <c r="A37" s="573" t="s">
        <v>112</v>
      </c>
      <c r="B37" s="532" t="s">
        <v>70</v>
      </c>
      <c r="C37" s="533">
        <v>2.53803</v>
      </c>
      <c r="D37" s="533">
        <v>4.2692199999999998</v>
      </c>
      <c r="E37" s="533">
        <v>2.53803</v>
      </c>
      <c r="F37" s="760">
        <f t="shared" si="0"/>
        <v>-0.40550498685942626</v>
      </c>
      <c r="G37" s="361"/>
      <c r="H37" s="607"/>
      <c r="I37" s="607"/>
      <c r="J37" s="361"/>
      <c r="K37" s="361"/>
      <c r="L37" s="365"/>
    </row>
    <row r="38" spans="1:12" s="312" customFormat="1" ht="9" customHeight="1">
      <c r="A38" s="574" t="s">
        <v>520</v>
      </c>
      <c r="B38" s="425"/>
      <c r="C38" s="426">
        <v>2.53803</v>
      </c>
      <c r="D38" s="426">
        <v>4.2692199999999998</v>
      </c>
      <c r="E38" s="426">
        <v>2.53803</v>
      </c>
      <c r="F38" s="759">
        <f t="shared" si="0"/>
        <v>-0.40550498685942626</v>
      </c>
      <c r="G38" s="361"/>
      <c r="H38" s="607"/>
      <c r="I38" s="607"/>
      <c r="J38" s="361"/>
      <c r="K38" s="361"/>
      <c r="L38" s="365"/>
    </row>
    <row r="39" spans="1:12" s="312" customFormat="1" ht="9" customHeight="1">
      <c r="A39" s="573" t="s">
        <v>92</v>
      </c>
      <c r="B39" s="532" t="s">
        <v>292</v>
      </c>
      <c r="C39" s="533">
        <v>166.58982</v>
      </c>
      <c r="D39" s="533">
        <v>164.42846</v>
      </c>
      <c r="E39" s="533">
        <v>166.58982</v>
      </c>
      <c r="F39" s="760">
        <f t="shared" si="0"/>
        <v>1.3144683104129307E-2</v>
      </c>
      <c r="G39" s="361"/>
      <c r="H39" s="607"/>
      <c r="I39" s="607"/>
      <c r="J39" s="361"/>
      <c r="K39" s="361"/>
      <c r="L39" s="365"/>
    </row>
    <row r="40" spans="1:12" s="312" customFormat="1" ht="9" customHeight="1">
      <c r="A40" s="574" t="s">
        <v>521</v>
      </c>
      <c r="B40" s="425"/>
      <c r="C40" s="426">
        <v>166.58982</v>
      </c>
      <c r="D40" s="426">
        <v>164.42846</v>
      </c>
      <c r="E40" s="426">
        <v>166.58982</v>
      </c>
      <c r="F40" s="759">
        <f t="shared" si="0"/>
        <v>1.3144683104129307E-2</v>
      </c>
      <c r="G40" s="361"/>
      <c r="H40" s="607"/>
      <c r="I40" s="607"/>
      <c r="J40" s="361"/>
      <c r="K40" s="361"/>
      <c r="L40" s="365"/>
    </row>
    <row r="41" spans="1:12" s="312" customFormat="1" ht="18" customHeight="1">
      <c r="A41" s="573" t="s">
        <v>101</v>
      </c>
      <c r="B41" s="532" t="s">
        <v>293</v>
      </c>
      <c r="C41" s="533">
        <v>16.602</v>
      </c>
      <c r="D41" s="533">
        <v>16.398</v>
      </c>
      <c r="E41" s="533">
        <v>16.602</v>
      </c>
      <c r="F41" s="760">
        <f t="shared" si="0"/>
        <v>1.244054152945484E-2</v>
      </c>
      <c r="G41" s="361"/>
      <c r="H41" s="607"/>
      <c r="I41" s="607"/>
      <c r="J41" s="361"/>
      <c r="K41" s="361"/>
      <c r="L41" s="365"/>
    </row>
    <row r="42" spans="1:12" s="312" customFormat="1" ht="9" customHeight="1">
      <c r="A42" s="573"/>
      <c r="B42" s="532" t="s">
        <v>294</v>
      </c>
      <c r="C42" s="533">
        <v>9.5640000000000001</v>
      </c>
      <c r="D42" s="533">
        <v>10.356</v>
      </c>
      <c r="E42" s="533">
        <v>9.5640000000000001</v>
      </c>
      <c r="F42" s="760">
        <f t="shared" si="0"/>
        <v>-7.6477404403244464E-2</v>
      </c>
      <c r="G42" s="361"/>
      <c r="H42" s="607"/>
      <c r="I42" s="607"/>
      <c r="J42" s="361"/>
      <c r="K42" s="361"/>
      <c r="L42" s="365"/>
    </row>
    <row r="43" spans="1:12" s="312" customFormat="1" ht="9" customHeight="1">
      <c r="A43" s="573"/>
      <c r="B43" s="532" t="s">
        <v>295</v>
      </c>
      <c r="C43" s="533">
        <v>22.52505</v>
      </c>
      <c r="D43" s="533">
        <v>0</v>
      </c>
      <c r="E43" s="533">
        <v>22.52505</v>
      </c>
      <c r="F43" s="760" t="str">
        <f t="shared" si="0"/>
        <v/>
      </c>
      <c r="G43" s="361"/>
      <c r="H43" s="607"/>
      <c r="I43" s="607"/>
      <c r="J43" s="361"/>
      <c r="K43" s="361"/>
      <c r="L43" s="365"/>
    </row>
    <row r="44" spans="1:12" s="312" customFormat="1" ht="9" customHeight="1">
      <c r="A44" s="574" t="s">
        <v>522</v>
      </c>
      <c r="B44" s="425"/>
      <c r="C44" s="426">
        <v>48.691050000000004</v>
      </c>
      <c r="D44" s="426">
        <v>26.753999999999998</v>
      </c>
      <c r="E44" s="426">
        <v>48.691050000000004</v>
      </c>
      <c r="F44" s="759">
        <f t="shared" si="0"/>
        <v>0.81995402556627073</v>
      </c>
      <c r="G44" s="361"/>
      <c r="H44" s="607"/>
      <c r="I44" s="607"/>
      <c r="J44" s="361"/>
      <c r="K44" s="361"/>
      <c r="L44" s="365"/>
    </row>
    <row r="45" spans="1:12" s="312" customFormat="1" ht="11.4" customHeight="1">
      <c r="A45" s="573" t="s">
        <v>113</v>
      </c>
      <c r="B45" s="532" t="s">
        <v>73</v>
      </c>
      <c r="C45" s="533">
        <v>3.5196800000000001</v>
      </c>
      <c r="D45" s="533">
        <v>3.4600599999999995</v>
      </c>
      <c r="E45" s="533">
        <v>3.5196800000000001</v>
      </c>
      <c r="F45" s="760">
        <f t="shared" si="0"/>
        <v>1.7230915070837183E-2</v>
      </c>
      <c r="G45" s="361"/>
      <c r="H45" s="607"/>
      <c r="I45" s="607"/>
      <c r="J45" s="361"/>
      <c r="K45" s="361"/>
      <c r="L45" s="365"/>
    </row>
    <row r="46" spans="1:12" s="312" customFormat="1" ht="11.4" customHeight="1">
      <c r="A46" s="574" t="s">
        <v>523</v>
      </c>
      <c r="B46" s="425"/>
      <c r="C46" s="426">
        <v>3.5196800000000001</v>
      </c>
      <c r="D46" s="426">
        <v>3.4600599999999995</v>
      </c>
      <c r="E46" s="426">
        <v>3.5196800000000001</v>
      </c>
      <c r="F46" s="759">
        <f t="shared" si="0"/>
        <v>1.7230915070837183E-2</v>
      </c>
      <c r="G46" s="361"/>
      <c r="H46" s="607"/>
      <c r="I46" s="607"/>
      <c r="J46" s="361"/>
      <c r="K46" s="361"/>
      <c r="L46" s="368"/>
    </row>
    <row r="47" spans="1:12" s="312" customFormat="1" ht="11.4" customHeight="1">
      <c r="A47" s="573" t="s">
        <v>418</v>
      </c>
      <c r="B47" s="532" t="s">
        <v>420</v>
      </c>
      <c r="C47" s="533">
        <v>8.6528799999999997</v>
      </c>
      <c r="D47" s="533">
        <v>6.9954700000000001</v>
      </c>
      <c r="E47" s="533">
        <v>8.6528799999999997</v>
      </c>
      <c r="F47" s="760">
        <f t="shared" si="0"/>
        <v>0.23692618222935691</v>
      </c>
      <c r="G47" s="361"/>
      <c r="H47" s="607"/>
      <c r="I47" s="607"/>
      <c r="J47" s="361"/>
      <c r="K47" s="361"/>
      <c r="L47" s="365"/>
    </row>
    <row r="48" spans="1:12" s="312" customFormat="1" ht="11.4" customHeight="1">
      <c r="A48" s="574" t="s">
        <v>524</v>
      </c>
      <c r="B48" s="425"/>
      <c r="C48" s="426">
        <v>8.6528799999999997</v>
      </c>
      <c r="D48" s="426">
        <v>6.9954700000000001</v>
      </c>
      <c r="E48" s="426">
        <v>8.6528799999999997</v>
      </c>
      <c r="F48" s="759">
        <f t="shared" si="0"/>
        <v>0.23692618222935691</v>
      </c>
      <c r="G48" s="361"/>
      <c r="H48" s="607"/>
      <c r="I48" s="607"/>
      <c r="J48" s="361"/>
      <c r="K48" s="361"/>
      <c r="L48" s="365"/>
    </row>
    <row r="49" spans="1:12" s="312" customFormat="1" ht="11.4" customHeight="1">
      <c r="A49" s="573" t="s">
        <v>89</v>
      </c>
      <c r="B49" s="532" t="s">
        <v>296</v>
      </c>
      <c r="C49" s="533">
        <v>643.63199999999995</v>
      </c>
      <c r="D49" s="533">
        <v>660.02639999999997</v>
      </c>
      <c r="E49" s="533">
        <v>643.63199999999995</v>
      </c>
      <c r="F49" s="760">
        <f t="shared" si="0"/>
        <v>-2.4839006439742461E-2</v>
      </c>
      <c r="G49" s="361"/>
      <c r="H49" s="607"/>
      <c r="I49" s="607"/>
      <c r="J49" s="361"/>
      <c r="K49" s="361"/>
      <c r="L49" s="365"/>
    </row>
    <row r="50" spans="1:12" s="312" customFormat="1" ht="11.4" customHeight="1">
      <c r="A50" s="573"/>
      <c r="B50" s="532" t="s">
        <v>297</v>
      </c>
      <c r="C50" s="533">
        <v>209.27424000000002</v>
      </c>
      <c r="D50" s="533">
        <v>217.57631999999998</v>
      </c>
      <c r="E50" s="533">
        <v>209.27424000000002</v>
      </c>
      <c r="F50" s="760">
        <f t="shared" si="0"/>
        <v>-3.8157093566064337E-2</v>
      </c>
      <c r="G50" s="361"/>
      <c r="H50" s="607"/>
      <c r="I50" s="607"/>
      <c r="J50" s="361"/>
      <c r="K50" s="361"/>
      <c r="L50" s="365"/>
    </row>
    <row r="51" spans="1:12" s="312" customFormat="1" ht="11.4" customHeight="1">
      <c r="A51" s="573"/>
      <c r="B51" s="532" t="s">
        <v>298</v>
      </c>
      <c r="C51" s="533">
        <v>0</v>
      </c>
      <c r="D51" s="533">
        <v>0</v>
      </c>
      <c r="E51" s="533">
        <v>0</v>
      </c>
      <c r="F51" s="760" t="str">
        <f t="shared" si="0"/>
        <v/>
      </c>
      <c r="G51" s="361"/>
      <c r="H51" s="607"/>
      <c r="I51" s="607"/>
      <c r="J51" s="361"/>
      <c r="K51" s="361"/>
      <c r="L51" s="365"/>
    </row>
    <row r="52" spans="1:12" s="312" customFormat="1" ht="11.4" customHeight="1">
      <c r="A52" s="574" t="s">
        <v>525</v>
      </c>
      <c r="B52" s="425"/>
      <c r="C52" s="426">
        <v>852.90624000000003</v>
      </c>
      <c r="D52" s="426">
        <v>877.60271999999998</v>
      </c>
      <c r="E52" s="426">
        <v>852.90624000000003</v>
      </c>
      <c r="F52" s="759">
        <f t="shared" si="0"/>
        <v>-2.8140842589913562E-2</v>
      </c>
      <c r="G52" s="361"/>
      <c r="H52" s="607"/>
      <c r="I52" s="607"/>
      <c r="J52" s="361"/>
      <c r="K52" s="361"/>
      <c r="L52" s="365"/>
    </row>
    <row r="53" spans="1:12" s="312" customFormat="1" ht="11.4" customHeight="1">
      <c r="A53" s="573" t="s">
        <v>235</v>
      </c>
      <c r="B53" s="532" t="s">
        <v>299</v>
      </c>
      <c r="C53" s="533">
        <v>454.81696999999997</v>
      </c>
      <c r="D53" s="533">
        <v>456.76913999999999</v>
      </c>
      <c r="E53" s="533">
        <v>454.81696999999997</v>
      </c>
      <c r="F53" s="760">
        <f t="shared" si="0"/>
        <v>-4.2738657869926255E-3</v>
      </c>
      <c r="G53" s="361"/>
      <c r="H53" s="607"/>
      <c r="I53" s="607"/>
      <c r="J53" s="361"/>
      <c r="K53" s="361"/>
      <c r="L53" s="365"/>
    </row>
    <row r="54" spans="1:12" s="312" customFormat="1" ht="11.4" customHeight="1">
      <c r="A54" s="573"/>
      <c r="B54" s="532" t="s">
        <v>300</v>
      </c>
      <c r="C54" s="533">
        <v>6.4359200000000003</v>
      </c>
      <c r="D54" s="533">
        <v>6.4482100000000004</v>
      </c>
      <c r="E54" s="533">
        <v>6.4359200000000003</v>
      </c>
      <c r="F54" s="760">
        <f t="shared" si="0"/>
        <v>-1.9059552961209203E-3</v>
      </c>
      <c r="G54" s="361"/>
      <c r="H54" s="607"/>
      <c r="I54" s="607"/>
      <c r="J54" s="361"/>
      <c r="K54" s="361"/>
      <c r="L54" s="365"/>
    </row>
    <row r="55" spans="1:12" s="312" customFormat="1" ht="11.4" customHeight="1">
      <c r="A55" s="574" t="s">
        <v>526</v>
      </c>
      <c r="B55" s="425"/>
      <c r="C55" s="426">
        <v>461.25288999999998</v>
      </c>
      <c r="D55" s="426">
        <v>463.21735000000001</v>
      </c>
      <c r="E55" s="426">
        <v>461.25288999999998</v>
      </c>
      <c r="F55" s="759">
        <f t="shared" si="0"/>
        <v>-4.2409033254043882E-3</v>
      </c>
      <c r="G55" s="361"/>
      <c r="H55" s="607"/>
      <c r="I55" s="607"/>
      <c r="J55" s="361"/>
      <c r="K55" s="361"/>
    </row>
    <row r="56" spans="1:12" s="312" customFormat="1" ht="11.4" customHeight="1">
      <c r="A56" s="573" t="s">
        <v>236</v>
      </c>
      <c r="B56" s="532" t="s">
        <v>301</v>
      </c>
      <c r="C56" s="533">
        <v>94.774990000000003</v>
      </c>
      <c r="D56" s="533">
        <v>43.917070000000002</v>
      </c>
      <c r="E56" s="533">
        <v>94.774990000000003</v>
      </c>
      <c r="F56" s="760">
        <f t="shared" si="0"/>
        <v>1.1580444688136069</v>
      </c>
      <c r="G56" s="361"/>
      <c r="H56" s="607"/>
      <c r="I56" s="607"/>
      <c r="J56" s="361"/>
      <c r="K56" s="361"/>
    </row>
    <row r="57" spans="1:12" s="312" customFormat="1" ht="11.4" customHeight="1">
      <c r="A57" s="574" t="s">
        <v>527</v>
      </c>
      <c r="B57" s="425"/>
      <c r="C57" s="426">
        <v>94.774990000000003</v>
      </c>
      <c r="D57" s="426">
        <v>43.917070000000002</v>
      </c>
      <c r="E57" s="426">
        <v>94.774990000000003</v>
      </c>
      <c r="F57" s="759">
        <f t="shared" si="0"/>
        <v>1.1580444688136069</v>
      </c>
      <c r="G57" s="361"/>
      <c r="H57" s="607"/>
      <c r="I57" s="607"/>
      <c r="J57" s="361"/>
      <c r="K57" s="361"/>
    </row>
    <row r="58" spans="1:12" s="312" customFormat="1" ht="11.4" customHeight="1">
      <c r="A58" s="573" t="s">
        <v>574</v>
      </c>
      <c r="B58" s="532" t="s">
        <v>65</v>
      </c>
      <c r="C58" s="533">
        <v>9.6669199999999993</v>
      </c>
      <c r="D58" s="533">
        <v>9.5710499999999996</v>
      </c>
      <c r="E58" s="533">
        <v>9.6669199999999993</v>
      </c>
      <c r="F58" s="760">
        <f t="shared" si="0"/>
        <v>1.0016664838236045E-2</v>
      </c>
      <c r="G58" s="361"/>
      <c r="H58" s="607"/>
      <c r="I58" s="607"/>
      <c r="J58" s="361"/>
      <c r="K58" s="361"/>
    </row>
    <row r="59" spans="1:12" s="312" customFormat="1" ht="11.4" customHeight="1">
      <c r="A59" s="573"/>
      <c r="B59" s="532" t="s">
        <v>64</v>
      </c>
      <c r="C59" s="533">
        <v>9.9454700000000003</v>
      </c>
      <c r="D59" s="533">
        <v>9.8713599999999992</v>
      </c>
      <c r="E59" s="533">
        <v>9.9454700000000003</v>
      </c>
      <c r="F59" s="760">
        <f t="shared" si="0"/>
        <v>7.5075774766597547E-3</v>
      </c>
      <c r="G59" s="361"/>
      <c r="H59" s="607"/>
      <c r="I59" s="607"/>
      <c r="J59" s="361"/>
      <c r="K59" s="361"/>
    </row>
    <row r="60" spans="1:12" s="312" customFormat="1" ht="10.199999999999999" customHeight="1">
      <c r="A60" s="573"/>
      <c r="B60" s="532" t="s">
        <v>60</v>
      </c>
      <c r="C60" s="533">
        <v>17.723980000000001</v>
      </c>
      <c r="D60" s="533">
        <v>17.572420000000001</v>
      </c>
      <c r="E60" s="533">
        <v>17.723980000000001</v>
      </c>
      <c r="F60" s="760">
        <f t="shared" si="0"/>
        <v>8.6248792141321307E-3</v>
      </c>
      <c r="G60" s="361"/>
      <c r="H60" s="607"/>
      <c r="I60" s="607"/>
      <c r="J60" s="361"/>
      <c r="K60" s="361"/>
    </row>
    <row r="61" spans="1:12" s="312" customFormat="1" ht="10.199999999999999" customHeight="1">
      <c r="A61" s="573"/>
      <c r="B61" s="532" t="s">
        <v>57</v>
      </c>
      <c r="C61" s="533">
        <v>20.018550000000001</v>
      </c>
      <c r="D61" s="533">
        <v>19.95391</v>
      </c>
      <c r="E61" s="533">
        <v>20.018550000000001</v>
      </c>
      <c r="F61" s="760">
        <f t="shared" si="0"/>
        <v>3.2394653478942104E-3</v>
      </c>
      <c r="G61" s="361"/>
      <c r="H61" s="607"/>
      <c r="I61" s="607"/>
      <c r="J61" s="361"/>
      <c r="K61" s="361"/>
    </row>
    <row r="62" spans="1:12" s="312" customFormat="1" ht="10.199999999999999" customHeight="1">
      <c r="A62" s="573"/>
      <c r="B62" s="532" t="s">
        <v>68</v>
      </c>
      <c r="C62" s="533">
        <v>6.5360100000000001</v>
      </c>
      <c r="D62" s="533">
        <v>4.56027</v>
      </c>
      <c r="E62" s="533">
        <v>6.5360100000000001</v>
      </c>
      <c r="F62" s="760">
        <f t="shared" si="0"/>
        <v>0.43325066278970326</v>
      </c>
      <c r="G62" s="361"/>
      <c r="H62" s="607"/>
      <c r="I62" s="607"/>
      <c r="J62" s="361"/>
      <c r="K62" s="361"/>
    </row>
    <row r="63" spans="1:12" s="312" customFormat="1" ht="10.199999999999999" customHeight="1">
      <c r="A63" s="573"/>
      <c r="B63" s="532" t="s">
        <v>67</v>
      </c>
      <c r="C63" s="533">
        <v>6.6463900000000002</v>
      </c>
      <c r="D63" s="533">
        <v>5.3479900000000002</v>
      </c>
      <c r="E63" s="533">
        <v>6.6463900000000002</v>
      </c>
      <c r="F63" s="760">
        <f t="shared" si="0"/>
        <v>0.24278280251084983</v>
      </c>
      <c r="G63" s="361"/>
      <c r="H63" s="607"/>
      <c r="I63" s="607"/>
      <c r="J63" s="361"/>
      <c r="K63" s="361"/>
    </row>
    <row r="64" spans="1:12" s="312" customFormat="1" ht="10.199999999999999" customHeight="1">
      <c r="A64" s="574" t="s">
        <v>575</v>
      </c>
      <c r="B64" s="425"/>
      <c r="C64" s="426">
        <v>70.537320000000008</v>
      </c>
      <c r="D64" s="426">
        <v>66.87700000000001</v>
      </c>
      <c r="E64" s="426">
        <v>70.537320000000008</v>
      </c>
      <c r="F64" s="759">
        <f t="shared" si="0"/>
        <v>5.473212016089235E-2</v>
      </c>
      <c r="G64" s="361"/>
      <c r="H64" s="607"/>
      <c r="I64" s="607"/>
      <c r="J64" s="361"/>
      <c r="K64" s="361"/>
    </row>
    <row r="65" spans="1:11" s="312" customFormat="1" ht="10.199999999999999" customHeight="1">
      <c r="A65" s="573" t="s">
        <v>88</v>
      </c>
      <c r="B65" s="532" t="s">
        <v>456</v>
      </c>
      <c r="C65" s="533">
        <v>78.07471000000001</v>
      </c>
      <c r="D65" s="533">
        <v>78.379429999999999</v>
      </c>
      <c r="E65" s="533">
        <v>78.07471000000001</v>
      </c>
      <c r="F65" s="760">
        <f t="shared" si="0"/>
        <v>-3.8877547336079177E-3</v>
      </c>
      <c r="G65" s="361"/>
      <c r="H65" s="607"/>
      <c r="I65" s="607"/>
      <c r="J65" s="361"/>
      <c r="K65" s="361"/>
    </row>
    <row r="66" spans="1:11" s="312" customFormat="1" ht="10.199999999999999" customHeight="1">
      <c r="A66" s="573"/>
      <c r="B66" s="532" t="s">
        <v>302</v>
      </c>
      <c r="C66" s="533">
        <v>26.209009999999999</v>
      </c>
      <c r="D66" s="533">
        <v>28.827169999999999</v>
      </c>
      <c r="E66" s="533">
        <v>26.209009999999999</v>
      </c>
      <c r="F66" s="760">
        <f t="shared" si="0"/>
        <v>-9.0822650992102183E-2</v>
      </c>
      <c r="G66" s="361"/>
      <c r="H66" s="608"/>
      <c r="I66" s="607"/>
      <c r="J66" s="361"/>
      <c r="K66" s="361"/>
    </row>
    <row r="67" spans="1:11" s="312" customFormat="1" ht="10.199999999999999" customHeight="1">
      <c r="A67" s="573"/>
      <c r="B67" s="532" t="s">
        <v>303</v>
      </c>
      <c r="C67" s="533">
        <v>266.86369000000002</v>
      </c>
      <c r="D67" s="533">
        <v>153.04877999999999</v>
      </c>
      <c r="E67" s="533">
        <v>266.86369000000002</v>
      </c>
      <c r="F67" s="760">
        <f t="shared" si="0"/>
        <v>0.74365120715107969</v>
      </c>
      <c r="G67" s="361"/>
      <c r="H67" s="608"/>
      <c r="I67" s="607"/>
      <c r="J67" s="361"/>
      <c r="K67" s="361"/>
    </row>
    <row r="68" spans="1:11" s="312" customFormat="1" ht="10.199999999999999" customHeight="1">
      <c r="A68" s="573"/>
      <c r="B68" s="532" t="s">
        <v>304</v>
      </c>
      <c r="C68" s="533">
        <v>131.36590000000001</v>
      </c>
      <c r="D68" s="533">
        <v>123.0707</v>
      </c>
      <c r="E68" s="533">
        <v>131.36590000000001</v>
      </c>
      <c r="F68" s="760">
        <f t="shared" si="0"/>
        <v>6.7401908008973832E-2</v>
      </c>
      <c r="G68" s="369"/>
      <c r="H68" s="608"/>
      <c r="I68" s="607"/>
      <c r="J68" s="361"/>
      <c r="K68" s="361"/>
    </row>
    <row r="69" spans="1:11" s="312" customFormat="1" ht="10.199999999999999" customHeight="1">
      <c r="A69" s="573"/>
      <c r="B69" s="532" t="s">
        <v>305</v>
      </c>
      <c r="C69" s="533">
        <v>61.10615</v>
      </c>
      <c r="D69" s="533">
        <v>67.076409999999996</v>
      </c>
      <c r="E69" s="533">
        <v>61.10615</v>
      </c>
      <c r="F69" s="760">
        <f t="shared" si="0"/>
        <v>-8.90068505455196E-2</v>
      </c>
      <c r="G69" s="369"/>
      <c r="H69" s="608"/>
      <c r="I69" s="607"/>
      <c r="J69" s="361"/>
      <c r="K69" s="361"/>
    </row>
    <row r="70" spans="1:11" s="312" customFormat="1" ht="10.199999999999999" customHeight="1">
      <c r="A70" s="573"/>
      <c r="B70" s="532" t="s">
        <v>306</v>
      </c>
      <c r="C70" s="533">
        <v>102.35541000000001</v>
      </c>
      <c r="D70" s="533">
        <v>41.042760000000001</v>
      </c>
      <c r="E70" s="533">
        <v>102.35541000000001</v>
      </c>
      <c r="F70" s="760">
        <f t="shared" si="0"/>
        <v>1.4938724881075252</v>
      </c>
      <c r="G70" s="369"/>
      <c r="H70" s="608"/>
      <c r="I70" s="607"/>
      <c r="J70" s="361"/>
      <c r="K70" s="361"/>
    </row>
    <row r="71" spans="1:11" s="312" customFormat="1" ht="10.199999999999999" customHeight="1">
      <c r="A71" s="573"/>
      <c r="B71" s="532" t="s">
        <v>307</v>
      </c>
      <c r="C71" s="533">
        <v>0</v>
      </c>
      <c r="D71" s="533">
        <v>148.12895</v>
      </c>
      <c r="E71" s="533">
        <v>0</v>
      </c>
      <c r="F71" s="760">
        <f t="shared" ref="F71:F79" si="1">+IF(D71=0,"",C71/D71-1)</f>
        <v>-1</v>
      </c>
      <c r="G71" s="369"/>
      <c r="H71" s="607"/>
      <c r="I71" s="607"/>
      <c r="J71" s="361"/>
      <c r="K71" s="361"/>
    </row>
    <row r="72" spans="1:11" s="312" customFormat="1" ht="10.199999999999999" customHeight="1">
      <c r="A72" s="573"/>
      <c r="B72" s="532" t="s">
        <v>308</v>
      </c>
      <c r="C72" s="533">
        <v>450.31046000000003</v>
      </c>
      <c r="D72" s="533">
        <v>213.96053000000001</v>
      </c>
      <c r="E72" s="533">
        <v>450.31046000000003</v>
      </c>
      <c r="F72" s="760">
        <f t="shared" si="1"/>
        <v>1.1046426647008212</v>
      </c>
      <c r="G72" s="369"/>
      <c r="H72" s="607"/>
      <c r="I72" s="607"/>
      <c r="J72" s="361"/>
      <c r="K72" s="361"/>
    </row>
    <row r="73" spans="1:11" s="312" customFormat="1" ht="10.199999999999999" customHeight="1">
      <c r="A73" s="573"/>
      <c r="B73" s="532" t="s">
        <v>413</v>
      </c>
      <c r="C73" s="533">
        <v>0.10693</v>
      </c>
      <c r="D73" s="533">
        <v>0.64632000000000001</v>
      </c>
      <c r="E73" s="533">
        <v>0.10693</v>
      </c>
      <c r="F73" s="760">
        <f t="shared" si="1"/>
        <v>-0.83455563807401911</v>
      </c>
      <c r="G73" s="361"/>
      <c r="H73" s="607"/>
      <c r="I73" s="607"/>
      <c r="J73" s="361"/>
      <c r="K73" s="361"/>
    </row>
    <row r="74" spans="1:11" s="312" customFormat="1" ht="10.199999999999999" customHeight="1">
      <c r="A74" s="574" t="s">
        <v>528</v>
      </c>
      <c r="B74" s="425"/>
      <c r="C74" s="426">
        <v>1116.3922600000001</v>
      </c>
      <c r="D74" s="426">
        <v>854.18105000000003</v>
      </c>
      <c r="E74" s="426">
        <v>1116.3922600000001</v>
      </c>
      <c r="F74" s="759">
        <f t="shared" si="1"/>
        <v>0.30697380842152855</v>
      </c>
      <c r="G74" s="361"/>
      <c r="H74" s="607"/>
      <c r="I74" s="607"/>
      <c r="J74" s="361"/>
      <c r="K74" s="361"/>
    </row>
    <row r="75" spans="1:11" s="312" customFormat="1" ht="10.199999999999999" customHeight="1">
      <c r="A75" s="573" t="s">
        <v>96</v>
      </c>
      <c r="B75" s="532" t="s">
        <v>309</v>
      </c>
      <c r="C75" s="533">
        <v>0</v>
      </c>
      <c r="D75" s="533">
        <v>47.426479999999998</v>
      </c>
      <c r="E75" s="533">
        <v>0</v>
      </c>
      <c r="F75" s="760">
        <f t="shared" si="1"/>
        <v>-1</v>
      </c>
      <c r="G75" s="361"/>
      <c r="H75" s="607"/>
      <c r="I75" s="607"/>
      <c r="J75" s="361"/>
      <c r="K75" s="361"/>
    </row>
    <row r="76" spans="1:11" s="312" customFormat="1" ht="10.199999999999999" customHeight="1">
      <c r="A76" s="573"/>
      <c r="B76" s="532" t="s">
        <v>310</v>
      </c>
      <c r="C76" s="533">
        <v>91.417310000000001</v>
      </c>
      <c r="D76" s="533">
        <v>0</v>
      </c>
      <c r="E76" s="533">
        <v>91.417310000000001</v>
      </c>
      <c r="F76" s="760" t="str">
        <f t="shared" si="1"/>
        <v/>
      </c>
      <c r="G76" s="370"/>
      <c r="H76" s="607"/>
      <c r="I76" s="607"/>
      <c r="J76" s="361"/>
      <c r="K76" s="361"/>
    </row>
    <row r="77" spans="1:11" s="312" customFormat="1" ht="10.199999999999999" customHeight="1">
      <c r="A77" s="573"/>
      <c r="B77" s="532" t="s">
        <v>311</v>
      </c>
      <c r="C77" s="533">
        <v>0</v>
      </c>
      <c r="D77" s="533">
        <v>0</v>
      </c>
      <c r="E77" s="533">
        <v>0</v>
      </c>
      <c r="F77" s="760" t="str">
        <f t="shared" si="1"/>
        <v/>
      </c>
      <c r="G77" s="370"/>
      <c r="H77" s="271"/>
      <c r="I77" s="607"/>
      <c r="J77" s="361"/>
      <c r="K77" s="361"/>
    </row>
    <row r="78" spans="1:11" s="312" customFormat="1" ht="10.199999999999999" customHeight="1">
      <c r="A78" s="574" t="s">
        <v>529</v>
      </c>
      <c r="B78" s="425"/>
      <c r="C78" s="426">
        <v>91.417310000000001</v>
      </c>
      <c r="D78" s="426">
        <v>47.426479999999998</v>
      </c>
      <c r="E78" s="426">
        <v>91.417310000000001</v>
      </c>
      <c r="F78" s="759">
        <f t="shared" si="1"/>
        <v>0.9275584019729064</v>
      </c>
      <c r="G78" s="370"/>
      <c r="H78" s="271"/>
      <c r="I78" s="607"/>
      <c r="J78" s="361"/>
      <c r="K78" s="361"/>
    </row>
    <row r="79" spans="1:11" s="312" customFormat="1" ht="10.199999999999999" customHeight="1">
      <c r="A79" s="573" t="s">
        <v>98</v>
      </c>
      <c r="B79" s="532" t="s">
        <v>422</v>
      </c>
      <c r="C79" s="533">
        <v>0</v>
      </c>
      <c r="D79" s="533">
        <v>0</v>
      </c>
      <c r="E79" s="533">
        <v>0</v>
      </c>
      <c r="F79" s="760" t="str">
        <f t="shared" si="1"/>
        <v/>
      </c>
      <c r="H79" s="271"/>
      <c r="I79" s="607"/>
      <c r="J79" s="361"/>
      <c r="K79" s="361"/>
    </row>
    <row r="80" spans="1:11" s="312" customFormat="1" ht="10.199999999999999" customHeight="1">
      <c r="A80" s="573"/>
      <c r="B80" s="532" t="s">
        <v>421</v>
      </c>
      <c r="C80" s="533">
        <v>119.04577</v>
      </c>
      <c r="D80" s="533">
        <v>56.192509999999999</v>
      </c>
      <c r="E80" s="533">
        <v>119.04577</v>
      </c>
      <c r="F80" s="760"/>
    </row>
    <row r="81" spans="1:6" s="312" customFormat="1" ht="10.199999999999999" customHeight="1">
      <c r="A81" s="574" t="s">
        <v>530</v>
      </c>
      <c r="B81" s="425"/>
      <c r="C81" s="426">
        <v>119.04577</v>
      </c>
      <c r="D81" s="426">
        <v>56.192509999999999</v>
      </c>
      <c r="E81" s="426">
        <v>119.04577</v>
      </c>
      <c r="F81" s="759"/>
    </row>
    <row r="82" spans="1:6" s="312" customFormat="1" ht="10.5" customHeight="1"/>
    <row r="83" spans="1:6" s="312" customFormat="1" ht="10.5" customHeight="1"/>
    <row r="84" spans="1:6" s="312" customFormat="1" ht="10.5" customHeight="1"/>
    <row r="85" spans="1:6" s="312" customFormat="1" ht="10.5" customHeight="1"/>
    <row r="86" spans="1:6" s="312" customFormat="1" ht="10.5" customHeight="1"/>
    <row r="87" spans="1:6" s="312" customFormat="1" ht="10.5" customHeight="1"/>
    <row r="88" spans="1:6" s="312" customFormat="1" ht="10.5" customHeight="1"/>
    <row r="89" spans="1:6" s="312" customFormat="1" ht="10.5" customHeight="1"/>
    <row r="90" spans="1:6" s="312" customFormat="1" ht="10.5" customHeight="1"/>
    <row r="91" spans="1:6" s="312" customFormat="1" ht="10.5" customHeight="1"/>
    <row r="92" spans="1:6" s="312" customFormat="1" ht="10.5" customHeight="1"/>
    <row r="93" spans="1:6" s="312" customFormat="1" ht="10.5" customHeight="1"/>
    <row r="94" spans="1:6" s="312" customFormat="1" ht="10.5" customHeight="1"/>
    <row r="95" spans="1:6" s="312" customFormat="1" ht="10.5" customHeight="1"/>
    <row r="96" spans="1:6" s="312" customFormat="1" ht="10.5" customHeight="1"/>
    <row r="97" s="312" customFormat="1" ht="10.5" customHeight="1"/>
    <row r="98" s="312" customFormat="1" ht="10.5" customHeight="1"/>
    <row r="99" s="312" customFormat="1" ht="10.5" customHeight="1"/>
    <row r="100" s="312" customFormat="1" ht="10.5" customHeight="1"/>
    <row r="101" s="312" customFormat="1" ht="10.5" customHeight="1"/>
    <row r="102" s="312" customFormat="1" ht="10.5" customHeight="1"/>
    <row r="103" s="312" customFormat="1" ht="10.5" customHeight="1"/>
    <row r="104" s="312" customFormat="1" ht="10.5" customHeight="1"/>
    <row r="105" s="312" customFormat="1" ht="10.5" customHeight="1"/>
    <row r="106" s="312" customFormat="1" ht="10.5" customHeight="1"/>
    <row r="107" s="312" customFormat="1" ht="10.5" customHeight="1"/>
    <row r="108" s="312" customFormat="1" ht="10.5" customHeight="1"/>
    <row r="109" s="312" customFormat="1" ht="10.5" customHeight="1"/>
    <row r="110" s="312" customFormat="1" ht="10.5" customHeight="1"/>
    <row r="111" s="312" customFormat="1" ht="10.5" customHeight="1"/>
    <row r="112" s="312" customFormat="1" ht="10.5" customHeight="1"/>
    <row r="113" s="312" customFormat="1" ht="10.5" customHeight="1"/>
    <row r="114" s="312" customFormat="1" ht="10.5" customHeight="1"/>
    <row r="115" s="312" customFormat="1" ht="10.5" customHeight="1"/>
    <row r="116" s="312" customFormat="1" ht="10.5" customHeight="1"/>
    <row r="117" s="312" customFormat="1" ht="10.5" customHeight="1"/>
    <row r="118" s="312" customFormat="1" ht="10.5" customHeight="1"/>
    <row r="119" s="312" customFormat="1" ht="10.5" customHeight="1"/>
    <row r="120" s="312" customFormat="1" ht="10.5" customHeight="1"/>
    <row r="121" s="312" customFormat="1" ht="10.5" customHeight="1"/>
    <row r="122" s="312" customFormat="1" ht="10.5" customHeight="1"/>
    <row r="123" s="312" customFormat="1" ht="10.5" customHeight="1"/>
    <row r="124" s="312" customFormat="1" ht="10.5" customHeight="1"/>
    <row r="125" s="312" customFormat="1" ht="10.5" customHeight="1"/>
    <row r="126" s="312" customFormat="1" ht="10.5" customHeight="1"/>
    <row r="127" s="312" customFormat="1" ht="10.5" customHeight="1"/>
    <row r="128" s="312" customFormat="1" ht="10.5" customHeight="1"/>
    <row r="129" s="312" customFormat="1" ht="10.5" customHeight="1"/>
    <row r="130" s="312" customFormat="1" ht="10.5" customHeight="1"/>
    <row r="131" s="312" customFormat="1" ht="10.5" customHeight="1"/>
    <row r="132" s="312" customFormat="1" ht="10.5" customHeight="1"/>
    <row r="133" s="312" customFormat="1" ht="10.5" customHeight="1"/>
    <row r="134" s="312" customFormat="1" ht="10.5" customHeight="1"/>
    <row r="135" s="312" customFormat="1" ht="10.5" customHeight="1"/>
    <row r="136" s="312" customFormat="1" ht="10.5" customHeight="1"/>
    <row r="137" s="312" customFormat="1" ht="10.5" customHeight="1"/>
    <row r="138" s="312" customFormat="1" ht="10.5" customHeight="1"/>
    <row r="139" s="312" customFormat="1" ht="10.5" customHeight="1"/>
    <row r="140" s="312" customFormat="1" ht="10.5" customHeight="1"/>
    <row r="141" s="312" customFormat="1" ht="10.5" customHeight="1"/>
    <row r="142" s="312" customFormat="1" ht="10.5" customHeight="1"/>
    <row r="143" s="312" customFormat="1" ht="10.5" customHeight="1"/>
    <row r="144" s="312" customFormat="1" ht="10.5" customHeight="1"/>
    <row r="145" s="312" customFormat="1" ht="10.5" customHeight="1"/>
    <row r="146" s="312" customFormat="1" ht="10.5" customHeight="1"/>
    <row r="147" s="312" customFormat="1" ht="10.5" customHeight="1"/>
    <row r="148" s="312" customFormat="1" ht="10.5" customHeight="1"/>
    <row r="149" s="312" customFormat="1" ht="10.5" customHeight="1"/>
    <row r="150" s="312" customFormat="1" ht="10.5" customHeight="1"/>
    <row r="151" s="312" customFormat="1" ht="10.5" customHeight="1"/>
    <row r="152" s="312" customFormat="1" ht="10.5" customHeight="1"/>
    <row r="153" s="312" customFormat="1" ht="10.5" customHeight="1"/>
    <row r="154" s="312" customFormat="1" ht="10.5" customHeight="1"/>
    <row r="155" s="312" customFormat="1" ht="10.5" customHeight="1"/>
    <row r="156" s="312" customFormat="1" ht="10.5" customHeight="1"/>
    <row r="157" s="312" customFormat="1" ht="10.5" customHeight="1"/>
    <row r="158" s="312" customFormat="1" ht="10.5" customHeight="1"/>
    <row r="159" s="312" customFormat="1" ht="10.5" customHeight="1"/>
    <row r="160" s="312" customFormat="1" ht="10.5" customHeight="1"/>
    <row r="161" s="312" customFormat="1" ht="10.5" customHeight="1"/>
    <row r="162" s="312" customFormat="1" ht="10.5" customHeight="1"/>
    <row r="163" s="312" customFormat="1" ht="10.5" customHeight="1"/>
    <row r="164" s="312" customFormat="1" ht="10.5" customHeight="1"/>
    <row r="165" s="312" customFormat="1" ht="10.5" customHeight="1"/>
    <row r="166" s="312" customFormat="1" ht="10.5" customHeight="1"/>
    <row r="167" s="312" customFormat="1" ht="10.5" customHeight="1"/>
    <row r="168" s="312" customFormat="1" ht="10.5" customHeight="1"/>
    <row r="169" s="312" customFormat="1" ht="7.8"/>
    <row r="170" s="312" customFormat="1" ht="7.8"/>
    <row r="171" s="312" customFormat="1" ht="7.8"/>
    <row r="172" s="312" customFormat="1" ht="7.8"/>
    <row r="173" s="312" customFormat="1" ht="7.8"/>
    <row r="174" s="312" customFormat="1" ht="7.8"/>
    <row r="175" s="312" customFormat="1" ht="7.8"/>
    <row r="176" s="312" customFormat="1" ht="7.8"/>
    <row r="177" s="312" customFormat="1" ht="7.8"/>
    <row r="178" s="312" customFormat="1" ht="7.8"/>
    <row r="179" s="312" customFormat="1" ht="7.8"/>
    <row r="180" s="312" customFormat="1" ht="7.8"/>
    <row r="181" s="312" customFormat="1" ht="7.8"/>
    <row r="182" s="312" customFormat="1" ht="7.8"/>
    <row r="183" s="312" customFormat="1" ht="7.8"/>
    <row r="184" s="312" customFormat="1" ht="7.8"/>
    <row r="185" s="312" customFormat="1" ht="7.8"/>
    <row r="186" s="312" customFormat="1" ht="7.8"/>
    <row r="187" s="312" customFormat="1" ht="7.8"/>
    <row r="188" s="312" customFormat="1" ht="7.8"/>
    <row r="189" s="312" customFormat="1" ht="7.8"/>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Mensual-Enero 2021
INFSGI-MES-01-2021
09/02/2021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4"/>
  <sheetViews>
    <sheetView showGridLines="0" view="pageBreakPreview" topLeftCell="A4" zoomScale="115" zoomScaleNormal="100" zoomScaleSheetLayoutView="115" zoomScalePageLayoutView="117" workbookViewId="0">
      <selection activeCell="S15" sqref="S15"/>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12" customFormat="1" ht="11.25" customHeight="1">
      <c r="A1" s="928" t="s">
        <v>248</v>
      </c>
      <c r="B1" s="930" t="s">
        <v>54</v>
      </c>
      <c r="C1" s="930" t="s">
        <v>352</v>
      </c>
      <c r="D1" s="930"/>
      <c r="E1" s="930"/>
      <c r="F1" s="932"/>
      <c r="G1" s="359"/>
    </row>
    <row r="2" spans="1:11" s="312" customFormat="1" ht="11.25" customHeight="1">
      <c r="A2" s="922"/>
      <c r="B2" s="925"/>
      <c r="C2" s="413" t="str">
        <f>UPPER('1. Resumen'!Q4)&amp;" "&amp;'1. Resumen'!Q5</f>
        <v>ENERO 2021</v>
      </c>
      <c r="D2" s="414" t="str">
        <f>UPPER('1. Resumen'!Q4)&amp;" "&amp;'1. Resumen'!Q5-1</f>
        <v>ENERO 2020</v>
      </c>
      <c r="E2" s="415" t="str">
        <f>UPPER('1. Resumen'!Q4)&amp;" "&amp;'1. Resumen'!Q5</f>
        <v>ENERO 2021</v>
      </c>
      <c r="F2" s="544" t="s">
        <v>619</v>
      </c>
      <c r="G2" s="360"/>
      <c r="H2" s="359"/>
    </row>
    <row r="3" spans="1:11" s="312" customFormat="1" ht="11.25" customHeight="1">
      <c r="A3" s="922"/>
      <c r="B3" s="925"/>
      <c r="C3" s="416">
        <f>'21. ANEXOII-1'!C4</f>
        <v>44204.822916666664</v>
      </c>
      <c r="D3" s="416">
        <f>'21. ANEXOII-1'!D4</f>
        <v>43854.8125</v>
      </c>
      <c r="E3" s="416">
        <f>'21. ANEXOII-1'!E4</f>
        <v>44204.822916666664</v>
      </c>
      <c r="F3" s="545" t="s">
        <v>349</v>
      </c>
      <c r="G3" s="361"/>
      <c r="H3" s="359"/>
    </row>
    <row r="4" spans="1:11" s="312" customFormat="1" ht="9" customHeight="1">
      <c r="A4" s="929"/>
      <c r="B4" s="931"/>
      <c r="C4" s="417">
        <f>+'8. Max Potencia'!D9</f>
        <v>44204.822916666664</v>
      </c>
      <c r="D4" s="417">
        <f>+'8. Max Potencia'!E9</f>
        <v>43854.8125</v>
      </c>
      <c r="E4" s="417">
        <f>+'21. ANEXOII-1'!E5</f>
        <v>44204.822916666664</v>
      </c>
      <c r="F4" s="546" t="s">
        <v>350</v>
      </c>
      <c r="G4" s="361"/>
      <c r="H4" s="363"/>
    </row>
    <row r="5" spans="1:11" s="312" customFormat="1" ht="10.199999999999999" customHeight="1">
      <c r="A5" s="573" t="s">
        <v>97</v>
      </c>
      <c r="B5" s="532" t="s">
        <v>77</v>
      </c>
      <c r="C5" s="533">
        <v>65.625450000000001</v>
      </c>
      <c r="D5" s="533">
        <v>15.8805</v>
      </c>
      <c r="E5" s="533">
        <v>65.625450000000001</v>
      </c>
      <c r="F5" s="760">
        <f t="shared" ref="F5:F69" si="0">+IF(D5=0,"",C5/D5-1)</f>
        <v>3.1324548975158217</v>
      </c>
      <c r="J5" s="441"/>
      <c r="K5" s="441"/>
    </row>
    <row r="6" spans="1:11" s="312" customFormat="1" ht="10.199999999999999" customHeight="1">
      <c r="A6" s="573"/>
      <c r="B6" s="532" t="s">
        <v>79</v>
      </c>
      <c r="C6" s="533">
        <v>12.93562</v>
      </c>
      <c r="D6" s="533">
        <v>6.4990100000000002</v>
      </c>
      <c r="E6" s="533">
        <v>12.93562</v>
      </c>
      <c r="F6" s="760">
        <f t="shared" si="0"/>
        <v>0.99039853762342256</v>
      </c>
      <c r="J6" s="441"/>
      <c r="K6" s="441"/>
    </row>
    <row r="7" spans="1:11" s="312" customFormat="1" ht="10.199999999999999" customHeight="1">
      <c r="A7" s="574" t="s">
        <v>531</v>
      </c>
      <c r="B7" s="425"/>
      <c r="C7" s="426">
        <v>78.561070000000001</v>
      </c>
      <c r="D7" s="426">
        <v>22.37951</v>
      </c>
      <c r="E7" s="426">
        <v>78.561070000000001</v>
      </c>
      <c r="F7" s="759">
        <f t="shared" si="0"/>
        <v>2.510401702271408</v>
      </c>
      <c r="J7" s="441"/>
      <c r="K7" s="441"/>
    </row>
    <row r="8" spans="1:11" s="312" customFormat="1" ht="10.199999999999999" customHeight="1">
      <c r="A8" s="573" t="s">
        <v>87</v>
      </c>
      <c r="B8" s="532" t="s">
        <v>312</v>
      </c>
      <c r="C8" s="533">
        <v>112.66211</v>
      </c>
      <c r="D8" s="533">
        <v>112.34141</v>
      </c>
      <c r="E8" s="533">
        <v>112.66211</v>
      </c>
      <c r="F8" s="760">
        <f t="shared" si="0"/>
        <v>2.8546908926994075E-3</v>
      </c>
      <c r="K8" s="441"/>
    </row>
    <row r="9" spans="1:11" s="312" customFormat="1" ht="10.199999999999999" customHeight="1">
      <c r="A9" s="573"/>
      <c r="B9" s="532" t="s">
        <v>313</v>
      </c>
      <c r="C9" s="533">
        <v>130.34826000000001</v>
      </c>
      <c r="D9" s="533">
        <v>130.58769999999998</v>
      </c>
      <c r="E9" s="533">
        <v>130.34826000000001</v>
      </c>
      <c r="F9" s="760">
        <f t="shared" si="0"/>
        <v>-1.8335570654814948E-3</v>
      </c>
      <c r="K9" s="441"/>
    </row>
    <row r="10" spans="1:11" s="312" customFormat="1" ht="10.199999999999999" customHeight="1">
      <c r="A10" s="573"/>
      <c r="B10" s="532" t="s">
        <v>314</v>
      </c>
      <c r="C10" s="533">
        <v>329.78017</v>
      </c>
      <c r="D10" s="533">
        <v>752.70407</v>
      </c>
      <c r="E10" s="533">
        <v>329.78017</v>
      </c>
      <c r="F10" s="760">
        <f t="shared" si="0"/>
        <v>-0.56187274236473839</v>
      </c>
      <c r="K10" s="441"/>
    </row>
    <row r="11" spans="1:11" s="312" customFormat="1" ht="10.199999999999999" customHeight="1">
      <c r="A11" s="573"/>
      <c r="B11" s="532" t="s">
        <v>315</v>
      </c>
      <c r="C11" s="533">
        <v>101.40103999999999</v>
      </c>
      <c r="D11" s="533">
        <v>0</v>
      </c>
      <c r="E11" s="533">
        <v>101.40103999999999</v>
      </c>
      <c r="F11" s="760" t="str">
        <f t="shared" si="0"/>
        <v/>
      </c>
      <c r="J11" s="441"/>
      <c r="K11" s="441"/>
    </row>
    <row r="12" spans="1:11" s="312" customFormat="1" ht="10.199999999999999" customHeight="1">
      <c r="A12" s="573"/>
      <c r="B12" s="532" t="s">
        <v>316</v>
      </c>
      <c r="C12" s="533">
        <v>0</v>
      </c>
      <c r="D12" s="533">
        <v>0</v>
      </c>
      <c r="E12" s="533">
        <v>0</v>
      </c>
      <c r="F12" s="760" t="str">
        <f t="shared" si="0"/>
        <v/>
      </c>
      <c r="J12" s="441"/>
      <c r="K12" s="441"/>
    </row>
    <row r="13" spans="1:11" s="312" customFormat="1" ht="10.199999999999999" customHeight="1">
      <c r="A13" s="573"/>
      <c r="B13" s="532" t="s">
        <v>317</v>
      </c>
      <c r="C13" s="533">
        <v>0</v>
      </c>
      <c r="D13" s="533">
        <v>0</v>
      </c>
      <c r="E13" s="533">
        <v>0</v>
      </c>
      <c r="F13" s="760" t="str">
        <f t="shared" si="0"/>
        <v/>
      </c>
      <c r="J13" s="441"/>
      <c r="K13" s="441"/>
    </row>
    <row r="14" spans="1:11" s="312" customFormat="1" ht="10.199999999999999" customHeight="1">
      <c r="A14" s="573"/>
      <c r="B14" s="532" t="s">
        <v>318</v>
      </c>
      <c r="C14" s="533">
        <v>0</v>
      </c>
      <c r="D14" s="533">
        <v>0</v>
      </c>
      <c r="E14" s="533">
        <v>0</v>
      </c>
      <c r="F14" s="760" t="str">
        <f t="shared" si="0"/>
        <v/>
      </c>
      <c r="J14" s="441"/>
      <c r="K14" s="441"/>
    </row>
    <row r="15" spans="1:11" s="312" customFormat="1" ht="10.199999999999999" customHeight="1">
      <c r="A15" s="573"/>
      <c r="B15" s="532" t="s">
        <v>423</v>
      </c>
      <c r="C15" s="533">
        <v>0</v>
      </c>
      <c r="D15" s="533">
        <v>0</v>
      </c>
      <c r="E15" s="533">
        <v>0</v>
      </c>
      <c r="F15" s="760" t="str">
        <f t="shared" si="0"/>
        <v/>
      </c>
      <c r="J15" s="441"/>
      <c r="K15" s="441"/>
    </row>
    <row r="16" spans="1:11" s="312" customFormat="1" ht="10.199999999999999" customHeight="1">
      <c r="A16" s="574" t="s">
        <v>532</v>
      </c>
      <c r="B16" s="425"/>
      <c r="C16" s="426">
        <v>674.19157999999993</v>
      </c>
      <c r="D16" s="426">
        <v>995.63318000000004</v>
      </c>
      <c r="E16" s="426">
        <v>674.19157999999993</v>
      </c>
      <c r="F16" s="759">
        <f t="shared" si="0"/>
        <v>-0.32285143409945427</v>
      </c>
      <c r="J16" s="441"/>
      <c r="K16" s="441"/>
    </row>
    <row r="17" spans="1:11" s="312" customFormat="1" ht="10.199999999999999" customHeight="1">
      <c r="A17" s="573" t="s">
        <v>237</v>
      </c>
      <c r="B17" s="532" t="s">
        <v>319</v>
      </c>
      <c r="C17" s="533">
        <v>0</v>
      </c>
      <c r="D17" s="533">
        <v>0</v>
      </c>
      <c r="E17" s="533">
        <v>0</v>
      </c>
      <c r="F17" s="760" t="str">
        <f t="shared" si="0"/>
        <v/>
      </c>
      <c r="J17" s="441"/>
      <c r="K17" s="441"/>
    </row>
    <row r="18" spans="1:11" s="312" customFormat="1" ht="10.199999999999999" customHeight="1">
      <c r="A18" s="574" t="s">
        <v>533</v>
      </c>
      <c r="B18" s="425"/>
      <c r="C18" s="426">
        <v>0</v>
      </c>
      <c r="D18" s="426">
        <v>0</v>
      </c>
      <c r="E18" s="426">
        <v>0</v>
      </c>
      <c r="F18" s="759" t="str">
        <f t="shared" si="0"/>
        <v/>
      </c>
      <c r="J18" s="441"/>
      <c r="K18" s="441"/>
    </row>
    <row r="19" spans="1:11" s="312" customFormat="1" ht="10.199999999999999" customHeight="1">
      <c r="A19" s="573" t="s">
        <v>449</v>
      </c>
      <c r="B19" s="532" t="s">
        <v>454</v>
      </c>
      <c r="C19" s="533">
        <v>3.98584</v>
      </c>
      <c r="D19" s="533">
        <v>11.69721</v>
      </c>
      <c r="E19" s="533">
        <v>3.98584</v>
      </c>
      <c r="F19" s="760">
        <f t="shared" si="0"/>
        <v>-0.65924865844077352</v>
      </c>
      <c r="J19" s="441"/>
      <c r="K19" s="441"/>
    </row>
    <row r="20" spans="1:11" s="312" customFormat="1" ht="10.199999999999999" customHeight="1">
      <c r="A20" s="573"/>
      <c r="B20" s="532" t="s">
        <v>450</v>
      </c>
      <c r="C20" s="533">
        <v>8.5023599999999995</v>
      </c>
      <c r="D20" s="533">
        <v>6.7543000000000006</v>
      </c>
      <c r="E20" s="533">
        <v>8.5023599999999995</v>
      </c>
      <c r="F20" s="760"/>
      <c r="J20" s="441"/>
      <c r="K20" s="441"/>
    </row>
    <row r="21" spans="1:11" s="312" customFormat="1" ht="10.199999999999999" customHeight="1">
      <c r="A21" s="574" t="s">
        <v>534</v>
      </c>
      <c r="B21" s="425"/>
      <c r="C21" s="426">
        <v>12.488199999999999</v>
      </c>
      <c r="D21" s="426">
        <v>18.451509999999999</v>
      </c>
      <c r="E21" s="426">
        <v>12.488199999999999</v>
      </c>
      <c r="F21" s="759"/>
      <c r="J21" s="441"/>
      <c r="K21" s="441"/>
    </row>
    <row r="22" spans="1:11" s="312" customFormat="1" ht="10.199999999999999" customHeight="1">
      <c r="A22" s="573" t="s">
        <v>108</v>
      </c>
      <c r="B22" s="532" t="s">
        <v>66</v>
      </c>
      <c r="C22" s="533">
        <v>7.0587499999999999</v>
      </c>
      <c r="D22" s="533">
        <v>0</v>
      </c>
      <c r="E22" s="533">
        <v>7.0587499999999999</v>
      </c>
      <c r="F22" s="760"/>
      <c r="J22" s="441"/>
      <c r="K22" s="441"/>
    </row>
    <row r="23" spans="1:11" s="312" customFormat="1" ht="10.199999999999999" customHeight="1">
      <c r="A23" s="573"/>
      <c r="B23" s="532" t="s">
        <v>412</v>
      </c>
      <c r="C23" s="533">
        <v>16.498329999999999</v>
      </c>
      <c r="D23" s="533">
        <v>20.194510000000001</v>
      </c>
      <c r="E23" s="533">
        <v>16.498329999999999</v>
      </c>
      <c r="F23" s="760">
        <f t="shared" si="0"/>
        <v>-0.18302895192802404</v>
      </c>
      <c r="J23" s="441"/>
      <c r="K23" s="441"/>
    </row>
    <row r="24" spans="1:11" s="312" customFormat="1" ht="10.199999999999999" customHeight="1">
      <c r="A24" s="573"/>
      <c r="B24" s="532" t="s">
        <v>410</v>
      </c>
      <c r="C24" s="533">
        <v>16.502330000000001</v>
      </c>
      <c r="D24" s="533">
        <v>20.203299999999999</v>
      </c>
      <c r="E24" s="533">
        <v>16.502330000000001</v>
      </c>
      <c r="F24" s="760">
        <f t="shared" si="0"/>
        <v>-0.18318641014091752</v>
      </c>
      <c r="J24" s="441"/>
      <c r="K24" s="441"/>
    </row>
    <row r="25" spans="1:11" s="312" customFormat="1" ht="10.199999999999999" customHeight="1">
      <c r="A25" s="573"/>
      <c r="B25" s="532" t="s">
        <v>411</v>
      </c>
      <c r="C25" s="533">
        <v>16.442630000000001</v>
      </c>
      <c r="D25" s="533">
        <v>20.154699999999998</v>
      </c>
      <c r="E25" s="533">
        <v>16.442630000000001</v>
      </c>
      <c r="F25" s="760">
        <f t="shared" si="0"/>
        <v>-0.18417887639111463</v>
      </c>
      <c r="J25" s="441"/>
      <c r="K25" s="441"/>
    </row>
    <row r="26" spans="1:11" s="312" customFormat="1" ht="10.199999999999999" customHeight="1">
      <c r="A26" s="574" t="s">
        <v>535</v>
      </c>
      <c r="B26" s="425"/>
      <c r="C26" s="426">
        <v>56.502040000000001</v>
      </c>
      <c r="D26" s="426">
        <v>60.552509999999998</v>
      </c>
      <c r="E26" s="426">
        <v>56.502040000000001</v>
      </c>
      <c r="F26" s="759">
        <f t="shared" si="0"/>
        <v>-6.6891859643803286E-2</v>
      </c>
      <c r="J26" s="441"/>
      <c r="K26" s="441"/>
    </row>
    <row r="27" spans="1:11" s="312" customFormat="1" ht="10.199999999999999" customHeight="1">
      <c r="A27" s="573" t="s">
        <v>567</v>
      </c>
      <c r="B27" s="532" t="s">
        <v>620</v>
      </c>
      <c r="C27" s="533">
        <v>0</v>
      </c>
      <c r="D27" s="533"/>
      <c r="E27" s="533">
        <v>0</v>
      </c>
      <c r="F27" s="760" t="str">
        <f t="shared" si="0"/>
        <v/>
      </c>
      <c r="J27" s="441"/>
      <c r="K27" s="441"/>
    </row>
    <row r="28" spans="1:11" s="312" customFormat="1" ht="10.199999999999999" customHeight="1">
      <c r="A28" s="574" t="s">
        <v>569</v>
      </c>
      <c r="B28" s="425"/>
      <c r="C28" s="426">
        <v>0</v>
      </c>
      <c r="D28" s="426"/>
      <c r="E28" s="426">
        <v>0</v>
      </c>
      <c r="F28" s="759" t="str">
        <f t="shared" si="0"/>
        <v/>
      </c>
      <c r="J28" s="441"/>
      <c r="K28" s="441"/>
    </row>
    <row r="29" spans="1:11" s="312" customFormat="1" ht="10.199999999999999" customHeight="1">
      <c r="A29" s="573" t="s">
        <v>568</v>
      </c>
      <c r="B29" s="532" t="s">
        <v>621</v>
      </c>
      <c r="C29" s="533">
        <v>0</v>
      </c>
      <c r="D29" s="533"/>
      <c r="E29" s="533">
        <v>0</v>
      </c>
      <c r="F29" s="760" t="str">
        <f t="shared" si="0"/>
        <v/>
      </c>
      <c r="J29" s="441"/>
      <c r="K29" s="441"/>
    </row>
    <row r="30" spans="1:11" s="312" customFormat="1" ht="10.199999999999999" customHeight="1">
      <c r="A30" s="574" t="s">
        <v>570</v>
      </c>
      <c r="B30" s="425"/>
      <c r="C30" s="426">
        <v>0</v>
      </c>
      <c r="D30" s="426"/>
      <c r="E30" s="426">
        <v>0</v>
      </c>
      <c r="F30" s="759" t="str">
        <f t="shared" si="0"/>
        <v/>
      </c>
      <c r="J30" s="441"/>
      <c r="K30" s="441"/>
    </row>
    <row r="31" spans="1:11" s="312" customFormat="1" ht="10.199999999999999" customHeight="1">
      <c r="A31" s="573" t="s">
        <v>114</v>
      </c>
      <c r="B31" s="532" t="s">
        <v>74</v>
      </c>
      <c r="C31" s="533">
        <v>3.2</v>
      </c>
      <c r="D31" s="533">
        <v>3.6</v>
      </c>
      <c r="E31" s="533">
        <v>3.2</v>
      </c>
      <c r="F31" s="760">
        <f t="shared" si="0"/>
        <v>-0.11111111111111105</v>
      </c>
      <c r="J31" s="441"/>
      <c r="K31" s="441"/>
    </row>
    <row r="32" spans="1:11" s="312" customFormat="1" ht="10.199999999999999" customHeight="1">
      <c r="A32" s="574" t="s">
        <v>536</v>
      </c>
      <c r="B32" s="425"/>
      <c r="C32" s="426">
        <v>3.2</v>
      </c>
      <c r="D32" s="426">
        <v>3.6</v>
      </c>
      <c r="E32" s="426">
        <v>3.2</v>
      </c>
      <c r="F32" s="759">
        <f t="shared" si="0"/>
        <v>-0.11111111111111105</v>
      </c>
      <c r="J32" s="441"/>
      <c r="K32" s="441"/>
    </row>
    <row r="33" spans="1:11" s="312" customFormat="1" ht="10.199999999999999" customHeight="1">
      <c r="A33" s="573" t="s">
        <v>103</v>
      </c>
      <c r="B33" s="532" t="s">
        <v>320</v>
      </c>
      <c r="C33" s="533">
        <v>16.027529999999999</v>
      </c>
      <c r="D33" s="533">
        <v>19.237130000000001</v>
      </c>
      <c r="E33" s="533">
        <v>16.027529999999999</v>
      </c>
      <c r="F33" s="760">
        <f t="shared" si="0"/>
        <v>-0.16684401467370658</v>
      </c>
      <c r="J33" s="441"/>
      <c r="K33" s="441"/>
    </row>
    <row r="34" spans="1:11" s="312" customFormat="1" ht="10.199999999999999" customHeight="1">
      <c r="A34" s="574" t="s">
        <v>537</v>
      </c>
      <c r="B34" s="425"/>
      <c r="C34" s="426">
        <v>16.027529999999999</v>
      </c>
      <c r="D34" s="426">
        <v>19.237130000000001</v>
      </c>
      <c r="E34" s="426">
        <v>16.027529999999999</v>
      </c>
      <c r="F34" s="759">
        <f t="shared" si="0"/>
        <v>-0.16684401467370658</v>
      </c>
      <c r="J34" s="441"/>
      <c r="K34" s="441"/>
    </row>
    <row r="35" spans="1:11" s="312" customFormat="1" ht="10.199999999999999" customHeight="1">
      <c r="A35" s="573" t="s">
        <v>238</v>
      </c>
      <c r="B35" s="532" t="s">
        <v>59</v>
      </c>
      <c r="C35" s="533">
        <v>7.4131999999999998</v>
      </c>
      <c r="D35" s="533">
        <v>18.977820000000001</v>
      </c>
      <c r="E35" s="533">
        <v>7.4131999999999998</v>
      </c>
      <c r="F35" s="760">
        <f t="shared" si="0"/>
        <v>-0.60937557633068495</v>
      </c>
      <c r="J35" s="441"/>
      <c r="K35" s="441"/>
    </row>
    <row r="36" spans="1:11" s="312" customFormat="1" ht="10.199999999999999" customHeight="1">
      <c r="A36" s="574" t="s">
        <v>538</v>
      </c>
      <c r="B36" s="425"/>
      <c r="C36" s="426">
        <v>7.4131999999999998</v>
      </c>
      <c r="D36" s="426">
        <v>18.977820000000001</v>
      </c>
      <c r="E36" s="426">
        <v>7.4131999999999998</v>
      </c>
      <c r="F36" s="759">
        <f t="shared" si="0"/>
        <v>-0.60937557633068495</v>
      </c>
      <c r="J36" s="441"/>
      <c r="K36" s="441"/>
    </row>
    <row r="37" spans="1:11" s="312" customFormat="1" ht="10.199999999999999" customHeight="1">
      <c r="A37" s="573" t="s">
        <v>409</v>
      </c>
      <c r="B37" s="532" t="s">
        <v>457</v>
      </c>
      <c r="C37" s="533">
        <v>0.90400000000000003</v>
      </c>
      <c r="D37" s="533">
        <v>0.27900000000000003</v>
      </c>
      <c r="E37" s="533">
        <v>0.90400000000000003</v>
      </c>
      <c r="F37" s="760">
        <f t="shared" si="0"/>
        <v>2.2401433691756272</v>
      </c>
      <c r="J37" s="441"/>
      <c r="K37" s="441"/>
    </row>
    <row r="38" spans="1:11" s="312" customFormat="1" ht="10.199999999999999" customHeight="1">
      <c r="A38" s="574" t="s">
        <v>539</v>
      </c>
      <c r="B38" s="425"/>
      <c r="C38" s="426">
        <v>0.90400000000000003</v>
      </c>
      <c r="D38" s="426">
        <v>0.27900000000000003</v>
      </c>
      <c r="E38" s="426">
        <v>0.90400000000000003</v>
      </c>
      <c r="F38" s="759">
        <f t="shared" si="0"/>
        <v>2.2401433691756272</v>
      </c>
      <c r="J38" s="441"/>
      <c r="K38" s="441"/>
    </row>
    <row r="39" spans="1:11" s="312" customFormat="1" ht="10.199999999999999" customHeight="1">
      <c r="A39" s="573" t="s">
        <v>425</v>
      </c>
      <c r="B39" s="532" t="s">
        <v>429</v>
      </c>
      <c r="C39" s="533">
        <v>89.74315</v>
      </c>
      <c r="D39" s="533">
        <v>91.179059999999993</v>
      </c>
      <c r="E39" s="533">
        <v>89.74315</v>
      </c>
      <c r="F39" s="760">
        <f t="shared" si="0"/>
        <v>-1.5748243072477353E-2</v>
      </c>
      <c r="J39" s="441"/>
      <c r="K39" s="441"/>
    </row>
    <row r="40" spans="1:11" s="312" customFormat="1" ht="10.199999999999999" customHeight="1">
      <c r="A40" s="574" t="s">
        <v>540</v>
      </c>
      <c r="B40" s="425"/>
      <c r="C40" s="426">
        <v>89.74315</v>
      </c>
      <c r="D40" s="426">
        <v>91.179059999999993</v>
      </c>
      <c r="E40" s="426">
        <v>89.74315</v>
      </c>
      <c r="F40" s="759">
        <f t="shared" si="0"/>
        <v>-1.5748243072477353E-2</v>
      </c>
      <c r="J40" s="441"/>
      <c r="K40" s="441"/>
    </row>
    <row r="41" spans="1:11" s="312" customFormat="1" ht="10.199999999999999" customHeight="1">
      <c r="A41" s="577" t="s">
        <v>464</v>
      </c>
      <c r="B41" s="532" t="s">
        <v>485</v>
      </c>
      <c r="C41" s="533">
        <v>10.40391</v>
      </c>
      <c r="D41" s="533"/>
      <c r="E41" s="533">
        <v>10.40391</v>
      </c>
      <c r="F41" s="760" t="str">
        <f t="shared" si="0"/>
        <v/>
      </c>
      <c r="J41" s="441"/>
      <c r="K41" s="441"/>
    </row>
    <row r="42" spans="1:11" s="312" customFormat="1" ht="9.6" customHeight="1">
      <c r="A42" s="811" t="s">
        <v>541</v>
      </c>
      <c r="B42" s="425"/>
      <c r="C42" s="426">
        <v>10.40391</v>
      </c>
      <c r="D42" s="426"/>
      <c r="E42" s="426">
        <v>10.40391</v>
      </c>
      <c r="F42" s="759" t="str">
        <f t="shared" si="0"/>
        <v/>
      </c>
      <c r="J42" s="441"/>
      <c r="K42" s="441"/>
    </row>
    <row r="43" spans="1:11" s="312" customFormat="1" ht="10.199999999999999" customHeight="1">
      <c r="A43" s="573" t="s">
        <v>116</v>
      </c>
      <c r="B43" s="532" t="s">
        <v>322</v>
      </c>
      <c r="C43" s="533">
        <v>0</v>
      </c>
      <c r="D43" s="533">
        <v>0</v>
      </c>
      <c r="E43" s="533">
        <v>0</v>
      </c>
      <c r="F43" s="760" t="str">
        <f t="shared" si="0"/>
        <v/>
      </c>
      <c r="J43" s="441"/>
      <c r="K43" s="441"/>
    </row>
    <row r="44" spans="1:11" s="312" customFormat="1" ht="10.199999999999999" customHeight="1">
      <c r="A44" s="573"/>
      <c r="B44" s="532" t="s">
        <v>323</v>
      </c>
      <c r="C44" s="533">
        <v>0</v>
      </c>
      <c r="D44" s="533">
        <v>0</v>
      </c>
      <c r="E44" s="533">
        <v>0</v>
      </c>
      <c r="F44" s="760" t="str">
        <f t="shared" si="0"/>
        <v/>
      </c>
      <c r="J44" s="441"/>
      <c r="K44" s="441"/>
    </row>
    <row r="45" spans="1:11" s="312" customFormat="1" ht="10.199999999999999" customHeight="1">
      <c r="A45" s="574" t="s">
        <v>542</v>
      </c>
      <c r="B45" s="425"/>
      <c r="C45" s="426">
        <v>0</v>
      </c>
      <c r="D45" s="426">
        <v>0</v>
      </c>
      <c r="E45" s="426">
        <v>0</v>
      </c>
      <c r="F45" s="759" t="str">
        <f t="shared" si="0"/>
        <v/>
      </c>
      <c r="J45" s="441"/>
      <c r="K45" s="441"/>
    </row>
    <row r="46" spans="1:11" s="312" customFormat="1" ht="10.199999999999999" customHeight="1">
      <c r="A46" s="573" t="s">
        <v>407</v>
      </c>
      <c r="B46" s="532" t="s">
        <v>324</v>
      </c>
      <c r="C46" s="533">
        <v>616.02841999999998</v>
      </c>
      <c r="D46" s="533">
        <v>512.16022999999996</v>
      </c>
      <c r="E46" s="533">
        <v>616.02841999999998</v>
      </c>
      <c r="F46" s="760">
        <f t="shared" si="0"/>
        <v>0.20280409121184606</v>
      </c>
      <c r="J46" s="441"/>
      <c r="K46" s="441"/>
    </row>
    <row r="47" spans="1:11" s="312" customFormat="1" ht="10.199999999999999" customHeight="1">
      <c r="A47" s="573"/>
      <c r="B47" s="532" t="s">
        <v>325</v>
      </c>
      <c r="C47" s="533">
        <v>175.20802</v>
      </c>
      <c r="D47" s="533">
        <v>166.97462999999999</v>
      </c>
      <c r="E47" s="533">
        <v>175.20802</v>
      </c>
      <c r="F47" s="760">
        <f t="shared" si="0"/>
        <v>4.9309227395802679E-2</v>
      </c>
      <c r="J47" s="441"/>
      <c r="K47" s="441"/>
    </row>
    <row r="48" spans="1:11" s="312" customFormat="1" ht="10.199999999999999" customHeight="1">
      <c r="A48" s="573"/>
      <c r="B48" s="532" t="s">
        <v>427</v>
      </c>
      <c r="C48" s="533">
        <v>539.19046000000003</v>
      </c>
      <c r="D48" s="533">
        <v>538.13903000000005</v>
      </c>
      <c r="E48" s="533">
        <v>539.19046000000003</v>
      </c>
      <c r="F48" s="760">
        <f t="shared" si="0"/>
        <v>1.9538259471720831E-3</v>
      </c>
      <c r="J48" s="441"/>
      <c r="K48" s="441"/>
    </row>
    <row r="49" spans="1:11" s="312" customFormat="1" ht="10.199999999999999" customHeight="1">
      <c r="A49" s="573"/>
      <c r="B49" s="532" t="s">
        <v>326</v>
      </c>
      <c r="C49" s="533">
        <v>10.164020000000001</v>
      </c>
      <c r="D49" s="533">
        <v>10.120279999999999</v>
      </c>
      <c r="E49" s="533">
        <v>10.164020000000001</v>
      </c>
      <c r="F49" s="760">
        <f t="shared" si="0"/>
        <v>4.3220148059146535E-3</v>
      </c>
      <c r="J49" s="441"/>
      <c r="K49" s="441"/>
    </row>
    <row r="50" spans="1:11" s="312" customFormat="1" ht="10.199999999999999" customHeight="1">
      <c r="A50" s="574" t="s">
        <v>543</v>
      </c>
      <c r="B50" s="425"/>
      <c r="C50" s="426">
        <v>1340.5909199999999</v>
      </c>
      <c r="D50" s="426">
        <v>1227.39417</v>
      </c>
      <c r="E50" s="426">
        <v>1340.5909199999999</v>
      </c>
      <c r="F50" s="759">
        <f t="shared" si="0"/>
        <v>9.2225262891708182E-2</v>
      </c>
      <c r="J50" s="441"/>
      <c r="K50" s="441"/>
    </row>
    <row r="51" spans="1:11" s="312" customFormat="1" ht="10.199999999999999" customHeight="1">
      <c r="A51" s="573" t="s">
        <v>115</v>
      </c>
      <c r="B51" s="532" t="s">
        <v>72</v>
      </c>
      <c r="C51" s="533">
        <v>2.9035199999999999</v>
      </c>
      <c r="D51" s="533">
        <v>3.3507799999999999</v>
      </c>
      <c r="E51" s="533">
        <v>2.9035199999999999</v>
      </c>
      <c r="F51" s="760">
        <f t="shared" si="0"/>
        <v>-0.13347936898274437</v>
      </c>
      <c r="J51" s="441"/>
      <c r="K51" s="441"/>
    </row>
    <row r="52" spans="1:11" s="312" customFormat="1" ht="10.199999999999999" customHeight="1">
      <c r="A52" s="574" t="s">
        <v>544</v>
      </c>
      <c r="B52" s="425"/>
      <c r="C52" s="426">
        <v>2.9035199999999999</v>
      </c>
      <c r="D52" s="426">
        <v>3.3507799999999999</v>
      </c>
      <c r="E52" s="426">
        <v>2.9035199999999999</v>
      </c>
      <c r="F52" s="759">
        <f t="shared" si="0"/>
        <v>-0.13347936898274437</v>
      </c>
      <c r="J52" s="441"/>
      <c r="K52" s="441"/>
    </row>
    <row r="53" spans="1:11" s="312" customFormat="1" ht="10.199999999999999" customHeight="1">
      <c r="A53" s="573" t="s">
        <v>565</v>
      </c>
      <c r="B53" s="532" t="s">
        <v>231</v>
      </c>
      <c r="C53" s="533">
        <v>0</v>
      </c>
      <c r="D53" s="533">
        <v>0</v>
      </c>
      <c r="E53" s="533">
        <v>0</v>
      </c>
      <c r="F53" s="760" t="str">
        <f t="shared" si="0"/>
        <v/>
      </c>
      <c r="J53" s="441"/>
      <c r="K53" s="441"/>
    </row>
    <row r="54" spans="1:11" s="312" customFormat="1" ht="10.199999999999999" customHeight="1">
      <c r="A54" s="574" t="s">
        <v>571</v>
      </c>
      <c r="B54" s="425"/>
      <c r="C54" s="426">
        <v>0</v>
      </c>
      <c r="D54" s="426">
        <v>0</v>
      </c>
      <c r="E54" s="426">
        <v>0</v>
      </c>
      <c r="F54" s="759" t="str">
        <f t="shared" si="0"/>
        <v/>
      </c>
      <c r="J54" s="441"/>
      <c r="K54" s="441"/>
    </row>
    <row r="55" spans="1:11" s="312" customFormat="1" ht="10.199999999999999" customHeight="1">
      <c r="A55" s="573" t="s">
        <v>110</v>
      </c>
      <c r="B55" s="532" t="s">
        <v>81</v>
      </c>
      <c r="C55" s="533">
        <v>0</v>
      </c>
      <c r="D55" s="533">
        <v>0</v>
      </c>
      <c r="E55" s="533">
        <v>0</v>
      </c>
      <c r="F55" s="760" t="str">
        <f t="shared" si="0"/>
        <v/>
      </c>
      <c r="J55" s="441"/>
      <c r="K55" s="441"/>
    </row>
    <row r="56" spans="1:11" s="312" customFormat="1" ht="10.199999999999999" customHeight="1">
      <c r="A56" s="574" t="s">
        <v>545</v>
      </c>
      <c r="B56" s="425"/>
      <c r="C56" s="426">
        <v>0</v>
      </c>
      <c r="D56" s="426">
        <v>0</v>
      </c>
      <c r="E56" s="426">
        <v>0</v>
      </c>
      <c r="F56" s="759" t="str">
        <f t="shared" si="0"/>
        <v/>
      </c>
      <c r="J56" s="441"/>
      <c r="K56" s="441"/>
    </row>
    <row r="57" spans="1:11" s="312" customFormat="1" ht="10.199999999999999" customHeight="1">
      <c r="A57" s="573" t="s">
        <v>239</v>
      </c>
      <c r="B57" s="532" t="s">
        <v>71</v>
      </c>
      <c r="C57" s="533">
        <v>5.6152699999999998</v>
      </c>
      <c r="D57" s="533">
        <v>5.1224299999999996</v>
      </c>
      <c r="E57" s="533">
        <v>5.6152699999999998</v>
      </c>
      <c r="F57" s="760">
        <f t="shared" si="0"/>
        <v>9.6212149311947659E-2</v>
      </c>
      <c r="J57" s="441"/>
      <c r="K57" s="441"/>
    </row>
    <row r="58" spans="1:11" s="312" customFormat="1" ht="10.199999999999999" customHeight="1">
      <c r="A58" s="573"/>
      <c r="B58" s="532" t="s">
        <v>327</v>
      </c>
      <c r="C58" s="533">
        <v>238.92627999999999</v>
      </c>
      <c r="D58" s="533">
        <v>216.11985999999999</v>
      </c>
      <c r="E58" s="533">
        <v>238.92627999999999</v>
      </c>
      <c r="F58" s="760">
        <f t="shared" si="0"/>
        <v>0.10552672021904885</v>
      </c>
      <c r="J58" s="441"/>
      <c r="K58" s="441"/>
    </row>
    <row r="59" spans="1:11" s="312" customFormat="1" ht="10.199999999999999" customHeight="1">
      <c r="A59" s="573"/>
      <c r="B59" s="532" t="s">
        <v>328</v>
      </c>
      <c r="C59" s="533">
        <v>91.307590000000005</v>
      </c>
      <c r="D59" s="533">
        <v>74.997019999999992</v>
      </c>
      <c r="E59" s="533">
        <v>91.307590000000005</v>
      </c>
      <c r="F59" s="760">
        <f t="shared" si="0"/>
        <v>0.21748290798754422</v>
      </c>
      <c r="J59" s="441"/>
      <c r="K59" s="441"/>
    </row>
    <row r="60" spans="1:11" s="312" customFormat="1" ht="10.199999999999999" customHeight="1">
      <c r="A60" s="573"/>
      <c r="B60" s="532" t="s">
        <v>62</v>
      </c>
      <c r="C60" s="533">
        <v>9.9234399999999994</v>
      </c>
      <c r="D60" s="533">
        <v>9.9183400000000006</v>
      </c>
      <c r="E60" s="533">
        <v>9.9234399999999994</v>
      </c>
      <c r="F60" s="760">
        <f t="shared" si="0"/>
        <v>5.1419894861415294E-4</v>
      </c>
      <c r="J60" s="441"/>
      <c r="K60" s="441"/>
    </row>
    <row r="61" spans="1:11" s="312" customFormat="1" ht="10.199999999999999" customHeight="1">
      <c r="A61" s="574" t="s">
        <v>546</v>
      </c>
      <c r="B61" s="425"/>
      <c r="C61" s="426">
        <v>345.77258000000006</v>
      </c>
      <c r="D61" s="426">
        <v>306.15764999999999</v>
      </c>
      <c r="E61" s="426">
        <v>345.77258000000006</v>
      </c>
      <c r="F61" s="759">
        <f t="shared" si="0"/>
        <v>0.12939389232965448</v>
      </c>
      <c r="J61" s="441"/>
      <c r="K61" s="441"/>
    </row>
    <row r="62" spans="1:11" s="312" customFormat="1" ht="10.199999999999999" customHeight="1">
      <c r="A62" s="573" t="s">
        <v>240</v>
      </c>
      <c r="B62" s="532" t="s">
        <v>78</v>
      </c>
      <c r="C62" s="533">
        <v>26.21172</v>
      </c>
      <c r="D62" s="533">
        <v>18.936229999999998</v>
      </c>
      <c r="E62" s="533">
        <v>26.21172</v>
      </c>
      <c r="F62" s="760">
        <f t="shared" si="0"/>
        <v>0.38421005659521468</v>
      </c>
      <c r="J62" s="441"/>
      <c r="K62" s="441"/>
    </row>
    <row r="63" spans="1:11" s="312" customFormat="1" ht="10.199999999999999" customHeight="1">
      <c r="A63" s="574" t="s">
        <v>547</v>
      </c>
      <c r="B63" s="425"/>
      <c r="C63" s="426">
        <v>26.21172</v>
      </c>
      <c r="D63" s="426">
        <v>18.936229999999998</v>
      </c>
      <c r="E63" s="426">
        <v>26.21172</v>
      </c>
      <c r="F63" s="759">
        <f t="shared" si="0"/>
        <v>0.38421005659521468</v>
      </c>
      <c r="J63" s="441"/>
      <c r="K63" s="441"/>
    </row>
    <row r="64" spans="1:11" s="312" customFormat="1" ht="10.199999999999999" customHeight="1">
      <c r="A64" s="573" t="s">
        <v>99</v>
      </c>
      <c r="B64" s="532" t="s">
        <v>76</v>
      </c>
      <c r="C64" s="533">
        <v>78.827539999999999</v>
      </c>
      <c r="D64" s="533">
        <v>51.313720000000004</v>
      </c>
      <c r="E64" s="533">
        <v>78.827539999999999</v>
      </c>
      <c r="F64" s="760">
        <f t="shared" si="0"/>
        <v>0.53618837223261129</v>
      </c>
      <c r="J64" s="441"/>
      <c r="K64" s="441"/>
    </row>
    <row r="65" spans="1:11" s="312" customFormat="1" ht="10.199999999999999" customHeight="1">
      <c r="A65" s="574" t="s">
        <v>548</v>
      </c>
      <c r="B65" s="425"/>
      <c r="C65" s="426">
        <v>78.827539999999999</v>
      </c>
      <c r="D65" s="426">
        <v>51.313720000000004</v>
      </c>
      <c r="E65" s="426">
        <v>78.827539999999999</v>
      </c>
      <c r="F65" s="759">
        <f t="shared" si="0"/>
        <v>0.53618837223261129</v>
      </c>
      <c r="J65" s="441"/>
      <c r="K65" s="441"/>
    </row>
    <row r="66" spans="1:11" s="312" customFormat="1" ht="10.199999999999999" customHeight="1">
      <c r="A66" s="573" t="s">
        <v>107</v>
      </c>
      <c r="B66" s="532" t="s">
        <v>230</v>
      </c>
      <c r="C66" s="533">
        <v>0</v>
      </c>
      <c r="D66" s="533">
        <v>0</v>
      </c>
      <c r="E66" s="533">
        <v>0</v>
      </c>
      <c r="F66" s="760" t="str">
        <f t="shared" si="0"/>
        <v/>
      </c>
      <c r="J66" s="441"/>
      <c r="K66" s="441"/>
    </row>
    <row r="67" spans="1:11" s="312" customFormat="1" ht="10.199999999999999" customHeight="1">
      <c r="A67" s="574" t="s">
        <v>549</v>
      </c>
      <c r="B67" s="425"/>
      <c r="C67" s="426">
        <v>0</v>
      </c>
      <c r="D67" s="426">
        <v>0</v>
      </c>
      <c r="E67" s="426">
        <v>0</v>
      </c>
      <c r="F67" s="759" t="str">
        <f t="shared" si="0"/>
        <v/>
      </c>
      <c r="J67" s="441"/>
      <c r="K67" s="441"/>
    </row>
    <row r="68" spans="1:11" s="312" customFormat="1" ht="10.199999999999999" customHeight="1">
      <c r="A68" s="573" t="s">
        <v>408</v>
      </c>
      <c r="B68" s="532" t="s">
        <v>85</v>
      </c>
      <c r="C68" s="533">
        <v>2.8205400000000003</v>
      </c>
      <c r="D68" s="533">
        <v>1.4003000000000001</v>
      </c>
      <c r="E68" s="533">
        <v>2.8205400000000003</v>
      </c>
      <c r="F68" s="760">
        <f t="shared" si="0"/>
        <v>1.0142398057559094</v>
      </c>
      <c r="J68" s="441"/>
      <c r="K68" s="441"/>
    </row>
    <row r="69" spans="1:11" s="312" customFormat="1" ht="10.199999999999999" customHeight="1">
      <c r="A69" s="573"/>
      <c r="B69" s="532" t="s">
        <v>84</v>
      </c>
      <c r="C69" s="533">
        <v>4.4353800000000003</v>
      </c>
      <c r="D69" s="533">
        <v>4.1166</v>
      </c>
      <c r="E69" s="533">
        <v>4.4353800000000003</v>
      </c>
      <c r="F69" s="760">
        <f t="shared" si="0"/>
        <v>7.7437691298644529E-2</v>
      </c>
      <c r="J69" s="441"/>
      <c r="K69" s="441"/>
    </row>
    <row r="70" spans="1:11" ht="10.199999999999999" customHeight="1">
      <c r="A70" s="573"/>
      <c r="B70" s="532" t="s">
        <v>424</v>
      </c>
      <c r="C70" s="533">
        <v>2.3075299999999999</v>
      </c>
      <c r="D70" s="533">
        <v>2.2976000000000001</v>
      </c>
      <c r="E70" s="533">
        <v>2.3075299999999999</v>
      </c>
      <c r="F70" s="760"/>
    </row>
    <row r="71" spans="1:11" ht="10.199999999999999" customHeight="1">
      <c r="A71" s="573"/>
      <c r="B71" s="532" t="s">
        <v>478</v>
      </c>
      <c r="C71" s="533">
        <v>2.4023700000000003</v>
      </c>
      <c r="D71" s="533"/>
      <c r="E71" s="533">
        <v>2.4023700000000003</v>
      </c>
      <c r="F71" s="760"/>
    </row>
    <row r="72" spans="1:11" ht="10.199999999999999" customHeight="1">
      <c r="A72" s="574" t="s">
        <v>550</v>
      </c>
      <c r="B72" s="425"/>
      <c r="C72" s="426">
        <v>11.965820000000001</v>
      </c>
      <c r="D72" s="426">
        <v>7.8144999999999998</v>
      </c>
      <c r="E72" s="426">
        <v>11.965820000000001</v>
      </c>
      <c r="F72" s="759"/>
    </row>
    <row r="73" spans="1:11" ht="10.199999999999999" customHeight="1">
      <c r="A73" s="573" t="s">
        <v>241</v>
      </c>
      <c r="B73" s="532" t="s">
        <v>329</v>
      </c>
      <c r="C73" s="533">
        <v>0</v>
      </c>
      <c r="D73" s="533">
        <v>0</v>
      </c>
      <c r="E73" s="533">
        <v>0</v>
      </c>
      <c r="F73" s="760"/>
    </row>
    <row r="74" spans="1:11" ht="10.199999999999999" customHeight="1">
      <c r="A74" s="574" t="s">
        <v>551</v>
      </c>
      <c r="B74" s="425"/>
      <c r="C74" s="426">
        <v>0</v>
      </c>
      <c r="D74" s="426">
        <v>0</v>
      </c>
      <c r="E74" s="426">
        <v>0</v>
      </c>
      <c r="F74" s="759"/>
    </row>
    <row r="75" spans="1:11">
      <c r="F75" s="761"/>
    </row>
    <row r="76" spans="1:11">
      <c r="F76" s="761"/>
    </row>
    <row r="77" spans="1:11">
      <c r="F77" s="761"/>
    </row>
    <row r="78" spans="1:11">
      <c r="F78" s="761"/>
    </row>
    <row r="79" spans="1:11">
      <c r="F79" s="761"/>
    </row>
    <row r="80" spans="1:11">
      <c r="F80" s="761"/>
    </row>
    <row r="81" spans="6:6">
      <c r="F81" s="761"/>
    </row>
    <row r="82" spans="6:6">
      <c r="F82" s="761"/>
    </row>
    <row r="83" spans="6:6">
      <c r="F83" s="761"/>
    </row>
    <row r="84" spans="6:6">
      <c r="F84" s="761"/>
    </row>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Mensual-Enero 2021
INFSGI-MES-01-2021
09/02/2021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59"/>
  <sheetViews>
    <sheetView showGridLines="0" view="pageBreakPreview" zoomScaleNormal="100" zoomScaleSheetLayoutView="100" zoomScalePageLayoutView="140" workbookViewId="0">
      <selection activeCell="S15" sqref="S15"/>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12" customFormat="1" ht="11.25" customHeight="1">
      <c r="A1" s="928" t="s">
        <v>248</v>
      </c>
      <c r="B1" s="930" t="s">
        <v>54</v>
      </c>
      <c r="C1" s="930" t="s">
        <v>352</v>
      </c>
      <c r="D1" s="930"/>
      <c r="E1" s="930"/>
      <c r="F1" s="932"/>
    </row>
    <row r="2" spans="1:6" s="312" customFormat="1" ht="11.25" customHeight="1">
      <c r="A2" s="922"/>
      <c r="B2" s="925"/>
      <c r="C2" s="413" t="str">
        <f>UPPER('1. Resumen'!Q4)&amp;" "&amp;'1. Resumen'!Q5</f>
        <v>ENERO 2021</v>
      </c>
      <c r="D2" s="414" t="str">
        <f>UPPER('1. Resumen'!Q4)&amp;" "&amp;'1. Resumen'!Q5-1</f>
        <v>ENERO 2020</v>
      </c>
      <c r="E2" s="415" t="str">
        <f>UPPER('1. Resumen'!Q4)&amp;" "&amp;'1. Resumen'!Q5</f>
        <v>ENERO 2021</v>
      </c>
      <c r="F2" s="544" t="s">
        <v>619</v>
      </c>
    </row>
    <row r="3" spans="1:6" s="312" customFormat="1" ht="11.25" customHeight="1">
      <c r="A3" s="922"/>
      <c r="B3" s="925"/>
      <c r="C3" s="416">
        <f>'21. ANEXOII-1'!C4</f>
        <v>44204.822916666664</v>
      </c>
      <c r="D3" s="416">
        <f>'21. ANEXOII-1'!D4</f>
        <v>43854.8125</v>
      </c>
      <c r="E3" s="416">
        <f>'21. ANEXOII-1'!E4</f>
        <v>44204.822916666664</v>
      </c>
      <c r="F3" s="545" t="s">
        <v>349</v>
      </c>
    </row>
    <row r="4" spans="1:6" s="312" customFormat="1" ht="11.25" customHeight="1">
      <c r="A4" s="929"/>
      <c r="B4" s="931"/>
      <c r="C4" s="417">
        <f>+'8. Max Potencia'!D9</f>
        <v>44204.822916666664</v>
      </c>
      <c r="D4" s="417">
        <f>+'8. Max Potencia'!E9</f>
        <v>43854.8125</v>
      </c>
      <c r="E4" s="417">
        <f>+'22. ANEXOII-2'!E4</f>
        <v>44204.822916666664</v>
      </c>
      <c r="F4" s="546" t="s">
        <v>350</v>
      </c>
    </row>
    <row r="5" spans="1:6" s="312" customFormat="1" ht="10.5" customHeight="1">
      <c r="A5" s="573" t="s">
        <v>566</v>
      </c>
      <c r="B5" s="532" t="s">
        <v>82</v>
      </c>
      <c r="C5" s="533">
        <v>0</v>
      </c>
      <c r="D5" s="533">
        <v>0</v>
      </c>
      <c r="E5" s="533">
        <v>0</v>
      </c>
      <c r="F5" s="760" t="str">
        <f t="shared" ref="F5:F44" si="0">+IF(D5=0,"",C5/D5-1)</f>
        <v/>
      </c>
    </row>
    <row r="6" spans="1:6" s="312" customFormat="1" ht="10.5" customHeight="1">
      <c r="A6" s="574" t="s">
        <v>572</v>
      </c>
      <c r="B6" s="425"/>
      <c r="C6" s="426">
        <v>0</v>
      </c>
      <c r="D6" s="426">
        <v>0</v>
      </c>
      <c r="E6" s="426">
        <v>0</v>
      </c>
      <c r="F6" s="759" t="str">
        <f t="shared" si="0"/>
        <v/>
      </c>
    </row>
    <row r="7" spans="1:6" s="312" customFormat="1" ht="10.5" customHeight="1">
      <c r="A7" s="573" t="s">
        <v>439</v>
      </c>
      <c r="B7" s="532" t="s">
        <v>451</v>
      </c>
      <c r="C7" s="533">
        <v>19.997630000000001</v>
      </c>
      <c r="D7" s="533">
        <v>20.027450000000002</v>
      </c>
      <c r="E7" s="533">
        <v>19.997630000000001</v>
      </c>
      <c r="F7" s="760">
        <f t="shared" si="0"/>
        <v>-1.4889564073309325E-3</v>
      </c>
    </row>
    <row r="8" spans="1:6" s="312" customFormat="1" ht="10.5" customHeight="1">
      <c r="A8" s="574" t="s">
        <v>552</v>
      </c>
      <c r="B8" s="425"/>
      <c r="C8" s="426">
        <v>19.997630000000001</v>
      </c>
      <c r="D8" s="426">
        <v>20.027450000000002</v>
      </c>
      <c r="E8" s="426">
        <v>19.997630000000001</v>
      </c>
      <c r="F8" s="759">
        <f t="shared" si="0"/>
        <v>-1.4889564073309325E-3</v>
      </c>
    </row>
    <row r="9" spans="1:6" s="312" customFormat="1" ht="10.5" customHeight="1">
      <c r="A9" s="573" t="s">
        <v>104</v>
      </c>
      <c r="B9" s="532" t="s">
        <v>61</v>
      </c>
      <c r="C9" s="533">
        <v>18.21508</v>
      </c>
      <c r="D9" s="533">
        <v>9.8271099999999993</v>
      </c>
      <c r="E9" s="533">
        <v>18.21508</v>
      </c>
      <c r="F9" s="760">
        <f t="shared" si="0"/>
        <v>0.85355409677921612</v>
      </c>
    </row>
    <row r="10" spans="1:6" s="312" customFormat="1" ht="10.5" customHeight="1">
      <c r="A10" s="574" t="s">
        <v>553</v>
      </c>
      <c r="B10" s="425"/>
      <c r="C10" s="426">
        <v>18.21508</v>
      </c>
      <c r="D10" s="426">
        <v>9.8271099999999993</v>
      </c>
      <c r="E10" s="426">
        <v>18.21508</v>
      </c>
      <c r="F10" s="759">
        <f t="shared" si="0"/>
        <v>0.85355409677921612</v>
      </c>
    </row>
    <row r="11" spans="1:6" s="312" customFormat="1" ht="10.5" customHeight="1">
      <c r="A11" s="573" t="s">
        <v>242</v>
      </c>
      <c r="B11" s="532" t="s">
        <v>330</v>
      </c>
      <c r="C11" s="533">
        <v>0</v>
      </c>
      <c r="D11" s="533">
        <v>0</v>
      </c>
      <c r="E11" s="533">
        <v>0</v>
      </c>
      <c r="F11" s="760" t="str">
        <f t="shared" si="0"/>
        <v/>
      </c>
    </row>
    <row r="12" spans="1:6" s="312" customFormat="1" ht="10.5" customHeight="1">
      <c r="A12" s="574" t="s">
        <v>554</v>
      </c>
      <c r="B12" s="425"/>
      <c r="C12" s="426">
        <v>0</v>
      </c>
      <c r="D12" s="426">
        <v>0</v>
      </c>
      <c r="E12" s="426">
        <v>0</v>
      </c>
      <c r="F12" s="759" t="str">
        <f t="shared" si="0"/>
        <v/>
      </c>
    </row>
    <row r="13" spans="1:6" s="312" customFormat="1" ht="10.5" customHeight="1">
      <c r="A13" s="573" t="s">
        <v>95</v>
      </c>
      <c r="B13" s="532" t="s">
        <v>331</v>
      </c>
      <c r="C13" s="533">
        <v>109.55790999999999</v>
      </c>
      <c r="D13" s="533">
        <v>109.80475</v>
      </c>
      <c r="E13" s="533">
        <v>109.55790999999999</v>
      </c>
      <c r="F13" s="760">
        <f t="shared" si="0"/>
        <v>-2.2479901825741555E-3</v>
      </c>
    </row>
    <row r="14" spans="1:6" s="312" customFormat="1" ht="10.5" customHeight="1">
      <c r="A14" s="574" t="s">
        <v>555</v>
      </c>
      <c r="B14" s="425"/>
      <c r="C14" s="426">
        <v>109.55790999999999</v>
      </c>
      <c r="D14" s="426">
        <v>109.80475</v>
      </c>
      <c r="E14" s="426">
        <v>109.55790999999999</v>
      </c>
      <c r="F14" s="759">
        <f t="shared" si="0"/>
        <v>-2.2479901825741555E-3</v>
      </c>
    </row>
    <row r="15" spans="1:6" s="312" customFormat="1" ht="10.5" customHeight="1">
      <c r="A15" s="573" t="s">
        <v>426</v>
      </c>
      <c r="B15" s="532" t="s">
        <v>458</v>
      </c>
      <c r="C15" s="533">
        <v>6.7641600000000004</v>
      </c>
      <c r="D15" s="533">
        <v>8.5399999999999991</v>
      </c>
      <c r="E15" s="533">
        <v>6.7641600000000004</v>
      </c>
      <c r="F15" s="760">
        <f t="shared" si="0"/>
        <v>-0.20794379391100692</v>
      </c>
    </row>
    <row r="16" spans="1:6" s="312" customFormat="1" ht="10.5" customHeight="1">
      <c r="A16" s="574" t="s">
        <v>556</v>
      </c>
      <c r="B16" s="425"/>
      <c r="C16" s="426">
        <v>6.7641600000000004</v>
      </c>
      <c r="D16" s="426">
        <v>8.5399999999999991</v>
      </c>
      <c r="E16" s="426">
        <v>6.7641600000000004</v>
      </c>
      <c r="F16" s="759">
        <f t="shared" si="0"/>
        <v>-0.20794379391100692</v>
      </c>
    </row>
    <row r="17" spans="1:6" s="312" customFormat="1" ht="10.5" customHeight="1">
      <c r="A17" s="573" t="s">
        <v>399</v>
      </c>
      <c r="B17" s="532" t="s">
        <v>403</v>
      </c>
      <c r="C17" s="533">
        <v>20.4907</v>
      </c>
      <c r="D17" s="533">
        <v>20.112200000000001</v>
      </c>
      <c r="E17" s="533">
        <v>20.4907</v>
      </c>
      <c r="F17" s="760">
        <f t="shared" si="0"/>
        <v>1.881942303676376E-2</v>
      </c>
    </row>
    <row r="18" spans="1:6" s="312" customFormat="1" ht="10.5" customHeight="1">
      <c r="A18" s="574" t="s">
        <v>557</v>
      </c>
      <c r="B18" s="425"/>
      <c r="C18" s="426">
        <v>20.4907</v>
      </c>
      <c r="D18" s="426">
        <v>20.112200000000001</v>
      </c>
      <c r="E18" s="426">
        <v>20.4907</v>
      </c>
      <c r="F18" s="759">
        <f t="shared" si="0"/>
        <v>1.881942303676376E-2</v>
      </c>
    </row>
    <row r="19" spans="1:6" s="312" customFormat="1" ht="10.5" customHeight="1">
      <c r="A19" s="573" t="s">
        <v>102</v>
      </c>
      <c r="B19" s="532" t="s">
        <v>332</v>
      </c>
      <c r="C19" s="533">
        <v>0</v>
      </c>
      <c r="D19" s="533">
        <v>26.1267</v>
      </c>
      <c r="E19" s="533">
        <v>0</v>
      </c>
      <c r="F19" s="760">
        <f t="shared" si="0"/>
        <v>-1</v>
      </c>
    </row>
    <row r="20" spans="1:6" s="312" customFormat="1" ht="10.5" customHeight="1">
      <c r="A20" s="574" t="s">
        <v>558</v>
      </c>
      <c r="B20" s="425"/>
      <c r="C20" s="426">
        <v>0</v>
      </c>
      <c r="D20" s="426">
        <v>26.1267</v>
      </c>
      <c r="E20" s="426">
        <v>0</v>
      </c>
      <c r="F20" s="759">
        <f t="shared" si="0"/>
        <v>-1</v>
      </c>
    </row>
    <row r="21" spans="1:6" s="312" customFormat="1" ht="10.5" customHeight="1">
      <c r="A21" s="573" t="s">
        <v>117</v>
      </c>
      <c r="B21" s="532" t="s">
        <v>333</v>
      </c>
      <c r="C21" s="533">
        <v>0</v>
      </c>
      <c r="D21" s="533">
        <v>0</v>
      </c>
      <c r="E21" s="533">
        <v>0</v>
      </c>
      <c r="F21" s="760" t="str">
        <f t="shared" si="0"/>
        <v/>
      </c>
    </row>
    <row r="22" spans="1:6" s="312" customFormat="1" ht="10.5" customHeight="1">
      <c r="A22" s="574" t="s">
        <v>559</v>
      </c>
      <c r="B22" s="425"/>
      <c r="C22" s="426">
        <v>0</v>
      </c>
      <c r="D22" s="426">
        <v>0</v>
      </c>
      <c r="E22" s="426">
        <v>0</v>
      </c>
      <c r="F22" s="759" t="str">
        <f t="shared" si="0"/>
        <v/>
      </c>
    </row>
    <row r="23" spans="1:6" s="312" customFormat="1" ht="10.5" customHeight="1">
      <c r="A23" s="573" t="s">
        <v>111</v>
      </c>
      <c r="B23" s="532" t="s">
        <v>452</v>
      </c>
      <c r="C23" s="533">
        <v>19.985199999999999</v>
      </c>
      <c r="D23" s="533">
        <v>19.999499999999998</v>
      </c>
      <c r="E23" s="533">
        <v>19.985199999999999</v>
      </c>
      <c r="F23" s="760">
        <f t="shared" si="0"/>
        <v>-7.1501787544681061E-4</v>
      </c>
    </row>
    <row r="24" spans="1:6" s="312" customFormat="1" ht="10.5" customHeight="1">
      <c r="A24" s="573"/>
      <c r="B24" s="532" t="s">
        <v>69</v>
      </c>
      <c r="C24" s="533">
        <v>3.3915500000000001</v>
      </c>
      <c r="D24" s="533">
        <v>6.2513300000000003</v>
      </c>
      <c r="E24" s="533">
        <v>3.3915500000000001</v>
      </c>
      <c r="F24" s="760">
        <f t="shared" si="0"/>
        <v>-0.45746745092644292</v>
      </c>
    </row>
    <row r="25" spans="1:6" s="312" customFormat="1" ht="10.5" customHeight="1">
      <c r="A25" s="574" t="s">
        <v>560</v>
      </c>
      <c r="B25" s="425"/>
      <c r="C25" s="426">
        <v>23.376749999999998</v>
      </c>
      <c r="D25" s="426">
        <v>26.250829999999997</v>
      </c>
      <c r="E25" s="426">
        <v>23.376749999999998</v>
      </c>
      <c r="F25" s="759">
        <f t="shared" si="0"/>
        <v>-0.10948530008384494</v>
      </c>
    </row>
    <row r="26" spans="1:6" s="312" customFormat="1" ht="10.5" customHeight="1">
      <c r="A26" s="573" t="s">
        <v>90</v>
      </c>
      <c r="B26" s="532" t="s">
        <v>334</v>
      </c>
      <c r="C26" s="533">
        <v>45.227310000000003</v>
      </c>
      <c r="D26" s="533">
        <v>44.747900000000001</v>
      </c>
      <c r="E26" s="533">
        <v>45.227310000000003</v>
      </c>
      <c r="F26" s="760">
        <f t="shared" si="0"/>
        <v>1.0713575385660645E-2</v>
      </c>
    </row>
    <row r="27" spans="1:6" s="312" customFormat="1" ht="10.5" customHeight="1">
      <c r="A27" s="573"/>
      <c r="B27" s="532" t="s">
        <v>335</v>
      </c>
      <c r="C27" s="533">
        <v>164.11106999999998</v>
      </c>
      <c r="D27" s="533">
        <v>150.96379000000002</v>
      </c>
      <c r="E27" s="533">
        <v>164.11106999999998</v>
      </c>
      <c r="F27" s="760">
        <f t="shared" si="0"/>
        <v>8.7088963518999973E-2</v>
      </c>
    </row>
    <row r="28" spans="1:6" s="312" customFormat="1" ht="10.5" customHeight="1">
      <c r="A28" s="573"/>
      <c r="B28" s="532" t="s">
        <v>336</v>
      </c>
      <c r="C28" s="533">
        <v>13.955640000000001</v>
      </c>
      <c r="D28" s="533">
        <v>30.823529999999998</v>
      </c>
      <c r="E28" s="533">
        <v>13.955640000000001</v>
      </c>
      <c r="F28" s="760">
        <f t="shared" si="0"/>
        <v>-0.54724069566334543</v>
      </c>
    </row>
    <row r="29" spans="1:6" s="312" customFormat="1" ht="10.5" customHeight="1">
      <c r="A29" s="573"/>
      <c r="B29" s="532" t="s">
        <v>337</v>
      </c>
      <c r="C29" s="533">
        <v>0.21765999999999999</v>
      </c>
      <c r="D29" s="533">
        <v>0</v>
      </c>
      <c r="E29" s="533">
        <v>0.21765999999999999</v>
      </c>
      <c r="F29" s="760" t="str">
        <f t="shared" si="0"/>
        <v/>
      </c>
    </row>
    <row r="30" spans="1:6" s="312" customFormat="1" ht="10.5" customHeight="1">
      <c r="A30" s="573"/>
      <c r="B30" s="532" t="s">
        <v>338</v>
      </c>
      <c r="C30" s="533">
        <v>46.688270000000003</v>
      </c>
      <c r="D30" s="533">
        <v>29.907339999999998</v>
      </c>
      <c r="E30" s="533">
        <v>46.688270000000003</v>
      </c>
      <c r="F30" s="760">
        <f t="shared" si="0"/>
        <v>0.56109737609563415</v>
      </c>
    </row>
    <row r="31" spans="1:6" s="312" customFormat="1" ht="10.5" customHeight="1">
      <c r="A31" s="573"/>
      <c r="B31" s="532" t="s">
        <v>339</v>
      </c>
      <c r="C31" s="533">
        <v>3.5510899999999999</v>
      </c>
      <c r="D31" s="533">
        <v>3.6428600000000002</v>
      </c>
      <c r="E31" s="533">
        <v>3.5510899999999999</v>
      </c>
      <c r="F31" s="760">
        <f t="shared" si="0"/>
        <v>-2.5191744947651085E-2</v>
      </c>
    </row>
    <row r="32" spans="1:6" s="312" customFormat="1" ht="10.5" customHeight="1">
      <c r="A32" s="573"/>
      <c r="B32" s="532" t="s">
        <v>340</v>
      </c>
      <c r="C32" s="533">
        <v>0</v>
      </c>
      <c r="D32" s="533">
        <v>8.3591999999999995</v>
      </c>
      <c r="E32" s="533">
        <v>0</v>
      </c>
      <c r="F32" s="760">
        <f t="shared" si="0"/>
        <v>-1</v>
      </c>
    </row>
    <row r="33" spans="1:6" s="312" customFormat="1" ht="10.5" customHeight="1">
      <c r="A33" s="573"/>
      <c r="B33" s="532" t="s">
        <v>341</v>
      </c>
      <c r="C33" s="533">
        <v>0</v>
      </c>
      <c r="D33" s="533">
        <v>1.9251</v>
      </c>
      <c r="E33" s="533">
        <v>0</v>
      </c>
      <c r="F33" s="760">
        <f t="shared" si="0"/>
        <v>-1</v>
      </c>
    </row>
    <row r="34" spans="1:6" s="312" customFormat="1" ht="10.5" customHeight="1">
      <c r="A34" s="573"/>
      <c r="B34" s="532" t="s">
        <v>342</v>
      </c>
      <c r="C34" s="533">
        <v>2.56616</v>
      </c>
      <c r="D34" s="533">
        <v>3.9552300000000002</v>
      </c>
      <c r="E34" s="533">
        <v>2.56616</v>
      </c>
      <c r="F34" s="760"/>
    </row>
    <row r="35" spans="1:6" s="312" customFormat="1" ht="10.5" customHeight="1">
      <c r="A35" s="573"/>
      <c r="B35" s="532" t="s">
        <v>343</v>
      </c>
      <c r="C35" s="533">
        <v>0</v>
      </c>
      <c r="D35" s="533">
        <v>0.53</v>
      </c>
      <c r="E35" s="533">
        <v>0</v>
      </c>
      <c r="F35" s="760"/>
    </row>
    <row r="36" spans="1:6" s="312" customFormat="1" ht="10.5" customHeight="1">
      <c r="A36" s="573"/>
      <c r="B36" s="532" t="s">
        <v>344</v>
      </c>
      <c r="C36" s="533">
        <v>0.32818000000000003</v>
      </c>
      <c r="D36" s="533">
        <v>0.41</v>
      </c>
      <c r="E36" s="533">
        <v>0.32818000000000003</v>
      </c>
      <c r="F36" s="760"/>
    </row>
    <row r="37" spans="1:6" s="312" customFormat="1" ht="10.5" customHeight="1">
      <c r="A37" s="573"/>
      <c r="B37" s="532" t="s">
        <v>345</v>
      </c>
      <c r="C37" s="533">
        <v>94.893659999999983</v>
      </c>
      <c r="D37" s="533">
        <v>106.97289000000001</v>
      </c>
      <c r="E37" s="533">
        <v>94.893659999999983</v>
      </c>
      <c r="F37" s="760"/>
    </row>
    <row r="38" spans="1:6" s="312" customFormat="1" ht="10.5" customHeight="1">
      <c r="A38" s="574" t="s">
        <v>561</v>
      </c>
      <c r="B38" s="425"/>
      <c r="C38" s="426">
        <v>371.53903999999989</v>
      </c>
      <c r="D38" s="426">
        <v>382.23783999999995</v>
      </c>
      <c r="E38" s="426">
        <v>371.53903999999989</v>
      </c>
      <c r="F38" s="759"/>
    </row>
    <row r="39" spans="1:6" s="312" customFormat="1" ht="10.5" customHeight="1">
      <c r="A39" s="573" t="s">
        <v>109</v>
      </c>
      <c r="B39" s="532" t="s">
        <v>229</v>
      </c>
      <c r="C39" s="533">
        <v>0</v>
      </c>
      <c r="D39" s="533">
        <v>0</v>
      </c>
      <c r="E39" s="533">
        <v>0</v>
      </c>
      <c r="F39" s="760" t="str">
        <f t="shared" si="0"/>
        <v/>
      </c>
    </row>
    <row r="40" spans="1:6" s="312" customFormat="1" ht="10.5" customHeight="1">
      <c r="A40" s="574" t="s">
        <v>562</v>
      </c>
      <c r="B40" s="425"/>
      <c r="C40" s="426">
        <v>0</v>
      </c>
      <c r="D40" s="426">
        <v>0</v>
      </c>
      <c r="E40" s="426">
        <v>0</v>
      </c>
      <c r="F40" s="759" t="str">
        <f t="shared" si="0"/>
        <v/>
      </c>
    </row>
    <row r="41" spans="1:6" s="312" customFormat="1" ht="10.5" customHeight="1">
      <c r="A41" s="573" t="s">
        <v>100</v>
      </c>
      <c r="B41" s="532" t="s">
        <v>428</v>
      </c>
      <c r="C41" s="533">
        <v>0</v>
      </c>
      <c r="D41" s="533">
        <v>283.67838</v>
      </c>
      <c r="E41" s="533">
        <v>0</v>
      </c>
      <c r="F41" s="760">
        <f t="shared" si="0"/>
        <v>-1</v>
      </c>
    </row>
    <row r="42" spans="1:6" s="312" customFormat="1" ht="10.5" customHeight="1">
      <c r="A42" s="574" t="s">
        <v>563</v>
      </c>
      <c r="B42" s="425"/>
      <c r="C42" s="426">
        <v>0</v>
      </c>
      <c r="D42" s="426">
        <v>283.67838</v>
      </c>
      <c r="E42" s="426">
        <v>0</v>
      </c>
      <c r="F42" s="759">
        <f t="shared" si="0"/>
        <v>-1</v>
      </c>
    </row>
    <row r="43" spans="1:6" s="312" customFormat="1" ht="10.5" customHeight="1">
      <c r="A43" s="573" t="s">
        <v>105</v>
      </c>
      <c r="B43" s="532" t="s">
        <v>346</v>
      </c>
      <c r="C43" s="532">
        <v>80.662229999999994</v>
      </c>
      <c r="D43" s="533">
        <v>75.428049999999999</v>
      </c>
      <c r="E43" s="533">
        <v>80.662229999999994</v>
      </c>
      <c r="F43" s="760">
        <f t="shared" si="0"/>
        <v>6.9393017584307159E-2</v>
      </c>
    </row>
    <row r="44" spans="1:6" s="312" customFormat="1" ht="10.5" customHeight="1">
      <c r="A44" s="574" t="s">
        <v>564</v>
      </c>
      <c r="B44" s="425"/>
      <c r="C44" s="426">
        <v>80.662229999999994</v>
      </c>
      <c r="D44" s="426">
        <v>75.428049999999999</v>
      </c>
      <c r="E44" s="426">
        <v>80.662229999999994</v>
      </c>
      <c r="F44" s="759">
        <f t="shared" si="0"/>
        <v>6.9393017584307159E-2</v>
      </c>
    </row>
    <row r="45" spans="1:6" s="312" customFormat="1" ht="10.5" customHeight="1">
      <c r="A45" s="573"/>
      <c r="B45" s="532"/>
      <c r="C45" s="534"/>
      <c r="D45" s="625"/>
      <c r="E45" s="625"/>
      <c r="F45" s="626"/>
    </row>
    <row r="46" spans="1:6" s="343" customFormat="1" ht="12" customHeight="1">
      <c r="A46" s="410" t="s">
        <v>401</v>
      </c>
      <c r="B46" s="420"/>
      <c r="C46" s="409">
        <v>6909.6371900000022</v>
      </c>
      <c r="D46" s="409">
        <v>7070.6282100000017</v>
      </c>
      <c r="E46" s="409">
        <v>6909.6371900000022</v>
      </c>
      <c r="F46" s="549">
        <f>+IF(D46=0,"",C46/D46-1)</f>
        <v>-2.2768983917484054E-2</v>
      </c>
    </row>
    <row r="47" spans="1:6" s="343" customFormat="1" ht="12" customHeight="1">
      <c r="A47" s="420" t="s">
        <v>347</v>
      </c>
      <c r="B47" s="410"/>
      <c r="C47" s="409">
        <f>+'8. Max Potencia'!D16</f>
        <v>0</v>
      </c>
      <c r="D47" s="409">
        <f>+'8. Max Potencia'!E16</f>
        <v>0</v>
      </c>
      <c r="E47" s="412">
        <v>0</v>
      </c>
      <c r="F47" s="550">
        <v>0</v>
      </c>
    </row>
    <row r="48" spans="1:6" s="343" customFormat="1" ht="12" customHeight="1">
      <c r="A48" s="551" t="s">
        <v>348</v>
      </c>
      <c r="B48" s="551"/>
      <c r="C48" s="409">
        <v>0</v>
      </c>
      <c r="D48" s="409">
        <v>0</v>
      </c>
      <c r="E48" s="412">
        <v>0</v>
      </c>
      <c r="F48" s="550">
        <v>0</v>
      </c>
    </row>
    <row r="49" spans="1:7" ht="12" customHeight="1">
      <c r="A49" s="609" t="s">
        <v>446</v>
      </c>
      <c r="B49" s="551"/>
      <c r="C49" s="409">
        <f>+C46+C47-C48</f>
        <v>6909.6371900000022</v>
      </c>
      <c r="D49" s="409">
        <f>+D46+D47-D48</f>
        <v>7070.6282100000017</v>
      </c>
      <c r="E49" s="409">
        <f>+E46+E47-E48</f>
        <v>6909.6371900000022</v>
      </c>
      <c r="F49" s="549">
        <f>+IF(D49=0,"",C49/D49-1)</f>
        <v>-2.2768983917484054E-2</v>
      </c>
    </row>
    <row r="50" spans="1:7" ht="12" customHeight="1">
      <c r="A50" s="532"/>
      <c r="B50" s="535"/>
      <c r="C50" s="535"/>
      <c r="D50" s="535"/>
      <c r="E50" s="535"/>
      <c r="F50" s="535"/>
    </row>
    <row r="51" spans="1:7" ht="27.75" customHeight="1">
      <c r="A51" s="920" t="s">
        <v>460</v>
      </c>
      <c r="B51" s="920"/>
      <c r="C51" s="920"/>
      <c r="D51" s="920"/>
      <c r="E51" s="920"/>
      <c r="F51" s="920"/>
    </row>
    <row r="52" spans="1:7" ht="15" customHeight="1">
      <c r="A52" s="933"/>
      <c r="B52" s="933"/>
      <c r="C52" s="933"/>
      <c r="D52" s="933"/>
      <c r="E52" s="933"/>
      <c r="F52" s="933"/>
      <c r="G52" s="589"/>
    </row>
    <row r="53" spans="1:7" ht="15" customHeight="1">
      <c r="A53" s="809" t="s">
        <v>617</v>
      </c>
      <c r="B53" s="589"/>
      <c r="C53" s="589"/>
      <c r="D53" s="589"/>
      <c r="E53" s="589"/>
      <c r="F53" s="589"/>
      <c r="G53" s="589"/>
    </row>
    <row r="54" spans="1:7" ht="15" customHeight="1">
      <c r="A54" s="810" t="s">
        <v>782</v>
      </c>
      <c r="B54" s="589"/>
      <c r="C54" s="589"/>
      <c r="D54" s="589"/>
      <c r="E54" s="589"/>
      <c r="F54" s="589"/>
      <c r="G54" s="589"/>
    </row>
    <row r="55" spans="1:7" ht="15" customHeight="1">
      <c r="A55" s="589"/>
      <c r="B55" s="589"/>
      <c r="C55" s="589"/>
      <c r="D55" s="589"/>
      <c r="E55" s="589"/>
      <c r="F55" s="589"/>
      <c r="G55" s="589"/>
    </row>
    <row r="56" spans="1:7" ht="15" customHeight="1">
      <c r="A56" s="589"/>
      <c r="B56" s="589"/>
      <c r="C56" s="589"/>
      <c r="D56" s="589"/>
      <c r="E56" s="589"/>
      <c r="F56" s="589"/>
      <c r="G56" s="46"/>
    </row>
    <row r="57" spans="1:7" ht="15" customHeight="1">
      <c r="A57" s="933"/>
      <c r="B57" s="933"/>
      <c r="C57" s="933"/>
      <c r="D57" s="933"/>
      <c r="E57" s="933"/>
      <c r="F57" s="933"/>
      <c r="G57" s="46"/>
    </row>
    <row r="58" spans="1:7" ht="12" customHeight="1">
      <c r="A58" s="312"/>
    </row>
    <row r="59" spans="1:7" ht="12" customHeight="1">
      <c r="A59" s="312"/>
    </row>
  </sheetData>
  <mergeCells count="6">
    <mergeCell ref="A57:F57"/>
    <mergeCell ref="A1:A4"/>
    <mergeCell ref="B1:B4"/>
    <mergeCell ref="C1:F1"/>
    <mergeCell ref="A51:F51"/>
    <mergeCell ref="A52:F5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4"/>
  <sheetViews>
    <sheetView showGridLines="0" view="pageBreakPreview" zoomScale="115" zoomScaleNormal="100" zoomScaleSheetLayoutView="115" workbookViewId="0">
      <selection activeCell="S15" sqref="S15"/>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0"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360</v>
      </c>
      <c r="B3" s="272"/>
    </row>
    <row r="4" spans="1:13" ht="11.25" customHeight="1">
      <c r="B4" s="272"/>
    </row>
    <row r="5" spans="1:13" ht="11.25" customHeight="1">
      <c r="A5" s="273" t="s">
        <v>406</v>
      </c>
      <c r="C5" s="762">
        <v>6909.6371900000004</v>
      </c>
    </row>
    <row r="6" spans="1:13" ht="11.25" customHeight="1">
      <c r="A6" s="273" t="s">
        <v>361</v>
      </c>
      <c r="C6" s="762" t="s">
        <v>632</v>
      </c>
    </row>
    <row r="7" spans="1:13" ht="11.25" customHeight="1">
      <c r="A7" s="273" t="s">
        <v>362</v>
      </c>
      <c r="C7" s="762" t="s">
        <v>444</v>
      </c>
    </row>
    <row r="8" spans="1:13" ht="11.25" customHeight="1"/>
    <row r="9" spans="1:13" ht="14.25" customHeight="1">
      <c r="A9" s="934" t="s">
        <v>353</v>
      </c>
      <c r="B9" s="935" t="s">
        <v>354</v>
      </c>
      <c r="C9" s="935"/>
      <c r="D9" s="935"/>
      <c r="E9" s="935"/>
      <c r="F9" s="935"/>
      <c r="G9" s="935" t="s">
        <v>355</v>
      </c>
      <c r="H9" s="935"/>
      <c r="I9" s="935"/>
      <c r="J9" s="935"/>
      <c r="K9" s="935"/>
    </row>
    <row r="10" spans="1:13" ht="26.25" customHeight="1">
      <c r="A10" s="934"/>
      <c r="B10" s="418" t="s">
        <v>356</v>
      </c>
      <c r="C10" s="418" t="s">
        <v>197</v>
      </c>
      <c r="D10" s="418" t="s">
        <v>347</v>
      </c>
      <c r="E10" s="418" t="s">
        <v>348</v>
      </c>
      <c r="F10" s="419" t="s">
        <v>359</v>
      </c>
      <c r="G10" s="418" t="s">
        <v>356</v>
      </c>
      <c r="H10" s="418" t="s">
        <v>197</v>
      </c>
      <c r="I10" s="418" t="s">
        <v>347</v>
      </c>
      <c r="J10" s="418" t="s">
        <v>348</v>
      </c>
      <c r="K10" s="419" t="s">
        <v>359</v>
      </c>
      <c r="L10" s="36"/>
      <c r="M10" s="46"/>
    </row>
    <row r="11" spans="1:13" ht="11.25" customHeight="1">
      <c r="A11" s="934"/>
      <c r="B11" s="418" t="s">
        <v>357</v>
      </c>
      <c r="C11" s="418" t="s">
        <v>358</v>
      </c>
      <c r="D11" s="418" t="s">
        <v>358</v>
      </c>
      <c r="E11" s="418" t="s">
        <v>358</v>
      </c>
      <c r="F11" s="418" t="s">
        <v>358</v>
      </c>
      <c r="G11" s="418" t="s">
        <v>357</v>
      </c>
      <c r="H11" s="418" t="s">
        <v>358</v>
      </c>
      <c r="I11" s="418" t="s">
        <v>358</v>
      </c>
      <c r="J11" s="418" t="s">
        <v>358</v>
      </c>
      <c r="K11" s="418" t="s">
        <v>358</v>
      </c>
      <c r="L11" s="36"/>
      <c r="M11" s="46"/>
    </row>
    <row r="12" spans="1:13" ht="11.25" customHeight="1">
      <c r="A12" s="763" t="s">
        <v>622</v>
      </c>
      <c r="B12" s="764" t="s">
        <v>466</v>
      </c>
      <c r="C12" s="764">
        <v>5732.48128</v>
      </c>
      <c r="D12" s="764">
        <v>0</v>
      </c>
      <c r="E12" s="764">
        <v>0</v>
      </c>
      <c r="F12" s="764">
        <v>5732.48128</v>
      </c>
      <c r="G12" s="764" t="s">
        <v>476</v>
      </c>
      <c r="H12" s="764">
        <v>6005.8963299999996</v>
      </c>
      <c r="I12" s="764">
        <v>0</v>
      </c>
      <c r="J12" s="764">
        <v>0</v>
      </c>
      <c r="K12" s="764">
        <v>6005.8963299999996</v>
      </c>
      <c r="L12" s="205"/>
      <c r="M12" s="46"/>
    </row>
    <row r="13" spans="1:13" ht="11.25" customHeight="1">
      <c r="A13" s="763" t="s">
        <v>623</v>
      </c>
      <c r="B13" s="764" t="s">
        <v>624</v>
      </c>
      <c r="C13" s="764">
        <v>6169.4934999999996</v>
      </c>
      <c r="D13" s="764">
        <v>0</v>
      </c>
      <c r="E13" s="764">
        <v>0</v>
      </c>
      <c r="F13" s="764">
        <v>6169.4934999999996</v>
      </c>
      <c r="G13" s="764" t="s">
        <v>502</v>
      </c>
      <c r="H13" s="764">
        <v>6452.3163400000003</v>
      </c>
      <c r="I13" s="764">
        <v>0</v>
      </c>
      <c r="J13" s="764">
        <v>0</v>
      </c>
      <c r="K13" s="764">
        <v>6452.3163400000003</v>
      </c>
      <c r="L13" s="5"/>
    </row>
    <row r="14" spans="1:13" ht="11.25" customHeight="1">
      <c r="A14" s="763" t="s">
        <v>625</v>
      </c>
      <c r="B14" s="764" t="s">
        <v>624</v>
      </c>
      <c r="C14" s="764">
        <v>5843.1949699999996</v>
      </c>
      <c r="D14" s="764">
        <v>0</v>
      </c>
      <c r="E14" s="764">
        <v>0</v>
      </c>
      <c r="F14" s="764">
        <v>5843.1949699999996</v>
      </c>
      <c r="G14" s="764" t="s">
        <v>502</v>
      </c>
      <c r="H14" s="764">
        <v>6448.1457600000003</v>
      </c>
      <c r="I14" s="764">
        <v>0</v>
      </c>
      <c r="J14" s="764">
        <v>0</v>
      </c>
      <c r="K14" s="764">
        <v>6448.1457600000003</v>
      </c>
      <c r="L14" s="15"/>
    </row>
    <row r="15" spans="1:13" ht="11.25" customHeight="1">
      <c r="A15" s="763" t="s">
        <v>626</v>
      </c>
      <c r="B15" s="764" t="s">
        <v>465</v>
      </c>
      <c r="C15" s="764">
        <v>6642.4592599999996</v>
      </c>
      <c r="D15" s="764">
        <v>0</v>
      </c>
      <c r="E15" s="764">
        <v>0</v>
      </c>
      <c r="F15" s="764">
        <v>6642.4592599999996</v>
      </c>
      <c r="G15" s="764" t="s">
        <v>444</v>
      </c>
      <c r="H15" s="764">
        <v>6657.15949</v>
      </c>
      <c r="I15" s="764">
        <v>0</v>
      </c>
      <c r="J15" s="764">
        <v>0</v>
      </c>
      <c r="K15" s="764">
        <v>6657.15949</v>
      </c>
      <c r="L15" s="12"/>
    </row>
    <row r="16" spans="1:13" ht="11.25" customHeight="1">
      <c r="A16" s="763" t="s">
        <v>627</v>
      </c>
      <c r="B16" s="764" t="s">
        <v>628</v>
      </c>
      <c r="C16" s="764">
        <v>6685.3833699999996</v>
      </c>
      <c r="D16" s="764">
        <v>0</v>
      </c>
      <c r="E16" s="764">
        <v>0</v>
      </c>
      <c r="F16" s="764">
        <v>6685.3833699999996</v>
      </c>
      <c r="G16" s="764" t="s">
        <v>476</v>
      </c>
      <c r="H16" s="764">
        <v>6764.8616700000002</v>
      </c>
      <c r="I16" s="764">
        <v>0</v>
      </c>
      <c r="J16" s="764">
        <v>0</v>
      </c>
      <c r="K16" s="764">
        <v>6764.8616700000002</v>
      </c>
      <c r="L16" s="22"/>
    </row>
    <row r="17" spans="1:12" ht="11.25" customHeight="1">
      <c r="A17" s="763" t="s">
        <v>629</v>
      </c>
      <c r="B17" s="764" t="s">
        <v>630</v>
      </c>
      <c r="C17" s="764">
        <v>6810.1535400000002</v>
      </c>
      <c r="D17" s="764">
        <v>0</v>
      </c>
      <c r="E17" s="764">
        <v>0</v>
      </c>
      <c r="F17" s="764">
        <v>6810.1535400000002</v>
      </c>
      <c r="G17" s="764" t="s">
        <v>444</v>
      </c>
      <c r="H17" s="764">
        <v>6811.2030599999998</v>
      </c>
      <c r="I17" s="764">
        <v>0</v>
      </c>
      <c r="J17" s="764">
        <v>0</v>
      </c>
      <c r="K17" s="764">
        <v>6811.2030599999998</v>
      </c>
      <c r="L17" s="22"/>
    </row>
    <row r="18" spans="1:12" ht="11.25" customHeight="1">
      <c r="A18" s="763" t="s">
        <v>631</v>
      </c>
      <c r="B18" s="764" t="s">
        <v>580</v>
      </c>
      <c r="C18" s="764">
        <v>6826.8872300000003</v>
      </c>
      <c r="D18" s="764">
        <v>0</v>
      </c>
      <c r="E18" s="764">
        <v>0</v>
      </c>
      <c r="F18" s="764">
        <v>6826.8872300000003</v>
      </c>
      <c r="G18" s="764" t="s">
        <v>476</v>
      </c>
      <c r="H18" s="764">
        <v>6879.6657400000004</v>
      </c>
      <c r="I18" s="764">
        <v>0</v>
      </c>
      <c r="J18" s="764">
        <v>0</v>
      </c>
      <c r="K18" s="764">
        <v>6879.6657400000004</v>
      </c>
      <c r="L18" s="22"/>
    </row>
    <row r="19" spans="1:12" ht="11.25" customHeight="1">
      <c r="A19" s="763" t="s">
        <v>632</v>
      </c>
      <c r="B19" s="764" t="s">
        <v>477</v>
      </c>
      <c r="C19" s="764">
        <v>6981.7402000000002</v>
      </c>
      <c r="D19" s="764">
        <v>0</v>
      </c>
      <c r="E19" s="764">
        <v>0</v>
      </c>
      <c r="F19" s="764">
        <v>6981.7402000000002</v>
      </c>
      <c r="G19" s="765" t="s">
        <v>444</v>
      </c>
      <c r="H19" s="765">
        <v>6909.6371900000004</v>
      </c>
      <c r="I19" s="765">
        <v>0</v>
      </c>
      <c r="J19" s="765">
        <v>0</v>
      </c>
      <c r="K19" s="765">
        <v>6909.6371900000004</v>
      </c>
      <c r="L19" s="22"/>
    </row>
    <row r="20" spans="1:12" ht="11.25" customHeight="1">
      <c r="A20" s="763" t="s">
        <v>633</v>
      </c>
      <c r="B20" s="764" t="s">
        <v>634</v>
      </c>
      <c r="C20" s="764">
        <v>6685.0007299999997</v>
      </c>
      <c r="D20" s="764">
        <v>0</v>
      </c>
      <c r="E20" s="764">
        <v>0</v>
      </c>
      <c r="F20" s="764">
        <v>6685.0007299999997</v>
      </c>
      <c r="G20" s="764" t="s">
        <v>481</v>
      </c>
      <c r="H20" s="764">
        <v>6717.62147</v>
      </c>
      <c r="I20" s="764">
        <v>0</v>
      </c>
      <c r="J20" s="764">
        <v>0</v>
      </c>
      <c r="K20" s="764">
        <v>6717.62147</v>
      </c>
      <c r="L20" s="24"/>
    </row>
    <row r="21" spans="1:12" ht="11.25" customHeight="1">
      <c r="A21" s="763" t="s">
        <v>635</v>
      </c>
      <c r="B21" s="764" t="s">
        <v>466</v>
      </c>
      <c r="C21" s="764">
        <v>6017.0814600000003</v>
      </c>
      <c r="D21" s="764">
        <v>0</v>
      </c>
      <c r="E21" s="764">
        <v>0</v>
      </c>
      <c r="F21" s="764">
        <v>6017.0814600000003</v>
      </c>
      <c r="G21" s="764" t="s">
        <v>476</v>
      </c>
      <c r="H21" s="764">
        <v>6541.06333</v>
      </c>
      <c r="I21" s="764">
        <v>0</v>
      </c>
      <c r="J21" s="764">
        <v>0</v>
      </c>
      <c r="K21" s="764">
        <v>6541.06333</v>
      </c>
      <c r="L21" s="22"/>
    </row>
    <row r="22" spans="1:12" ht="11.25" customHeight="1">
      <c r="A22" s="763" t="s">
        <v>636</v>
      </c>
      <c r="B22" s="764" t="s">
        <v>465</v>
      </c>
      <c r="C22" s="764">
        <v>6720.2929599999998</v>
      </c>
      <c r="D22" s="764">
        <v>0</v>
      </c>
      <c r="E22" s="764">
        <v>0</v>
      </c>
      <c r="F22" s="764">
        <v>6720.2929599999998</v>
      </c>
      <c r="G22" s="764" t="s">
        <v>444</v>
      </c>
      <c r="H22" s="764">
        <v>6755.5360300000002</v>
      </c>
      <c r="I22" s="764">
        <v>0</v>
      </c>
      <c r="J22" s="764">
        <v>0</v>
      </c>
      <c r="K22" s="764">
        <v>6755.5360300000002</v>
      </c>
      <c r="L22" s="22"/>
    </row>
    <row r="23" spans="1:12" ht="11.25" customHeight="1">
      <c r="A23" s="763" t="s">
        <v>637</v>
      </c>
      <c r="B23" s="764" t="s">
        <v>475</v>
      </c>
      <c r="C23" s="764">
        <v>6752.3933999999999</v>
      </c>
      <c r="D23" s="764">
        <v>0</v>
      </c>
      <c r="E23" s="764">
        <v>0</v>
      </c>
      <c r="F23" s="764">
        <v>6752.3933999999999</v>
      </c>
      <c r="G23" s="764" t="s">
        <v>476</v>
      </c>
      <c r="H23" s="764">
        <v>6772.9039700000003</v>
      </c>
      <c r="I23" s="764">
        <v>0</v>
      </c>
      <c r="J23" s="764">
        <v>0</v>
      </c>
      <c r="K23" s="764">
        <v>6772.9039700000003</v>
      </c>
      <c r="L23" s="22"/>
    </row>
    <row r="24" spans="1:12" ht="11.25" customHeight="1">
      <c r="A24" s="763" t="s">
        <v>638</v>
      </c>
      <c r="B24" s="764" t="s">
        <v>465</v>
      </c>
      <c r="C24" s="764">
        <v>6976.7662200000004</v>
      </c>
      <c r="D24" s="764">
        <v>0</v>
      </c>
      <c r="E24" s="764">
        <v>0</v>
      </c>
      <c r="F24" s="764">
        <v>6976.7662200000004</v>
      </c>
      <c r="G24" s="764" t="s">
        <v>444</v>
      </c>
      <c r="H24" s="764">
        <v>6834.1168500000003</v>
      </c>
      <c r="I24" s="764">
        <v>0</v>
      </c>
      <c r="J24" s="764">
        <v>0</v>
      </c>
      <c r="K24" s="764">
        <v>6834.1168500000003</v>
      </c>
      <c r="L24" s="22"/>
    </row>
    <row r="25" spans="1:12" ht="11.25" customHeight="1">
      <c r="A25" s="763" t="s">
        <v>639</v>
      </c>
      <c r="B25" s="764" t="s">
        <v>477</v>
      </c>
      <c r="C25" s="764">
        <v>6821.2215200000001</v>
      </c>
      <c r="D25" s="764">
        <v>0</v>
      </c>
      <c r="E25" s="764">
        <v>0</v>
      </c>
      <c r="F25" s="764">
        <v>6821.2215200000001</v>
      </c>
      <c r="G25" s="764" t="s">
        <v>444</v>
      </c>
      <c r="H25" s="764">
        <v>6816.5669900000003</v>
      </c>
      <c r="I25" s="764">
        <v>0</v>
      </c>
      <c r="J25" s="764">
        <v>0</v>
      </c>
      <c r="K25" s="764">
        <v>6816.5669900000003</v>
      </c>
      <c r="L25" s="22"/>
    </row>
    <row r="26" spans="1:12" ht="11.25" customHeight="1">
      <c r="A26" s="763" t="s">
        <v>640</v>
      </c>
      <c r="B26" s="764" t="s">
        <v>477</v>
      </c>
      <c r="C26" s="764">
        <v>6903.4480599999997</v>
      </c>
      <c r="D26" s="764">
        <v>0</v>
      </c>
      <c r="E26" s="764">
        <v>0</v>
      </c>
      <c r="F26" s="764">
        <v>6903.4480599999997</v>
      </c>
      <c r="G26" s="764" t="s">
        <v>579</v>
      </c>
      <c r="H26" s="764">
        <v>6686.7671799999998</v>
      </c>
      <c r="I26" s="764">
        <v>0</v>
      </c>
      <c r="J26" s="764">
        <v>0</v>
      </c>
      <c r="K26" s="764">
        <v>6686.7671799999998</v>
      </c>
      <c r="L26" s="22"/>
    </row>
    <row r="27" spans="1:12" ht="11.25" customHeight="1">
      <c r="A27" s="763" t="s">
        <v>641</v>
      </c>
      <c r="B27" s="764" t="s">
        <v>463</v>
      </c>
      <c r="C27" s="764">
        <v>6802.7756099999997</v>
      </c>
      <c r="D27" s="764">
        <v>0</v>
      </c>
      <c r="E27" s="764">
        <v>0</v>
      </c>
      <c r="F27" s="764">
        <v>6802.7756099999997</v>
      </c>
      <c r="G27" s="764" t="s">
        <v>481</v>
      </c>
      <c r="H27" s="764">
        <v>6687.5002599999998</v>
      </c>
      <c r="I27" s="764">
        <v>0</v>
      </c>
      <c r="J27" s="764">
        <v>0</v>
      </c>
      <c r="K27" s="764">
        <v>6687.5002599999998</v>
      </c>
      <c r="L27" s="22"/>
    </row>
    <row r="28" spans="1:12" ht="11.25" customHeight="1">
      <c r="A28" s="763" t="s">
        <v>642</v>
      </c>
      <c r="B28" s="764" t="s">
        <v>466</v>
      </c>
      <c r="C28" s="764">
        <v>6002.3280800000002</v>
      </c>
      <c r="D28" s="764">
        <v>0</v>
      </c>
      <c r="E28" s="764">
        <v>0</v>
      </c>
      <c r="F28" s="764">
        <v>6002.3280800000002</v>
      </c>
      <c r="G28" s="764" t="s">
        <v>502</v>
      </c>
      <c r="H28" s="764">
        <v>6480.2559099999999</v>
      </c>
      <c r="I28" s="764">
        <v>0</v>
      </c>
      <c r="J28" s="764">
        <v>0</v>
      </c>
      <c r="K28" s="764">
        <v>6480.2559099999999</v>
      </c>
      <c r="L28" s="30"/>
    </row>
    <row r="29" spans="1:12" ht="11.25" customHeight="1">
      <c r="A29" s="763" t="s">
        <v>643</v>
      </c>
      <c r="B29" s="764" t="s">
        <v>465</v>
      </c>
      <c r="C29" s="764">
        <v>6868.5739899999999</v>
      </c>
      <c r="D29" s="764">
        <v>0</v>
      </c>
      <c r="E29" s="764">
        <v>0</v>
      </c>
      <c r="F29" s="764">
        <v>6868.5739899999999</v>
      </c>
      <c r="G29" s="764" t="s">
        <v>500</v>
      </c>
      <c r="H29" s="764">
        <v>6705.9876199999999</v>
      </c>
      <c r="I29" s="764">
        <v>0</v>
      </c>
      <c r="J29" s="764">
        <v>0</v>
      </c>
      <c r="K29" s="764">
        <v>6705.9876199999999</v>
      </c>
      <c r="L29" s="22"/>
    </row>
    <row r="30" spans="1:12" ht="11.25" customHeight="1">
      <c r="A30" s="763" t="s">
        <v>644</v>
      </c>
      <c r="B30" s="764" t="s">
        <v>465</v>
      </c>
      <c r="C30" s="764">
        <v>6836.8661700000002</v>
      </c>
      <c r="D30" s="764">
        <v>0</v>
      </c>
      <c r="E30" s="764">
        <v>0</v>
      </c>
      <c r="F30" s="764">
        <v>6836.8661700000002</v>
      </c>
      <c r="G30" s="764" t="s">
        <v>443</v>
      </c>
      <c r="H30" s="764">
        <v>6662.9728100000002</v>
      </c>
      <c r="I30" s="764">
        <v>0</v>
      </c>
      <c r="J30" s="764">
        <v>0</v>
      </c>
      <c r="K30" s="764">
        <v>6662.9728100000002</v>
      </c>
      <c r="L30" s="22"/>
    </row>
    <row r="31" spans="1:12" ht="11.25" customHeight="1">
      <c r="A31" s="763" t="s">
        <v>645</v>
      </c>
      <c r="B31" s="764" t="s">
        <v>477</v>
      </c>
      <c r="C31" s="764">
        <v>6905.2145499999997</v>
      </c>
      <c r="D31" s="764">
        <v>0</v>
      </c>
      <c r="E31" s="764">
        <v>0</v>
      </c>
      <c r="F31" s="764">
        <v>6905.2145499999997</v>
      </c>
      <c r="G31" s="764" t="s">
        <v>505</v>
      </c>
      <c r="H31" s="764">
        <v>6712.9970499999999</v>
      </c>
      <c r="I31" s="764">
        <v>0</v>
      </c>
      <c r="J31" s="764">
        <v>0</v>
      </c>
      <c r="K31" s="764">
        <v>6712.9970499999999</v>
      </c>
      <c r="L31" s="15"/>
    </row>
    <row r="32" spans="1:12" ht="11.25" customHeight="1">
      <c r="A32" s="763" t="s">
        <v>646</v>
      </c>
      <c r="B32" s="764" t="s">
        <v>475</v>
      </c>
      <c r="C32" s="764">
        <v>6906.5531099999998</v>
      </c>
      <c r="D32" s="764">
        <v>0</v>
      </c>
      <c r="E32" s="764">
        <v>0</v>
      </c>
      <c r="F32" s="764">
        <v>6906.5531099999998</v>
      </c>
      <c r="G32" s="764" t="s">
        <v>647</v>
      </c>
      <c r="H32" s="764">
        <v>6573.44272</v>
      </c>
      <c r="I32" s="764">
        <v>0</v>
      </c>
      <c r="J32" s="764">
        <v>0</v>
      </c>
      <c r="K32" s="764">
        <v>6573.44272</v>
      </c>
      <c r="L32" s="16"/>
    </row>
    <row r="33" spans="1:12" ht="11.25" customHeight="1">
      <c r="A33" s="763" t="s">
        <v>648</v>
      </c>
      <c r="B33" s="764" t="s">
        <v>465</v>
      </c>
      <c r="C33" s="764">
        <v>6927.7785299999996</v>
      </c>
      <c r="D33" s="764">
        <v>0</v>
      </c>
      <c r="E33" s="764">
        <v>0</v>
      </c>
      <c r="F33" s="764">
        <v>6927.7785299999996</v>
      </c>
      <c r="G33" s="764" t="s">
        <v>443</v>
      </c>
      <c r="H33" s="764">
        <v>6587.9558900000002</v>
      </c>
      <c r="I33" s="764">
        <v>0</v>
      </c>
      <c r="J33" s="764">
        <v>0</v>
      </c>
      <c r="K33" s="764">
        <v>6587.9558900000002</v>
      </c>
      <c r="L33" s="15"/>
    </row>
    <row r="34" spans="1:12" s="598" customFormat="1" ht="11.25" customHeight="1">
      <c r="A34" s="763" t="s">
        <v>649</v>
      </c>
      <c r="B34" s="764" t="s">
        <v>477</v>
      </c>
      <c r="C34" s="764">
        <v>6633.4384300000002</v>
      </c>
      <c r="D34" s="764">
        <v>0</v>
      </c>
      <c r="E34" s="764">
        <v>0</v>
      </c>
      <c r="F34" s="764">
        <v>6633.4384300000002</v>
      </c>
      <c r="G34" s="764" t="s">
        <v>502</v>
      </c>
      <c r="H34" s="764">
        <v>6576.19625</v>
      </c>
      <c r="I34" s="764">
        <v>0</v>
      </c>
      <c r="J34" s="764">
        <v>0</v>
      </c>
      <c r="K34" s="764">
        <v>6576.19625</v>
      </c>
      <c r="L34" s="15"/>
    </row>
    <row r="35" spans="1:12" ht="11.25" customHeight="1">
      <c r="A35" s="763" t="s">
        <v>650</v>
      </c>
      <c r="B35" s="764" t="s">
        <v>651</v>
      </c>
      <c r="C35" s="764">
        <v>5989.3651399999999</v>
      </c>
      <c r="D35" s="764">
        <v>0</v>
      </c>
      <c r="E35" s="764">
        <v>0</v>
      </c>
      <c r="F35" s="764">
        <v>5989.3651399999999</v>
      </c>
      <c r="G35" s="764" t="s">
        <v>476</v>
      </c>
      <c r="H35" s="764">
        <v>6509.4608600000001</v>
      </c>
      <c r="I35" s="764">
        <v>0</v>
      </c>
      <c r="J35" s="764">
        <v>0</v>
      </c>
      <c r="K35" s="764">
        <v>6509.4608600000001</v>
      </c>
      <c r="L35" s="15"/>
    </row>
    <row r="36" spans="1:12" ht="11.25" customHeight="1">
      <c r="A36" s="763" t="s">
        <v>652</v>
      </c>
      <c r="B36" s="764" t="s">
        <v>581</v>
      </c>
      <c r="C36" s="764">
        <v>6826.33896</v>
      </c>
      <c r="D36" s="764">
        <v>0</v>
      </c>
      <c r="E36" s="764">
        <v>0</v>
      </c>
      <c r="F36" s="764">
        <v>6826.33896</v>
      </c>
      <c r="G36" s="764" t="s">
        <v>443</v>
      </c>
      <c r="H36" s="764">
        <v>6671.1289299999999</v>
      </c>
      <c r="I36" s="764">
        <v>0</v>
      </c>
      <c r="J36" s="764">
        <v>0</v>
      </c>
      <c r="K36" s="764">
        <v>6671.1289299999999</v>
      </c>
      <c r="L36" s="22"/>
    </row>
    <row r="37" spans="1:12" ht="11.25" customHeight="1">
      <c r="A37" s="763" t="s">
        <v>653</v>
      </c>
      <c r="B37" s="764" t="s">
        <v>477</v>
      </c>
      <c r="C37" s="764">
        <v>6915.2053900000001</v>
      </c>
      <c r="D37" s="764">
        <v>0</v>
      </c>
      <c r="E37" s="764">
        <v>0</v>
      </c>
      <c r="F37" s="764">
        <v>6915.2053900000001</v>
      </c>
      <c r="G37" s="764" t="s">
        <v>444</v>
      </c>
      <c r="H37" s="764">
        <v>6730.0367900000001</v>
      </c>
      <c r="I37" s="764">
        <v>0</v>
      </c>
      <c r="J37" s="764">
        <v>0</v>
      </c>
      <c r="K37" s="764">
        <v>6730.0367900000001</v>
      </c>
      <c r="L37" s="22"/>
    </row>
    <row r="38" spans="1:12" ht="11.25" customHeight="1">
      <c r="A38" s="763" t="s">
        <v>654</v>
      </c>
      <c r="B38" s="764" t="s">
        <v>655</v>
      </c>
      <c r="C38" s="764">
        <v>6908.7568799999999</v>
      </c>
      <c r="D38" s="764">
        <v>0</v>
      </c>
      <c r="E38" s="764">
        <v>0</v>
      </c>
      <c r="F38" s="764">
        <v>6908.7568799999999</v>
      </c>
      <c r="G38" s="764" t="s">
        <v>476</v>
      </c>
      <c r="H38" s="764">
        <v>6740.9151899999997</v>
      </c>
      <c r="I38" s="764">
        <v>0</v>
      </c>
      <c r="J38" s="764">
        <v>0</v>
      </c>
      <c r="K38" s="764">
        <v>6740.9151899999997</v>
      </c>
      <c r="L38" s="22"/>
    </row>
    <row r="39" spans="1:12" s="598" customFormat="1" ht="11.25" customHeight="1">
      <c r="A39" s="763" t="s">
        <v>656</v>
      </c>
      <c r="B39" s="764" t="s">
        <v>628</v>
      </c>
      <c r="C39" s="764">
        <v>6914.4944699999996</v>
      </c>
      <c r="D39" s="764">
        <v>0</v>
      </c>
      <c r="E39" s="764">
        <v>0</v>
      </c>
      <c r="F39" s="764">
        <v>6914.4944699999996</v>
      </c>
      <c r="G39" s="764" t="s">
        <v>501</v>
      </c>
      <c r="H39" s="764">
        <v>6806.1609600000002</v>
      </c>
      <c r="I39" s="764">
        <v>0</v>
      </c>
      <c r="J39" s="764">
        <v>0</v>
      </c>
      <c r="K39" s="764">
        <v>6806.1609600000002</v>
      </c>
      <c r="L39" s="22"/>
    </row>
    <row r="40" spans="1:12" ht="11.25" customHeight="1">
      <c r="A40" s="763" t="s">
        <v>657</v>
      </c>
      <c r="B40" s="765" t="s">
        <v>465</v>
      </c>
      <c r="C40" s="765">
        <v>7052.5464199999997</v>
      </c>
      <c r="D40" s="765">
        <v>0</v>
      </c>
      <c r="E40" s="765">
        <v>0</v>
      </c>
      <c r="F40" s="765">
        <v>7052.5464199999997</v>
      </c>
      <c r="G40" s="764" t="s">
        <v>476</v>
      </c>
      <c r="H40" s="764">
        <v>6814.0416400000004</v>
      </c>
      <c r="I40" s="764">
        <v>0</v>
      </c>
      <c r="J40" s="764">
        <v>0</v>
      </c>
      <c r="K40" s="764">
        <v>6814.0416400000004</v>
      </c>
      <c r="L40" s="22"/>
    </row>
    <row r="41" spans="1:12" ht="11.25" customHeight="1">
      <c r="A41" s="763" t="s">
        <v>658</v>
      </c>
      <c r="B41" s="764" t="s">
        <v>477</v>
      </c>
      <c r="C41" s="764">
        <v>6868.3050800000001</v>
      </c>
      <c r="D41" s="764">
        <v>0</v>
      </c>
      <c r="E41" s="764">
        <v>0</v>
      </c>
      <c r="F41" s="764">
        <v>6868.3050800000001</v>
      </c>
      <c r="G41" s="764" t="s">
        <v>500</v>
      </c>
      <c r="H41" s="764">
        <v>6697.0042400000002</v>
      </c>
      <c r="I41" s="764">
        <v>0</v>
      </c>
      <c r="J41" s="764">
        <v>0</v>
      </c>
      <c r="K41" s="764">
        <v>6697.0042400000002</v>
      </c>
      <c r="L41" s="22"/>
    </row>
    <row r="42" spans="1:12" ht="11.25" customHeight="1">
      <c r="A42" s="763" t="s">
        <v>659</v>
      </c>
      <c r="B42" s="764" t="s">
        <v>660</v>
      </c>
      <c r="C42" s="764">
        <v>5990.4984100000001</v>
      </c>
      <c r="D42" s="764">
        <v>0</v>
      </c>
      <c r="E42" s="764">
        <v>0</v>
      </c>
      <c r="F42" s="764">
        <v>5990.4984100000001</v>
      </c>
      <c r="G42" s="764" t="s">
        <v>500</v>
      </c>
      <c r="H42" s="764">
        <v>6594.6663200000003</v>
      </c>
      <c r="I42" s="764">
        <v>0</v>
      </c>
      <c r="J42" s="764">
        <v>0</v>
      </c>
      <c r="K42" s="764">
        <v>6594.6663200000003</v>
      </c>
      <c r="L42" s="22"/>
    </row>
    <row r="43" spans="1:12" s="598" customFormat="1" ht="11.25" customHeight="1">
      <c r="A43" s="536"/>
      <c r="B43" s="688"/>
      <c r="C43" s="688"/>
      <c r="D43" s="688"/>
      <c r="E43" s="688"/>
      <c r="F43" s="688"/>
      <c r="G43" s="688"/>
      <c r="H43" s="688"/>
      <c r="I43" s="688"/>
      <c r="J43" s="688"/>
      <c r="K43" s="688"/>
      <c r="L43" s="22"/>
    </row>
    <row r="44" spans="1:12" ht="11.25" customHeight="1">
      <c r="A44" s="687"/>
      <c r="B44" s="687"/>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8"/>
    </row>
    <row r="48" spans="1:12" ht="11.25" customHeight="1">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96"/>
      <c r="C52" s="196"/>
      <c r="D52" s="196"/>
      <c r="E52" s="196"/>
      <c r="F52" s="196"/>
      <c r="G52" s="196"/>
      <c r="H52" s="196"/>
      <c r="I52" s="196"/>
      <c r="J52" s="196"/>
      <c r="K52" s="198"/>
    </row>
    <row r="53" spans="1:11" ht="13.2">
      <c r="A53" s="196"/>
      <c r="B53" s="196"/>
      <c r="C53" s="196"/>
      <c r="D53" s="196"/>
      <c r="E53" s="196"/>
      <c r="F53" s="196"/>
      <c r="G53" s="196"/>
      <c r="H53" s="196"/>
      <c r="I53" s="196"/>
      <c r="J53" s="196"/>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11"/>
      <c r="C57" s="111"/>
      <c r="D57" s="111"/>
      <c r="E57" s="111"/>
      <c r="F57" s="111"/>
      <c r="G57" s="111"/>
      <c r="H57" s="111"/>
      <c r="I57" s="111"/>
      <c r="J57" s="111"/>
      <c r="K57" s="198"/>
    </row>
    <row r="58" spans="1:11" ht="13.2">
      <c r="A58" s="196"/>
      <c r="B58" s="111"/>
      <c r="C58" s="111"/>
      <c r="D58" s="111"/>
      <c r="E58" s="111"/>
      <c r="F58" s="111"/>
      <c r="G58" s="111"/>
      <c r="H58" s="111"/>
      <c r="I58" s="111"/>
      <c r="J58" s="111"/>
      <c r="K58" s="198"/>
    </row>
    <row r="59" spans="1:11" ht="13.2">
      <c r="A59" s="196"/>
      <c r="B59" s="197"/>
      <c r="C59" s="197"/>
      <c r="D59" s="197"/>
      <c r="E59" s="197"/>
      <c r="F59" s="197"/>
      <c r="G59" s="197"/>
      <c r="H59" s="197"/>
      <c r="I59" s="197"/>
      <c r="J59" s="197"/>
      <c r="K59" s="198"/>
    </row>
    <row r="60" spans="1:11" ht="13.2">
      <c r="A60" s="196"/>
      <c r="B60" s="197"/>
      <c r="C60" s="197"/>
      <c r="D60" s="197"/>
      <c r="E60" s="197"/>
      <c r="F60" s="197"/>
      <c r="G60" s="197"/>
      <c r="H60" s="197"/>
      <c r="I60" s="197"/>
      <c r="J60" s="197"/>
      <c r="K60" s="198"/>
    </row>
    <row r="61" spans="1:11" ht="13.2">
      <c r="A61" s="196"/>
      <c r="B61" s="200"/>
      <c r="C61" s="198"/>
      <c r="D61" s="198"/>
      <c r="E61" s="198"/>
      <c r="F61" s="198"/>
      <c r="G61" s="197"/>
      <c r="H61" s="197"/>
      <c r="I61" s="197"/>
      <c r="J61" s="197"/>
      <c r="K61" s="198"/>
    </row>
    <row r="62" spans="1:11" ht="13.2">
      <c r="A62" s="201"/>
      <c r="B62" s="202"/>
      <c r="C62" s="202"/>
      <c r="D62" s="202"/>
      <c r="E62" s="202"/>
      <c r="F62" s="202"/>
      <c r="G62" s="202"/>
      <c r="H62" s="197"/>
      <c r="I62" s="197"/>
      <c r="J62" s="197"/>
      <c r="K62" s="198"/>
    </row>
    <row r="63" spans="1:11" ht="13.2">
      <c r="A63" s="201"/>
      <c r="B63" s="202"/>
      <c r="C63" s="202"/>
      <c r="D63" s="202"/>
      <c r="E63" s="202"/>
      <c r="F63" s="202"/>
      <c r="G63" s="202"/>
      <c r="H63" s="197"/>
      <c r="I63" s="197"/>
      <c r="J63" s="197"/>
      <c r="K63" s="197"/>
    </row>
    <row r="64" spans="1:11" ht="13.2">
      <c r="A64" s="201"/>
      <c r="B64" s="202"/>
      <c r="C64" s="202"/>
      <c r="D64" s="202"/>
      <c r="E64" s="202"/>
      <c r="F64" s="202"/>
      <c r="G64" s="202"/>
      <c r="H64" s="197"/>
      <c r="I64" s="197"/>
      <c r="J64" s="197"/>
      <c r="K64"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zoomScaleNormal="100" zoomScaleSheetLayoutView="100" zoomScalePageLayoutView="85" workbookViewId="0">
      <selection activeCell="S15" sqref="S15"/>
    </sheetView>
  </sheetViews>
  <sheetFormatPr baseColWidth="10" defaultColWidth="9.28515625" defaultRowHeight="9.6"/>
  <cols>
    <col min="1" max="1" width="16.140625" style="630" customWidth="1"/>
    <col min="2" max="2" width="19.7109375" style="630" customWidth="1"/>
    <col min="3" max="3" width="12.85546875" style="630" bestFit="1" customWidth="1"/>
    <col min="4" max="4" width="57.42578125" style="630" customWidth="1"/>
    <col min="5" max="5" width="12.42578125" style="630" customWidth="1"/>
    <col min="6" max="6" width="10.42578125" style="630" customWidth="1"/>
    <col min="7" max="8" width="9.28515625" style="630" customWidth="1"/>
    <col min="9" max="16384" width="9.28515625" style="630"/>
  </cols>
  <sheetData>
    <row r="1" spans="1:9" ht="11.25" customHeight="1">
      <c r="A1" s="628" t="s">
        <v>363</v>
      </c>
      <c r="B1" s="629"/>
      <c r="C1" s="629"/>
      <c r="D1" s="629"/>
      <c r="E1" s="629"/>
      <c r="F1" s="629"/>
    </row>
    <row r="2" spans="1:9" ht="30" customHeight="1">
      <c r="A2" s="631" t="s">
        <v>248</v>
      </c>
      <c r="B2" s="632" t="s">
        <v>364</v>
      </c>
      <c r="C2" s="631" t="s">
        <v>353</v>
      </c>
      <c r="D2" s="633" t="s">
        <v>365</v>
      </c>
      <c r="E2" s="634" t="s">
        <v>366</v>
      </c>
      <c r="F2" s="634" t="s">
        <v>367</v>
      </c>
      <c r="G2" s="635"/>
      <c r="H2" s="636"/>
      <c r="I2" s="637"/>
    </row>
    <row r="3" spans="1:9" ht="41.4" customHeight="1">
      <c r="A3" s="640" t="s">
        <v>489</v>
      </c>
      <c r="B3" s="640" t="s">
        <v>494</v>
      </c>
      <c r="C3" s="638">
        <v>44197.543055555558</v>
      </c>
      <c r="D3" s="639" t="s">
        <v>661</v>
      </c>
      <c r="E3" s="640">
        <v>1.1000000000000001</v>
      </c>
      <c r="F3" s="640"/>
      <c r="H3" s="635"/>
      <c r="I3" s="637"/>
    </row>
    <row r="4" spans="1:9" ht="46.95" customHeight="1">
      <c r="A4" s="640" t="s">
        <v>479</v>
      </c>
      <c r="B4" s="640" t="s">
        <v>662</v>
      </c>
      <c r="C4" s="638">
        <v>44200.279861111114</v>
      </c>
      <c r="D4" s="639" t="s">
        <v>663</v>
      </c>
      <c r="E4" s="640"/>
      <c r="F4" s="640">
        <v>1.72</v>
      </c>
      <c r="G4" s="641"/>
      <c r="H4" s="641"/>
      <c r="I4" s="642"/>
    </row>
    <row r="5" spans="1:9" ht="46.2" customHeight="1">
      <c r="A5" s="640" t="s">
        <v>586</v>
      </c>
      <c r="B5" s="640" t="s">
        <v>587</v>
      </c>
      <c r="C5" s="638">
        <v>44200.701388888891</v>
      </c>
      <c r="D5" s="639" t="s">
        <v>664</v>
      </c>
      <c r="E5" s="640">
        <v>1.76</v>
      </c>
      <c r="F5" s="640"/>
      <c r="G5" s="641"/>
      <c r="H5" s="641"/>
      <c r="I5" s="643"/>
    </row>
    <row r="6" spans="1:9" ht="52.8" customHeight="1">
      <c r="A6" s="640" t="s">
        <v>582</v>
      </c>
      <c r="B6" s="640" t="s">
        <v>665</v>
      </c>
      <c r="C6" s="638">
        <v>44200.900694444441</v>
      </c>
      <c r="D6" s="639" t="s">
        <v>666</v>
      </c>
      <c r="E6" s="640">
        <v>4.16</v>
      </c>
      <c r="F6" s="640"/>
      <c r="G6" s="641"/>
      <c r="H6" s="641"/>
      <c r="I6" s="644"/>
    </row>
    <row r="7" spans="1:9" ht="55.8" customHeight="1">
      <c r="A7" s="640" t="s">
        <v>582</v>
      </c>
      <c r="B7" s="640" t="s">
        <v>667</v>
      </c>
      <c r="C7" s="638">
        <v>44200.952777777777</v>
      </c>
      <c r="D7" s="639" t="s">
        <v>668</v>
      </c>
      <c r="E7" s="640">
        <v>0.4</v>
      </c>
      <c r="F7" s="640"/>
      <c r="G7" s="641"/>
      <c r="H7" s="641"/>
      <c r="I7" s="645"/>
    </row>
    <row r="8" spans="1:9" ht="96" customHeight="1">
      <c r="A8" s="640" t="s">
        <v>479</v>
      </c>
      <c r="B8" s="640" t="s">
        <v>669</v>
      </c>
      <c r="C8" s="638">
        <v>44201.722916666666</v>
      </c>
      <c r="D8" s="639" t="s">
        <v>670</v>
      </c>
      <c r="E8" s="640">
        <v>15.3</v>
      </c>
      <c r="F8" s="640"/>
      <c r="G8" s="641"/>
      <c r="H8" s="641"/>
      <c r="I8" s="644"/>
    </row>
    <row r="9" spans="1:9" ht="54" customHeight="1">
      <c r="A9" s="640" t="s">
        <v>595</v>
      </c>
      <c r="B9" s="640" t="s">
        <v>596</v>
      </c>
      <c r="C9" s="638">
        <v>44202.604166666664</v>
      </c>
      <c r="D9" s="639" t="s">
        <v>671</v>
      </c>
      <c r="E9" s="646">
        <v>5.0599999999999996</v>
      </c>
      <c r="F9" s="646"/>
      <c r="G9" s="641"/>
      <c r="H9" s="641"/>
      <c r="I9" s="644"/>
    </row>
    <row r="10" spans="1:9" ht="135.6" customHeight="1">
      <c r="A10" s="640" t="s">
        <v>95</v>
      </c>
      <c r="B10" s="640" t="s">
        <v>672</v>
      </c>
      <c r="C10" s="638">
        <v>44202.709027777775</v>
      </c>
      <c r="D10" s="639" t="s">
        <v>673</v>
      </c>
      <c r="E10" s="646">
        <v>39.369999999999997</v>
      </c>
      <c r="F10" s="646"/>
    </row>
    <row r="11" spans="1:9" ht="54" customHeight="1">
      <c r="A11" s="640" t="s">
        <v>674</v>
      </c>
      <c r="B11" s="640" t="s">
        <v>675</v>
      </c>
      <c r="C11" s="638">
        <v>44203.299305555556</v>
      </c>
      <c r="D11" s="639" t="s">
        <v>676</v>
      </c>
      <c r="E11" s="640">
        <v>4.3899999999999997</v>
      </c>
      <c r="F11" s="640"/>
    </row>
    <row r="12" spans="1:9" ht="55.2" customHeight="1">
      <c r="A12" s="640" t="s">
        <v>582</v>
      </c>
      <c r="B12" s="640" t="s">
        <v>677</v>
      </c>
      <c r="C12" s="638">
        <v>44204.63958333333</v>
      </c>
      <c r="D12" s="639" t="s">
        <v>678</v>
      </c>
      <c r="E12" s="640">
        <v>18.2</v>
      </c>
      <c r="F12" s="640"/>
    </row>
    <row r="13" spans="1:9" ht="50.4" customHeight="1">
      <c r="A13" s="640" t="s">
        <v>479</v>
      </c>
      <c r="B13" s="640" t="s">
        <v>679</v>
      </c>
      <c r="C13" s="638">
        <v>44204.690972222219</v>
      </c>
      <c r="D13" s="639" t="s">
        <v>680</v>
      </c>
      <c r="E13" s="640"/>
      <c r="F13" s="640">
        <v>1.81</v>
      </c>
    </row>
    <row r="14" spans="1:9" ht="56.4" customHeight="1">
      <c r="A14" s="640" t="s">
        <v>479</v>
      </c>
      <c r="B14" s="640" t="s">
        <v>679</v>
      </c>
      <c r="C14" s="638">
        <v>44204.692361111112</v>
      </c>
      <c r="D14" s="639" t="s">
        <v>681</v>
      </c>
      <c r="E14" s="640"/>
      <c r="F14" s="640">
        <v>10.83</v>
      </c>
    </row>
    <row r="15" spans="1:9" ht="59.4" customHeight="1">
      <c r="A15" s="640" t="s">
        <v>479</v>
      </c>
      <c r="B15" s="640" t="s">
        <v>682</v>
      </c>
      <c r="C15" s="638">
        <v>44204.693055555559</v>
      </c>
      <c r="D15" s="639" t="s">
        <v>683</v>
      </c>
      <c r="E15" s="640"/>
      <c r="F15" s="640">
        <v>6</v>
      </c>
    </row>
    <row r="16" spans="1:9">
      <c r="C16" s="647"/>
      <c r="E16" s="648"/>
      <c r="F16" s="648"/>
    </row>
    <row r="17" spans="3:6">
      <c r="C17" s="647"/>
      <c r="E17" s="648"/>
      <c r="F17" s="648"/>
    </row>
    <row r="18" spans="3:6">
      <c r="C18" s="647"/>
      <c r="E18" s="648"/>
      <c r="F18" s="648"/>
    </row>
    <row r="19" spans="3:6">
      <c r="C19" s="647"/>
      <c r="E19" s="648"/>
      <c r="F19" s="648"/>
    </row>
    <row r="20" spans="3:6">
      <c r="C20" s="647"/>
      <c r="E20" s="648"/>
      <c r="F20" s="648"/>
    </row>
    <row r="21" spans="3:6">
      <c r="C21" s="647"/>
      <c r="E21" s="648"/>
      <c r="F21" s="648"/>
    </row>
    <row r="22" spans="3:6">
      <c r="C22" s="647"/>
      <c r="E22" s="648"/>
      <c r="F22" s="648"/>
    </row>
    <row r="23" spans="3:6">
      <c r="C23" s="647"/>
      <c r="E23" s="648"/>
      <c r="F23" s="648"/>
    </row>
    <row r="24" spans="3:6">
      <c r="C24" s="647"/>
      <c r="E24" s="648"/>
      <c r="F24" s="648"/>
    </row>
    <row r="25" spans="3:6">
      <c r="C25" s="647"/>
      <c r="E25" s="648"/>
      <c r="F25" s="648"/>
    </row>
    <row r="26" spans="3:6">
      <c r="C26" s="647"/>
      <c r="E26" s="648"/>
      <c r="F26" s="648"/>
    </row>
    <row r="27" spans="3:6">
      <c r="C27" s="647"/>
      <c r="E27" s="648"/>
      <c r="F27" s="648"/>
    </row>
    <row r="28" spans="3:6">
      <c r="C28" s="647"/>
      <c r="E28" s="648"/>
      <c r="F28" s="648"/>
    </row>
    <row r="29" spans="3:6">
      <c r="C29" s="647"/>
      <c r="E29" s="648"/>
      <c r="F29" s="648"/>
    </row>
    <row r="30" spans="3:6">
      <c r="C30" s="647"/>
      <c r="E30" s="648"/>
      <c r="F30" s="648"/>
    </row>
    <row r="31" spans="3:6">
      <c r="C31" s="647"/>
      <c r="E31" s="648"/>
      <c r="F31" s="648"/>
    </row>
    <row r="32" spans="3:6">
      <c r="C32" s="647"/>
      <c r="E32" s="648"/>
      <c r="F32" s="648"/>
    </row>
    <row r="33" spans="3:6">
      <c r="C33" s="647"/>
      <c r="E33" s="648"/>
      <c r="F33" s="648"/>
    </row>
    <row r="34" spans="3:6">
      <c r="C34" s="647"/>
      <c r="E34" s="648"/>
      <c r="F34" s="648"/>
    </row>
    <row r="35" spans="3:6">
      <c r="C35" s="647"/>
      <c r="E35" s="648"/>
      <c r="F35" s="648"/>
    </row>
    <row r="36" spans="3:6">
      <c r="C36" s="647"/>
      <c r="E36" s="648"/>
      <c r="F36" s="648"/>
    </row>
    <row r="37" spans="3:6">
      <c r="C37" s="647"/>
      <c r="E37" s="648"/>
      <c r="F37" s="648"/>
    </row>
    <row r="38" spans="3:6">
      <c r="C38" s="647"/>
      <c r="E38" s="648"/>
      <c r="F38" s="648"/>
    </row>
    <row r="39" spans="3:6">
      <c r="C39" s="647"/>
      <c r="E39" s="648"/>
      <c r="F39" s="648"/>
    </row>
    <row r="40" spans="3:6">
      <c r="C40" s="647"/>
      <c r="E40" s="648"/>
      <c r="F40" s="648"/>
    </row>
    <row r="41" spans="3:6">
      <c r="E41" s="648"/>
      <c r="F41" s="648"/>
    </row>
    <row r="42" spans="3:6">
      <c r="E42" s="648"/>
      <c r="F42" s="648"/>
    </row>
    <row r="43" spans="3:6">
      <c r="E43" s="648"/>
      <c r="F43" s="648"/>
    </row>
    <row r="44" spans="3:6">
      <c r="E44" s="648"/>
      <c r="F44" s="648"/>
    </row>
    <row r="45" spans="3:6">
      <c r="E45" s="648"/>
      <c r="F45" s="648"/>
    </row>
    <row r="46" spans="3:6">
      <c r="E46" s="648"/>
      <c r="F46" s="648"/>
    </row>
    <row r="47" spans="3:6">
      <c r="E47" s="648"/>
      <c r="F47" s="648"/>
    </row>
    <row r="48" spans="3:6">
      <c r="E48" s="648"/>
      <c r="F48" s="648"/>
    </row>
    <row r="49" spans="5:6">
      <c r="E49" s="648"/>
      <c r="F49" s="648"/>
    </row>
    <row r="50" spans="5:6">
      <c r="E50" s="648"/>
      <c r="F50" s="648"/>
    </row>
    <row r="51" spans="5:6">
      <c r="E51" s="648"/>
      <c r="F51" s="648"/>
    </row>
    <row r="52" spans="5:6">
      <c r="E52" s="648"/>
      <c r="F52" s="648"/>
    </row>
    <row r="53" spans="5:6">
      <c r="E53" s="648"/>
      <c r="F53" s="648"/>
    </row>
    <row r="54" spans="5:6">
      <c r="E54" s="648"/>
      <c r="F54" s="648"/>
    </row>
    <row r="55" spans="5:6">
      <c r="E55" s="648"/>
      <c r="F55" s="648"/>
    </row>
    <row r="56" spans="5:6">
      <c r="E56" s="648"/>
      <c r="F56" s="648"/>
    </row>
    <row r="57" spans="5:6">
      <c r="E57" s="648"/>
      <c r="F57" s="648"/>
    </row>
    <row r="58" spans="5:6">
      <c r="E58" s="648"/>
      <c r="F58" s="648"/>
    </row>
    <row r="59" spans="5:6">
      <c r="E59" s="648"/>
      <c r="F59" s="648"/>
    </row>
    <row r="60" spans="5:6">
      <c r="E60" s="648"/>
      <c r="F60" s="648"/>
    </row>
    <row r="61" spans="5:6">
      <c r="E61" s="648"/>
      <c r="F61" s="648"/>
    </row>
    <row r="62" spans="5:6">
      <c r="E62" s="648"/>
      <c r="F62" s="648"/>
    </row>
    <row r="63" spans="5:6">
      <c r="E63" s="648"/>
      <c r="F63" s="648"/>
    </row>
    <row r="64" spans="5:6">
      <c r="E64" s="648"/>
      <c r="F64" s="648"/>
    </row>
    <row r="65" spans="5:6">
      <c r="E65" s="648"/>
      <c r="F65" s="648"/>
    </row>
    <row r="66" spans="5:6">
      <c r="E66" s="648"/>
      <c r="F66" s="648"/>
    </row>
    <row r="67" spans="5:6">
      <c r="E67" s="648"/>
      <c r="F67" s="648"/>
    </row>
    <row r="68" spans="5:6">
      <c r="E68" s="648"/>
      <c r="F68" s="648"/>
    </row>
    <row r="69" spans="5:6">
      <c r="E69" s="648"/>
      <c r="F69" s="648"/>
    </row>
    <row r="70" spans="5:6">
      <c r="E70" s="648"/>
      <c r="F70" s="648"/>
    </row>
    <row r="71" spans="5:6">
      <c r="E71" s="648"/>
      <c r="F71" s="648"/>
    </row>
    <row r="72" spans="5:6">
      <c r="E72" s="648"/>
      <c r="F72" s="648"/>
    </row>
    <row r="73" spans="5:6">
      <c r="E73" s="648"/>
      <c r="F73" s="648"/>
    </row>
    <row r="74" spans="5:6">
      <c r="E74" s="648"/>
      <c r="F74" s="648"/>
    </row>
    <row r="75" spans="5:6">
      <c r="E75" s="648"/>
      <c r="F75" s="648"/>
    </row>
    <row r="76" spans="5:6">
      <c r="E76" s="648"/>
      <c r="F76" s="648"/>
    </row>
    <row r="77" spans="5:6">
      <c r="E77" s="648"/>
      <c r="F77" s="648"/>
    </row>
    <row r="78" spans="5:6">
      <c r="E78" s="648"/>
      <c r="F78" s="648"/>
    </row>
    <row r="79" spans="5:6">
      <c r="E79" s="648"/>
      <c r="F79" s="648"/>
    </row>
    <row r="80" spans="5:6">
      <c r="E80" s="648"/>
      <c r="F80" s="648"/>
    </row>
    <row r="81" spans="5:6">
      <c r="E81" s="648"/>
      <c r="F81" s="648"/>
    </row>
    <row r="82" spans="5:6">
      <c r="E82" s="648"/>
      <c r="F82" s="648"/>
    </row>
    <row r="83" spans="5:6">
      <c r="E83" s="648"/>
      <c r="F83" s="648"/>
    </row>
    <row r="84" spans="5:6">
      <c r="E84" s="648"/>
      <c r="F84" s="648"/>
    </row>
    <row r="85" spans="5:6">
      <c r="E85" s="648"/>
      <c r="F85" s="648"/>
    </row>
    <row r="86" spans="5:6">
      <c r="E86" s="648"/>
      <c r="F86" s="648"/>
    </row>
    <row r="87" spans="5:6">
      <c r="E87" s="648"/>
      <c r="F87" s="648"/>
    </row>
    <row r="88" spans="5:6">
      <c r="E88" s="648"/>
      <c r="F88" s="648"/>
    </row>
    <row r="89" spans="5:6">
      <c r="E89" s="648"/>
      <c r="F89" s="648"/>
    </row>
    <row r="90" spans="5:6">
      <c r="E90" s="648"/>
      <c r="F90" s="648"/>
    </row>
    <row r="91" spans="5:6">
      <c r="E91" s="648"/>
      <c r="F91" s="648"/>
    </row>
    <row r="92" spans="5:6">
      <c r="E92" s="648"/>
      <c r="F92" s="648"/>
    </row>
    <row r="93" spans="5:6">
      <c r="E93" s="648"/>
      <c r="F93" s="648"/>
    </row>
    <row r="94" spans="5:6">
      <c r="E94" s="648"/>
      <c r="F94" s="648"/>
    </row>
    <row r="95" spans="5:6">
      <c r="E95" s="648"/>
      <c r="F95" s="648"/>
    </row>
    <row r="96" spans="5:6">
      <c r="E96" s="648"/>
      <c r="F96" s="648"/>
    </row>
    <row r="97" spans="5:6">
      <c r="E97" s="648"/>
      <c r="F97" s="648"/>
    </row>
    <row r="98" spans="5:6">
      <c r="E98" s="648"/>
      <c r="F98" s="648"/>
    </row>
    <row r="99" spans="5:6">
      <c r="E99" s="648"/>
      <c r="F99" s="648"/>
    </row>
    <row r="100" spans="5:6">
      <c r="E100" s="648"/>
      <c r="F100" s="648"/>
    </row>
    <row r="101" spans="5:6">
      <c r="E101" s="648"/>
      <c r="F101" s="648"/>
    </row>
    <row r="102" spans="5:6">
      <c r="E102" s="648"/>
      <c r="F102" s="648"/>
    </row>
    <row r="103" spans="5:6">
      <c r="E103" s="648"/>
      <c r="F103" s="648"/>
    </row>
    <row r="104" spans="5:6">
      <c r="E104" s="648"/>
      <c r="F104" s="648"/>
    </row>
    <row r="105" spans="5:6">
      <c r="E105" s="648"/>
      <c r="F105" s="648"/>
    </row>
    <row r="106" spans="5:6">
      <c r="E106" s="648"/>
      <c r="F106" s="648"/>
    </row>
    <row r="107" spans="5:6">
      <c r="E107" s="648"/>
      <c r="F107" s="648"/>
    </row>
    <row r="108" spans="5:6">
      <c r="E108" s="648"/>
      <c r="F108" s="648"/>
    </row>
    <row r="109" spans="5:6">
      <c r="E109" s="648"/>
      <c r="F109" s="648"/>
    </row>
    <row r="110" spans="5:6">
      <c r="E110" s="648"/>
      <c r="F110" s="648"/>
    </row>
    <row r="111" spans="5:6">
      <c r="E111" s="648"/>
      <c r="F111" s="648"/>
    </row>
    <row r="112" spans="5:6">
      <c r="E112" s="648"/>
      <c r="F112" s="648"/>
    </row>
    <row r="113" spans="5:6">
      <c r="E113" s="648"/>
      <c r="F113" s="648"/>
    </row>
    <row r="114" spans="5:6">
      <c r="E114" s="648"/>
      <c r="F114" s="648"/>
    </row>
    <row r="115" spans="5:6">
      <c r="E115" s="648"/>
      <c r="F115" s="648"/>
    </row>
    <row r="116" spans="5:6">
      <c r="E116" s="648"/>
      <c r="F116" s="648"/>
    </row>
    <row r="117" spans="5:6">
      <c r="E117" s="648"/>
      <c r="F117" s="648"/>
    </row>
    <row r="118" spans="5:6">
      <c r="E118" s="648"/>
      <c r="F118" s="648"/>
    </row>
    <row r="119" spans="5:6">
      <c r="E119" s="648"/>
      <c r="F119" s="648"/>
    </row>
    <row r="120" spans="5:6">
      <c r="E120" s="648"/>
      <c r="F120" s="648"/>
    </row>
    <row r="121" spans="5:6">
      <c r="E121" s="648"/>
      <c r="F121" s="648"/>
    </row>
    <row r="122" spans="5:6">
      <c r="E122" s="648"/>
      <c r="F122" s="648"/>
    </row>
    <row r="123" spans="5:6">
      <c r="E123" s="648"/>
      <c r="F123" s="648"/>
    </row>
    <row r="124" spans="5:6">
      <c r="E124" s="648"/>
      <c r="F124" s="648"/>
    </row>
    <row r="125" spans="5:6">
      <c r="E125" s="648"/>
      <c r="F125" s="648"/>
    </row>
    <row r="126" spans="5:6">
      <c r="E126" s="648"/>
      <c r="F126" s="648"/>
    </row>
    <row r="127" spans="5:6">
      <c r="E127" s="648"/>
      <c r="F127" s="648"/>
    </row>
    <row r="128" spans="5:6">
      <c r="E128" s="648"/>
      <c r="F128" s="648"/>
    </row>
    <row r="129" spans="5:6">
      <c r="E129" s="648"/>
      <c r="F129" s="648"/>
    </row>
    <row r="130" spans="5:6">
      <c r="E130" s="648"/>
      <c r="F130" s="648"/>
    </row>
    <row r="131" spans="5:6">
      <c r="E131" s="648"/>
      <c r="F131" s="648"/>
    </row>
    <row r="132" spans="5:6">
      <c r="E132" s="648"/>
      <c r="F132" s="648"/>
    </row>
    <row r="133" spans="5:6">
      <c r="E133" s="648"/>
      <c r="F133" s="64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Mensual-Enero 2021
INFSGI-MES-01-2021
09/02/2021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4"/>
  <sheetViews>
    <sheetView showGridLines="0" view="pageBreakPreview" zoomScale="120" zoomScaleNormal="100" zoomScaleSheetLayoutView="120" workbookViewId="0">
      <selection activeCell="S15" sqref="S15"/>
    </sheetView>
  </sheetViews>
  <sheetFormatPr baseColWidth="10" defaultColWidth="9.28515625" defaultRowHeight="9.6"/>
  <cols>
    <col min="1" max="1" width="16.140625" style="630" customWidth="1"/>
    <col min="2" max="2" width="19.7109375" style="630" customWidth="1"/>
    <col min="3" max="3" width="12.85546875" style="630" bestFit="1" customWidth="1"/>
    <col min="4" max="4" width="59.85546875" style="630" customWidth="1"/>
    <col min="5" max="5" width="11.7109375" style="630" customWidth="1"/>
    <col min="6" max="6" width="10.42578125" style="630" customWidth="1"/>
    <col min="7" max="8" width="9.28515625" style="630" customWidth="1"/>
    <col min="9" max="16384" width="9.28515625" style="630"/>
  </cols>
  <sheetData>
    <row r="1" spans="1:9" ht="11.25" customHeight="1">
      <c r="A1" s="628" t="s">
        <v>363</v>
      </c>
      <c r="B1" s="629"/>
      <c r="C1" s="629"/>
      <c r="D1" s="629"/>
      <c r="E1" s="629"/>
      <c r="F1" s="629"/>
    </row>
    <row r="2" spans="1:9" ht="30" customHeight="1">
      <c r="A2" s="631" t="s">
        <v>248</v>
      </c>
      <c r="B2" s="632" t="s">
        <v>364</v>
      </c>
      <c r="C2" s="631" t="s">
        <v>353</v>
      </c>
      <c r="D2" s="633" t="s">
        <v>365</v>
      </c>
      <c r="E2" s="634" t="s">
        <v>366</v>
      </c>
      <c r="F2" s="634" t="s">
        <v>367</v>
      </c>
      <c r="G2" s="635"/>
      <c r="H2" s="636"/>
      <c r="I2" s="637"/>
    </row>
    <row r="3" spans="1:9" ht="52.2" customHeight="1">
      <c r="A3" s="640" t="s">
        <v>489</v>
      </c>
      <c r="B3" s="640" t="s">
        <v>490</v>
      </c>
      <c r="C3" s="638">
        <v>44205.556250000001</v>
      </c>
      <c r="D3" s="639" t="s">
        <v>684</v>
      </c>
      <c r="E3" s="640">
        <v>4.53</v>
      </c>
      <c r="F3" s="640"/>
      <c r="G3" s="641"/>
      <c r="H3" s="641"/>
      <c r="I3" s="643"/>
    </row>
    <row r="4" spans="1:9" ht="40.200000000000003" customHeight="1">
      <c r="A4" s="640" t="s">
        <v>685</v>
      </c>
      <c r="B4" s="640" t="s">
        <v>686</v>
      </c>
      <c r="C4" s="638">
        <v>44205.700694444444</v>
      </c>
      <c r="D4" s="639" t="s">
        <v>687</v>
      </c>
      <c r="E4" s="640">
        <v>19.09</v>
      </c>
      <c r="F4" s="640"/>
      <c r="G4" s="641"/>
      <c r="H4" s="641"/>
      <c r="I4" s="644"/>
    </row>
    <row r="5" spans="1:9" ht="51" customHeight="1">
      <c r="A5" s="640" t="s">
        <v>491</v>
      </c>
      <c r="B5" s="640" t="s">
        <v>492</v>
      </c>
      <c r="C5" s="638">
        <v>44206.700694444444</v>
      </c>
      <c r="D5" s="639" t="s">
        <v>688</v>
      </c>
      <c r="E5" s="640">
        <v>2.41</v>
      </c>
      <c r="F5" s="640"/>
      <c r="G5" s="641"/>
      <c r="H5" s="641"/>
      <c r="I5" s="645"/>
    </row>
    <row r="6" spans="1:9" ht="57.6" customHeight="1">
      <c r="A6" s="640" t="s">
        <v>486</v>
      </c>
      <c r="B6" s="640" t="s">
        <v>487</v>
      </c>
      <c r="C6" s="638">
        <v>44207.184027777781</v>
      </c>
      <c r="D6" s="639" t="s">
        <v>689</v>
      </c>
      <c r="E6" s="640">
        <v>10.45</v>
      </c>
      <c r="F6" s="640"/>
      <c r="G6" s="641"/>
      <c r="H6" s="641"/>
      <c r="I6" s="644"/>
    </row>
    <row r="7" spans="1:9" ht="57" customHeight="1">
      <c r="A7" s="640" t="s">
        <v>582</v>
      </c>
      <c r="B7" s="640" t="s">
        <v>665</v>
      </c>
      <c r="C7" s="638">
        <v>44207.730555555558</v>
      </c>
      <c r="D7" s="639" t="s">
        <v>690</v>
      </c>
      <c r="E7" s="640">
        <v>27.09</v>
      </c>
      <c r="F7" s="640"/>
      <c r="G7" s="641"/>
      <c r="H7" s="641"/>
      <c r="I7" s="644"/>
    </row>
    <row r="8" spans="1:9" ht="88.2" customHeight="1">
      <c r="A8" s="640" t="s">
        <v>479</v>
      </c>
      <c r="B8" s="640" t="s">
        <v>691</v>
      </c>
      <c r="C8" s="638">
        <v>44207.838888888888</v>
      </c>
      <c r="D8" s="639" t="s">
        <v>692</v>
      </c>
      <c r="E8" s="640">
        <v>47.7</v>
      </c>
      <c r="F8" s="640">
        <v>14.4</v>
      </c>
      <c r="G8" s="641"/>
      <c r="H8" s="641"/>
      <c r="I8" s="644"/>
    </row>
    <row r="9" spans="1:9" ht="58.95" customHeight="1">
      <c r="A9" s="640" t="s">
        <v>588</v>
      </c>
      <c r="B9" s="640" t="s">
        <v>589</v>
      </c>
      <c r="C9" s="638">
        <v>44208.20208333333</v>
      </c>
      <c r="D9" s="639" t="s">
        <v>693</v>
      </c>
      <c r="E9" s="640">
        <v>3.5</v>
      </c>
      <c r="F9" s="640"/>
      <c r="G9" s="641"/>
      <c r="H9" s="641"/>
      <c r="I9" s="644"/>
    </row>
    <row r="10" spans="1:9" ht="49.95" customHeight="1">
      <c r="A10" s="640" t="s">
        <v>489</v>
      </c>
      <c r="B10" s="640" t="s">
        <v>490</v>
      </c>
      <c r="C10" s="638">
        <v>44208.500694444447</v>
      </c>
      <c r="D10" s="639" t="s">
        <v>694</v>
      </c>
      <c r="E10" s="640">
        <v>7.7</v>
      </c>
      <c r="F10" s="640"/>
      <c r="G10" s="641"/>
      <c r="H10" s="641"/>
      <c r="I10" s="644"/>
    </row>
    <row r="11" spans="1:9" ht="49.2" customHeight="1">
      <c r="A11" s="640" t="s">
        <v>695</v>
      </c>
      <c r="B11" s="640" t="s">
        <v>696</v>
      </c>
      <c r="C11" s="638">
        <v>44208.54583333333</v>
      </c>
      <c r="D11" s="639" t="s">
        <v>697</v>
      </c>
      <c r="E11" s="640">
        <v>10.61</v>
      </c>
      <c r="F11" s="640"/>
      <c r="G11" s="641"/>
      <c r="H11" s="641"/>
      <c r="I11" s="644"/>
    </row>
    <row r="12" spans="1:9" ht="50.4" customHeight="1">
      <c r="A12" s="640" t="s">
        <v>493</v>
      </c>
      <c r="B12" s="640" t="s">
        <v>698</v>
      </c>
      <c r="C12" s="638">
        <v>44209.611111111109</v>
      </c>
      <c r="D12" s="639" t="s">
        <v>699</v>
      </c>
      <c r="E12" s="640"/>
      <c r="F12" s="640">
        <v>83.05</v>
      </c>
      <c r="G12" s="641"/>
      <c r="H12" s="641"/>
      <c r="I12" s="644"/>
    </row>
    <row r="13" spans="1:9" ht="43.8" customHeight="1">
      <c r="A13" s="640" t="s">
        <v>493</v>
      </c>
      <c r="B13" s="640" t="s">
        <v>583</v>
      </c>
      <c r="C13" s="638">
        <v>44209.674305555556</v>
      </c>
      <c r="D13" s="639" t="s">
        <v>700</v>
      </c>
      <c r="E13" s="640"/>
      <c r="F13" s="640">
        <v>100.4</v>
      </c>
      <c r="G13" s="641"/>
      <c r="H13" s="641"/>
      <c r="I13" s="644"/>
    </row>
    <row r="14" spans="1:9" ht="67.8" customHeight="1">
      <c r="A14" s="640" t="s">
        <v>593</v>
      </c>
      <c r="B14" s="640" t="s">
        <v>594</v>
      </c>
      <c r="C14" s="638">
        <v>44209.757638888892</v>
      </c>
      <c r="D14" s="639" t="s">
        <v>701</v>
      </c>
      <c r="E14" s="640"/>
      <c r="F14" s="640">
        <v>106.2</v>
      </c>
      <c r="G14" s="641"/>
      <c r="H14" s="641"/>
      <c r="I14" s="644"/>
    </row>
    <row r="15" spans="1:9" ht="46.2" customHeight="1">
      <c r="A15" s="640" t="s">
        <v>489</v>
      </c>
      <c r="B15" s="640" t="s">
        <v>490</v>
      </c>
      <c r="C15" s="638">
        <v>44210.543055555558</v>
      </c>
      <c r="D15" s="639" t="s">
        <v>702</v>
      </c>
      <c r="E15" s="640">
        <v>9.5500000000000007</v>
      </c>
      <c r="F15" s="640"/>
    </row>
    <row r="16" spans="1:9" ht="46.2" customHeight="1">
      <c r="A16" s="640" t="s">
        <v>489</v>
      </c>
      <c r="B16" s="640" t="s">
        <v>490</v>
      </c>
      <c r="C16" s="638">
        <v>44210.54583333333</v>
      </c>
      <c r="D16" s="639" t="s">
        <v>703</v>
      </c>
      <c r="E16" s="640">
        <v>8.1</v>
      </c>
      <c r="F16" s="640"/>
    </row>
    <row r="17" spans="1:6" ht="46.8" customHeight="1">
      <c r="A17" s="640" t="s">
        <v>489</v>
      </c>
      <c r="B17" s="640" t="s">
        <v>490</v>
      </c>
      <c r="C17" s="638">
        <v>44210.5625</v>
      </c>
      <c r="D17" s="639" t="s">
        <v>704</v>
      </c>
      <c r="E17" s="640">
        <v>10.199999999999999</v>
      </c>
      <c r="F17" s="640"/>
    </row>
    <row r="18" spans="1:6">
      <c r="E18" s="648"/>
      <c r="F18" s="648"/>
    </row>
    <row r="19" spans="1:6">
      <c r="E19" s="648"/>
      <c r="F19" s="648"/>
    </row>
    <row r="20" spans="1:6">
      <c r="E20" s="648"/>
      <c r="F20" s="648"/>
    </row>
    <row r="21" spans="1:6">
      <c r="E21" s="648"/>
      <c r="F21" s="648"/>
    </row>
    <row r="22" spans="1:6">
      <c r="E22" s="648"/>
      <c r="F22" s="648"/>
    </row>
    <row r="23" spans="1:6">
      <c r="E23" s="648"/>
      <c r="F23" s="648"/>
    </row>
    <row r="24" spans="1:6">
      <c r="E24" s="648"/>
      <c r="F24" s="648"/>
    </row>
    <row r="25" spans="1:6">
      <c r="E25" s="648"/>
      <c r="F25" s="648"/>
    </row>
    <row r="26" spans="1:6">
      <c r="E26" s="648"/>
      <c r="F26" s="648"/>
    </row>
    <row r="27" spans="1:6">
      <c r="E27" s="648"/>
      <c r="F27" s="648"/>
    </row>
    <row r="28" spans="1:6">
      <c r="E28" s="648"/>
      <c r="F28" s="648"/>
    </row>
    <row r="29" spans="1:6">
      <c r="E29" s="648"/>
      <c r="F29" s="648"/>
    </row>
    <row r="30" spans="1:6">
      <c r="E30" s="648"/>
      <c r="F30" s="648"/>
    </row>
    <row r="31" spans="1:6">
      <c r="E31" s="648"/>
      <c r="F31" s="648"/>
    </row>
    <row r="32" spans="1:6">
      <c r="E32" s="648"/>
      <c r="F32" s="648"/>
    </row>
    <row r="33" spans="5:6">
      <c r="E33" s="648"/>
      <c r="F33" s="648"/>
    </row>
    <row r="34" spans="5:6">
      <c r="E34" s="648"/>
      <c r="F34" s="648"/>
    </row>
    <row r="35" spans="5:6">
      <c r="E35" s="648"/>
      <c r="F35" s="648"/>
    </row>
    <row r="36" spans="5:6">
      <c r="E36" s="648"/>
      <c r="F36" s="648"/>
    </row>
    <row r="37" spans="5:6">
      <c r="E37" s="648"/>
      <c r="F37" s="648"/>
    </row>
    <row r="38" spans="5:6">
      <c r="E38" s="648"/>
      <c r="F38" s="648"/>
    </row>
    <row r="39" spans="5:6">
      <c r="E39" s="648"/>
      <c r="F39" s="648"/>
    </row>
    <row r="40" spans="5:6">
      <c r="E40" s="648"/>
      <c r="F40" s="648"/>
    </row>
    <row r="41" spans="5:6">
      <c r="E41" s="648"/>
      <c r="F41" s="648"/>
    </row>
    <row r="42" spans="5:6">
      <c r="E42" s="648"/>
      <c r="F42" s="648"/>
    </row>
    <row r="43" spans="5:6">
      <c r="E43" s="648"/>
      <c r="F43" s="648"/>
    </row>
    <row r="44" spans="5:6">
      <c r="E44" s="648"/>
      <c r="F44" s="648"/>
    </row>
    <row r="45" spans="5:6">
      <c r="E45" s="648"/>
      <c r="F45" s="648"/>
    </row>
    <row r="46" spans="5:6">
      <c r="E46" s="648"/>
      <c r="F46" s="648"/>
    </row>
    <row r="47" spans="5:6">
      <c r="E47" s="648"/>
      <c r="F47" s="648"/>
    </row>
    <row r="48" spans="5:6">
      <c r="E48" s="648"/>
      <c r="F48" s="648"/>
    </row>
    <row r="49" spans="5:6">
      <c r="E49" s="648"/>
      <c r="F49" s="648"/>
    </row>
    <row r="50" spans="5:6">
      <c r="E50" s="648"/>
      <c r="F50" s="648"/>
    </row>
    <row r="51" spans="5:6">
      <c r="E51" s="648"/>
      <c r="F51" s="648"/>
    </row>
    <row r="52" spans="5:6">
      <c r="E52" s="648"/>
      <c r="F52" s="648"/>
    </row>
    <row r="53" spans="5:6">
      <c r="E53" s="648"/>
      <c r="F53" s="648"/>
    </row>
    <row r="54" spans="5:6">
      <c r="E54" s="648"/>
      <c r="F54" s="648"/>
    </row>
    <row r="55" spans="5:6">
      <c r="E55" s="648"/>
      <c r="F55" s="648"/>
    </row>
    <row r="56" spans="5:6">
      <c r="E56" s="648"/>
      <c r="F56" s="648"/>
    </row>
    <row r="57" spans="5:6">
      <c r="E57" s="648"/>
      <c r="F57" s="648"/>
    </row>
    <row r="58" spans="5:6">
      <c r="E58" s="648"/>
      <c r="F58" s="648"/>
    </row>
    <row r="59" spans="5:6">
      <c r="E59" s="648"/>
      <c r="F59" s="648"/>
    </row>
    <row r="60" spans="5:6">
      <c r="E60" s="648"/>
      <c r="F60" s="648"/>
    </row>
    <row r="61" spans="5:6">
      <c r="E61" s="648"/>
      <c r="F61" s="648"/>
    </row>
    <row r="62" spans="5:6">
      <c r="E62" s="648"/>
      <c r="F62" s="648"/>
    </row>
    <row r="63" spans="5:6">
      <c r="E63" s="648"/>
      <c r="F63" s="648"/>
    </row>
    <row r="64" spans="5:6">
      <c r="E64" s="648"/>
      <c r="F64" s="648"/>
    </row>
    <row r="65" spans="5:6">
      <c r="E65" s="648"/>
      <c r="F65" s="648"/>
    </row>
    <row r="66" spans="5:6">
      <c r="E66" s="648"/>
      <c r="F66" s="648"/>
    </row>
    <row r="67" spans="5:6">
      <c r="E67" s="648"/>
      <c r="F67" s="648"/>
    </row>
    <row r="68" spans="5:6">
      <c r="E68" s="648"/>
      <c r="F68" s="648"/>
    </row>
    <row r="69" spans="5:6">
      <c r="E69" s="648"/>
      <c r="F69" s="648"/>
    </row>
    <row r="70" spans="5:6">
      <c r="E70" s="648"/>
      <c r="F70" s="648"/>
    </row>
    <row r="71" spans="5:6">
      <c r="E71" s="648"/>
      <c r="F71" s="648"/>
    </row>
    <row r="72" spans="5:6">
      <c r="E72" s="648"/>
      <c r="F72" s="648"/>
    </row>
    <row r="73" spans="5:6">
      <c r="E73" s="648"/>
      <c r="F73" s="648"/>
    </row>
    <row r="74" spans="5:6">
      <c r="E74" s="648"/>
      <c r="F74" s="648"/>
    </row>
    <row r="75" spans="5:6">
      <c r="E75" s="648"/>
      <c r="F75" s="648"/>
    </row>
    <row r="76" spans="5:6">
      <c r="E76" s="648"/>
      <c r="F76" s="648"/>
    </row>
    <row r="77" spans="5:6">
      <c r="E77" s="648"/>
      <c r="F77" s="648"/>
    </row>
    <row r="78" spans="5:6">
      <c r="E78" s="648"/>
      <c r="F78" s="648"/>
    </row>
    <row r="79" spans="5:6">
      <c r="E79" s="648"/>
      <c r="F79" s="648"/>
    </row>
    <row r="80" spans="5:6">
      <c r="E80" s="648"/>
      <c r="F80" s="648"/>
    </row>
    <row r="81" spans="5:6">
      <c r="E81" s="648"/>
      <c r="F81" s="648"/>
    </row>
    <row r="82" spans="5:6">
      <c r="E82" s="648"/>
      <c r="F82" s="648"/>
    </row>
    <row r="83" spans="5:6">
      <c r="E83" s="648"/>
      <c r="F83" s="648"/>
    </row>
    <row r="84" spans="5:6">
      <c r="E84" s="648"/>
      <c r="F84" s="648"/>
    </row>
    <row r="85" spans="5:6">
      <c r="E85" s="648"/>
      <c r="F85" s="648"/>
    </row>
    <row r="86" spans="5:6">
      <c r="E86" s="648"/>
      <c r="F86" s="648"/>
    </row>
    <row r="87" spans="5:6">
      <c r="E87" s="648"/>
      <c r="F87" s="648"/>
    </row>
    <row r="88" spans="5:6">
      <c r="E88" s="648"/>
      <c r="F88" s="648"/>
    </row>
    <row r="89" spans="5:6">
      <c r="E89" s="648"/>
      <c r="F89" s="648"/>
    </row>
    <row r="90" spans="5:6">
      <c r="E90" s="648"/>
      <c r="F90" s="648"/>
    </row>
    <row r="91" spans="5:6">
      <c r="E91" s="648"/>
      <c r="F91" s="648"/>
    </row>
    <row r="92" spans="5:6">
      <c r="E92" s="648"/>
      <c r="F92" s="648"/>
    </row>
    <row r="93" spans="5:6">
      <c r="E93" s="648"/>
      <c r="F93" s="648"/>
    </row>
    <row r="94" spans="5:6">
      <c r="E94" s="648"/>
      <c r="F94" s="648"/>
    </row>
    <row r="95" spans="5:6">
      <c r="E95" s="648"/>
      <c r="F95" s="648"/>
    </row>
    <row r="96" spans="5:6">
      <c r="E96" s="648"/>
      <c r="F96" s="648"/>
    </row>
    <row r="97" spans="5:6">
      <c r="E97" s="648"/>
      <c r="F97" s="648"/>
    </row>
    <row r="98" spans="5:6">
      <c r="E98" s="648"/>
      <c r="F98" s="648"/>
    </row>
    <row r="99" spans="5:6">
      <c r="E99" s="648"/>
      <c r="F99" s="648"/>
    </row>
    <row r="100" spans="5:6">
      <c r="E100" s="648"/>
      <c r="F100" s="648"/>
    </row>
    <row r="101" spans="5:6">
      <c r="E101" s="648"/>
      <c r="F101" s="648"/>
    </row>
    <row r="102" spans="5:6">
      <c r="E102" s="648"/>
      <c r="F102" s="648"/>
    </row>
    <row r="103" spans="5:6">
      <c r="E103" s="648"/>
      <c r="F103" s="648"/>
    </row>
    <row r="104" spans="5:6">
      <c r="E104" s="648"/>
      <c r="F104" s="64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Mensual-Enero 2021
INFSGI-MES-01-2021
09/02/2021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103"/>
  <sheetViews>
    <sheetView showGridLines="0" view="pageBreakPreview" zoomScale="120" zoomScaleNormal="100" zoomScaleSheetLayoutView="120" workbookViewId="0">
      <selection activeCell="S15" sqref="S15"/>
    </sheetView>
  </sheetViews>
  <sheetFormatPr baseColWidth="10" defaultColWidth="9.28515625" defaultRowHeight="9.6"/>
  <cols>
    <col min="1" max="1" width="16.140625" style="630" customWidth="1"/>
    <col min="2" max="2" width="19.7109375" style="630" customWidth="1"/>
    <col min="3" max="3" width="12.85546875" style="630" bestFit="1" customWidth="1"/>
    <col min="4" max="4" width="59.85546875" style="630" customWidth="1"/>
    <col min="5" max="5" width="11.7109375" style="630" customWidth="1"/>
    <col min="6" max="6" width="10.42578125" style="630" customWidth="1"/>
    <col min="7" max="8" width="9.28515625" style="630" customWidth="1"/>
    <col min="9" max="16384" width="9.28515625" style="630"/>
  </cols>
  <sheetData>
    <row r="1" spans="1:9" ht="11.25" customHeight="1">
      <c r="A1" s="628" t="s">
        <v>363</v>
      </c>
      <c r="B1" s="629"/>
      <c r="C1" s="629"/>
      <c r="D1" s="629"/>
      <c r="E1" s="629"/>
      <c r="F1" s="629"/>
    </row>
    <row r="2" spans="1:9" ht="30" customHeight="1">
      <c r="A2" s="631" t="s">
        <v>248</v>
      </c>
      <c r="B2" s="632" t="s">
        <v>364</v>
      </c>
      <c r="C2" s="631" t="s">
        <v>353</v>
      </c>
      <c r="D2" s="633" t="s">
        <v>365</v>
      </c>
      <c r="E2" s="634" t="s">
        <v>366</v>
      </c>
      <c r="F2" s="634" t="s">
        <v>367</v>
      </c>
      <c r="G2" s="635"/>
      <c r="H2" s="636"/>
      <c r="I2" s="637"/>
    </row>
    <row r="3" spans="1:9" ht="59.4" customHeight="1">
      <c r="A3" s="640" t="s">
        <v>488</v>
      </c>
      <c r="B3" s="640" t="s">
        <v>705</v>
      </c>
      <c r="C3" s="638">
        <v>44210.612500000003</v>
      </c>
      <c r="D3" s="639" t="s">
        <v>706</v>
      </c>
      <c r="E3" s="640">
        <v>1.9</v>
      </c>
      <c r="F3" s="640"/>
      <c r="G3" s="641"/>
      <c r="H3" s="641"/>
      <c r="I3" s="643"/>
    </row>
    <row r="4" spans="1:9" ht="47.4" customHeight="1">
      <c r="A4" s="640" t="s">
        <v>707</v>
      </c>
      <c r="B4" s="640" t="s">
        <v>708</v>
      </c>
      <c r="C4" s="638">
        <v>44210.613194444442</v>
      </c>
      <c r="D4" s="639" t="s">
        <v>709</v>
      </c>
      <c r="E4" s="640">
        <v>48.3</v>
      </c>
      <c r="F4" s="640"/>
      <c r="G4" s="641"/>
      <c r="H4" s="641"/>
      <c r="I4" s="644"/>
    </row>
    <row r="5" spans="1:9" ht="53.4" customHeight="1">
      <c r="A5" s="640" t="s">
        <v>674</v>
      </c>
      <c r="B5" s="640" t="s">
        <v>675</v>
      </c>
      <c r="C5" s="638">
        <v>44212.279861111114</v>
      </c>
      <c r="D5" s="639" t="s">
        <v>710</v>
      </c>
      <c r="E5" s="640">
        <v>3.7</v>
      </c>
      <c r="F5" s="640"/>
      <c r="G5" s="641"/>
      <c r="H5" s="641"/>
      <c r="I5" s="645"/>
    </row>
    <row r="6" spans="1:9" ht="49.8" customHeight="1">
      <c r="A6" s="640" t="s">
        <v>582</v>
      </c>
      <c r="B6" s="640" t="s">
        <v>711</v>
      </c>
      <c r="C6" s="638">
        <v>44213.675000000003</v>
      </c>
      <c r="D6" s="639" t="s">
        <v>712</v>
      </c>
      <c r="E6" s="640">
        <v>1.72</v>
      </c>
      <c r="F6" s="640"/>
      <c r="G6" s="641"/>
      <c r="H6" s="641"/>
      <c r="I6" s="644"/>
    </row>
    <row r="7" spans="1:9" ht="52.8" customHeight="1">
      <c r="A7" s="640" t="s">
        <v>582</v>
      </c>
      <c r="B7" s="640" t="s">
        <v>711</v>
      </c>
      <c r="C7" s="638">
        <v>44213.730555555558</v>
      </c>
      <c r="D7" s="639" t="s">
        <v>713</v>
      </c>
      <c r="E7" s="640">
        <v>1.72</v>
      </c>
      <c r="F7" s="640"/>
      <c r="G7" s="641"/>
      <c r="H7" s="641"/>
      <c r="I7" s="644"/>
    </row>
    <row r="8" spans="1:9" ht="42.6" customHeight="1">
      <c r="A8" s="640" t="s">
        <v>489</v>
      </c>
      <c r="B8" s="640" t="s">
        <v>584</v>
      </c>
      <c r="C8" s="638">
        <v>44213.771527777775</v>
      </c>
      <c r="D8" s="639" t="s">
        <v>714</v>
      </c>
      <c r="E8" s="640">
        <v>6.06</v>
      </c>
      <c r="F8" s="640"/>
      <c r="G8" s="641"/>
      <c r="H8" s="641"/>
      <c r="I8" s="644"/>
    </row>
    <row r="9" spans="1:9" ht="58.2" customHeight="1">
      <c r="A9" s="640" t="s">
        <v>582</v>
      </c>
      <c r="B9" s="640" t="s">
        <v>711</v>
      </c>
      <c r="C9" s="638">
        <v>44214.357638888891</v>
      </c>
      <c r="D9" s="639" t="s">
        <v>715</v>
      </c>
      <c r="E9" s="640">
        <v>1.72</v>
      </c>
      <c r="F9" s="640"/>
      <c r="G9" s="641"/>
      <c r="H9" s="641"/>
      <c r="I9" s="644"/>
    </row>
    <row r="10" spans="1:9" ht="54.6" customHeight="1">
      <c r="A10" s="640" t="s">
        <v>685</v>
      </c>
      <c r="B10" s="640" t="s">
        <v>716</v>
      </c>
      <c r="C10" s="638">
        <v>44214.476388888892</v>
      </c>
      <c r="D10" s="639" t="s">
        <v>717</v>
      </c>
      <c r="E10" s="640">
        <v>16.11</v>
      </c>
      <c r="F10" s="640"/>
      <c r="G10" s="641"/>
      <c r="H10" s="641"/>
      <c r="I10" s="644"/>
    </row>
    <row r="11" spans="1:9" ht="55.2" customHeight="1">
      <c r="A11" s="640" t="s">
        <v>488</v>
      </c>
      <c r="B11" s="640" t="s">
        <v>591</v>
      </c>
      <c r="C11" s="638">
        <v>44215.004861111112</v>
      </c>
      <c r="D11" s="639" t="s">
        <v>718</v>
      </c>
      <c r="E11" s="640">
        <v>2.4300000000000002</v>
      </c>
      <c r="F11" s="640"/>
      <c r="G11" s="641"/>
      <c r="H11" s="641"/>
      <c r="I11" s="644"/>
    </row>
    <row r="12" spans="1:9" ht="49.2" customHeight="1">
      <c r="A12" s="640" t="s">
        <v>504</v>
      </c>
      <c r="B12" s="640" t="s">
        <v>585</v>
      </c>
      <c r="C12" s="638">
        <v>44215.582638888889</v>
      </c>
      <c r="D12" s="639" t="s">
        <v>719</v>
      </c>
      <c r="E12" s="640">
        <v>7.72</v>
      </c>
      <c r="F12" s="640"/>
      <c r="G12" s="641"/>
      <c r="H12" s="641"/>
      <c r="I12" s="644"/>
    </row>
    <row r="13" spans="1:9" ht="66" customHeight="1">
      <c r="A13" s="640" t="s">
        <v>504</v>
      </c>
      <c r="B13" s="640" t="s">
        <v>720</v>
      </c>
      <c r="C13" s="638">
        <v>44215.638888888891</v>
      </c>
      <c r="D13" s="639" t="s">
        <v>721</v>
      </c>
      <c r="E13" s="640">
        <v>23.9</v>
      </c>
      <c r="F13" s="640"/>
      <c r="G13" s="641"/>
      <c r="H13" s="641"/>
      <c r="I13" s="644"/>
    </row>
    <row r="14" spans="1:9" ht="49.2" customHeight="1">
      <c r="A14" s="640" t="s">
        <v>489</v>
      </c>
      <c r="B14" s="640" t="s">
        <v>584</v>
      </c>
      <c r="C14" s="638">
        <v>44215.868750000001</v>
      </c>
      <c r="D14" s="639" t="s">
        <v>722</v>
      </c>
      <c r="E14" s="640">
        <v>5.54</v>
      </c>
      <c r="F14" s="640"/>
    </row>
    <row r="15" spans="1:9" ht="40.799999999999997" customHeight="1">
      <c r="A15" s="640" t="s">
        <v>489</v>
      </c>
      <c r="B15" s="640" t="s">
        <v>494</v>
      </c>
      <c r="C15" s="638">
        <v>44216.695138888892</v>
      </c>
      <c r="D15" s="639" t="s">
        <v>723</v>
      </c>
      <c r="E15" s="640">
        <v>1.22</v>
      </c>
      <c r="F15" s="640"/>
    </row>
    <row r="16" spans="1:9" ht="62.4" customHeight="1">
      <c r="A16" s="640" t="s">
        <v>493</v>
      </c>
      <c r="B16" s="640" t="s">
        <v>583</v>
      </c>
      <c r="C16" s="638">
        <v>44217.489583333336</v>
      </c>
      <c r="D16" s="639" t="s">
        <v>724</v>
      </c>
      <c r="E16" s="640"/>
      <c r="F16" s="640">
        <v>72.8</v>
      </c>
    </row>
    <row r="17" spans="1:6" ht="46.8" customHeight="1">
      <c r="A17" s="640" t="s">
        <v>685</v>
      </c>
      <c r="B17" s="640" t="s">
        <v>725</v>
      </c>
      <c r="C17" s="638">
        <v>44217.51458333333</v>
      </c>
      <c r="D17" s="639" t="s">
        <v>726</v>
      </c>
      <c r="E17" s="640">
        <v>28.25</v>
      </c>
      <c r="F17" s="640"/>
    </row>
    <row r="18" spans="1:6">
      <c r="E18" s="648"/>
      <c r="F18" s="648"/>
    </row>
    <row r="19" spans="1:6">
      <c r="E19" s="648"/>
      <c r="F19" s="648"/>
    </row>
    <row r="20" spans="1:6">
      <c r="E20" s="648"/>
      <c r="F20" s="648"/>
    </row>
    <row r="21" spans="1:6">
      <c r="E21" s="648"/>
      <c r="F21" s="648"/>
    </row>
    <row r="22" spans="1:6">
      <c r="E22" s="648"/>
      <c r="F22" s="648"/>
    </row>
    <row r="23" spans="1:6">
      <c r="E23" s="648"/>
      <c r="F23" s="648"/>
    </row>
    <row r="24" spans="1:6">
      <c r="E24" s="648"/>
      <c r="F24" s="648"/>
    </row>
    <row r="25" spans="1:6">
      <c r="E25" s="648"/>
      <c r="F25" s="648"/>
    </row>
    <row r="26" spans="1:6">
      <c r="E26" s="648"/>
      <c r="F26" s="648"/>
    </row>
    <row r="27" spans="1:6">
      <c r="E27" s="648"/>
      <c r="F27" s="648"/>
    </row>
    <row r="28" spans="1:6">
      <c r="E28" s="648"/>
      <c r="F28" s="648"/>
    </row>
    <row r="29" spans="1:6">
      <c r="E29" s="648"/>
      <c r="F29" s="648"/>
    </row>
    <row r="30" spans="1:6">
      <c r="E30" s="648"/>
      <c r="F30" s="648"/>
    </row>
    <row r="31" spans="1:6">
      <c r="E31" s="648"/>
      <c r="F31" s="648"/>
    </row>
    <row r="32" spans="1:6">
      <c r="E32" s="648"/>
      <c r="F32" s="648"/>
    </row>
    <row r="33" spans="5:6">
      <c r="E33" s="648"/>
      <c r="F33" s="648"/>
    </row>
    <row r="34" spans="5:6">
      <c r="E34" s="648"/>
      <c r="F34" s="648"/>
    </row>
    <row r="35" spans="5:6">
      <c r="E35" s="648"/>
      <c r="F35" s="648"/>
    </row>
    <row r="36" spans="5:6">
      <c r="E36" s="648"/>
      <c r="F36" s="648"/>
    </row>
    <row r="37" spans="5:6">
      <c r="E37" s="648"/>
      <c r="F37" s="648"/>
    </row>
    <row r="38" spans="5:6">
      <c r="E38" s="648"/>
      <c r="F38" s="648"/>
    </row>
    <row r="39" spans="5:6">
      <c r="E39" s="648"/>
      <c r="F39" s="648"/>
    </row>
    <row r="40" spans="5:6">
      <c r="E40" s="648"/>
      <c r="F40" s="648"/>
    </row>
    <row r="41" spans="5:6">
      <c r="E41" s="648"/>
      <c r="F41" s="648"/>
    </row>
    <row r="42" spans="5:6">
      <c r="E42" s="648"/>
      <c r="F42" s="648"/>
    </row>
    <row r="43" spans="5:6">
      <c r="E43" s="648"/>
      <c r="F43" s="648"/>
    </row>
    <row r="44" spans="5:6">
      <c r="E44" s="648"/>
      <c r="F44" s="648"/>
    </row>
    <row r="45" spans="5:6">
      <c r="E45" s="648"/>
      <c r="F45" s="648"/>
    </row>
    <row r="46" spans="5:6">
      <c r="E46" s="648"/>
      <c r="F46" s="648"/>
    </row>
    <row r="47" spans="5:6">
      <c r="E47" s="648"/>
      <c r="F47" s="648"/>
    </row>
    <row r="48" spans="5:6">
      <c r="E48" s="648"/>
      <c r="F48" s="648"/>
    </row>
    <row r="49" spans="5:6">
      <c r="E49" s="648"/>
      <c r="F49" s="648"/>
    </row>
    <row r="50" spans="5:6">
      <c r="E50" s="648"/>
      <c r="F50" s="648"/>
    </row>
    <row r="51" spans="5:6">
      <c r="E51" s="648"/>
      <c r="F51" s="648"/>
    </row>
    <row r="52" spans="5:6">
      <c r="E52" s="648"/>
      <c r="F52" s="648"/>
    </row>
    <row r="53" spans="5:6">
      <c r="E53" s="648"/>
      <c r="F53" s="648"/>
    </row>
    <row r="54" spans="5:6">
      <c r="E54" s="648"/>
      <c r="F54" s="648"/>
    </row>
    <row r="55" spans="5:6">
      <c r="E55" s="648"/>
      <c r="F55" s="648"/>
    </row>
    <row r="56" spans="5:6">
      <c r="E56" s="648"/>
      <c r="F56" s="648"/>
    </row>
    <row r="57" spans="5:6">
      <c r="E57" s="648"/>
      <c r="F57" s="648"/>
    </row>
    <row r="58" spans="5:6">
      <c r="E58" s="648"/>
      <c r="F58" s="648"/>
    </row>
    <row r="59" spans="5:6">
      <c r="E59" s="648"/>
      <c r="F59" s="648"/>
    </row>
    <row r="60" spans="5:6">
      <c r="E60" s="648"/>
      <c r="F60" s="648"/>
    </row>
    <row r="61" spans="5:6">
      <c r="E61" s="648"/>
      <c r="F61" s="648"/>
    </row>
    <row r="62" spans="5:6">
      <c r="E62" s="648"/>
      <c r="F62" s="648"/>
    </row>
    <row r="63" spans="5:6">
      <c r="E63" s="648"/>
      <c r="F63" s="648"/>
    </row>
    <row r="64" spans="5:6">
      <c r="E64" s="648"/>
      <c r="F64" s="648"/>
    </row>
    <row r="65" spans="5:6">
      <c r="E65" s="648"/>
      <c r="F65" s="648"/>
    </row>
    <row r="66" spans="5:6">
      <c r="E66" s="648"/>
      <c r="F66" s="648"/>
    </row>
    <row r="67" spans="5:6">
      <c r="E67" s="648"/>
      <c r="F67" s="648"/>
    </row>
    <row r="68" spans="5:6">
      <c r="E68" s="648"/>
      <c r="F68" s="648"/>
    </row>
    <row r="69" spans="5:6">
      <c r="E69" s="648"/>
      <c r="F69" s="648"/>
    </row>
    <row r="70" spans="5:6">
      <c r="E70" s="648"/>
      <c r="F70" s="648"/>
    </row>
    <row r="71" spans="5:6">
      <c r="E71" s="648"/>
      <c r="F71" s="648"/>
    </row>
    <row r="72" spans="5:6">
      <c r="E72" s="648"/>
      <c r="F72" s="648"/>
    </row>
    <row r="73" spans="5:6">
      <c r="E73" s="648"/>
      <c r="F73" s="648"/>
    </row>
    <row r="74" spans="5:6">
      <c r="E74" s="648"/>
      <c r="F74" s="648"/>
    </row>
    <row r="75" spans="5:6">
      <c r="E75" s="648"/>
      <c r="F75" s="648"/>
    </row>
    <row r="76" spans="5:6">
      <c r="E76" s="648"/>
      <c r="F76" s="648"/>
    </row>
    <row r="77" spans="5:6">
      <c r="E77" s="648"/>
      <c r="F77" s="648"/>
    </row>
    <row r="78" spans="5:6">
      <c r="E78" s="648"/>
      <c r="F78" s="648"/>
    </row>
    <row r="79" spans="5:6">
      <c r="E79" s="648"/>
      <c r="F79" s="648"/>
    </row>
    <row r="80" spans="5:6">
      <c r="E80" s="648"/>
      <c r="F80" s="648"/>
    </row>
    <row r="81" spans="5:6">
      <c r="E81" s="648"/>
      <c r="F81" s="648"/>
    </row>
    <row r="82" spans="5:6">
      <c r="E82" s="648"/>
      <c r="F82" s="648"/>
    </row>
    <row r="83" spans="5:6">
      <c r="E83" s="648"/>
      <c r="F83" s="648"/>
    </row>
    <row r="84" spans="5:6">
      <c r="E84" s="648"/>
      <c r="F84" s="648"/>
    </row>
    <row r="85" spans="5:6">
      <c r="E85" s="648"/>
      <c r="F85" s="648"/>
    </row>
    <row r="86" spans="5:6">
      <c r="E86" s="648"/>
      <c r="F86" s="648"/>
    </row>
    <row r="87" spans="5:6">
      <c r="E87" s="648"/>
      <c r="F87" s="648"/>
    </row>
    <row r="88" spans="5:6">
      <c r="E88" s="648"/>
      <c r="F88" s="648"/>
    </row>
    <row r="89" spans="5:6">
      <c r="E89" s="648"/>
      <c r="F89" s="648"/>
    </row>
    <row r="90" spans="5:6">
      <c r="E90" s="648"/>
      <c r="F90" s="648"/>
    </row>
    <row r="91" spans="5:6">
      <c r="E91" s="648"/>
      <c r="F91" s="648"/>
    </row>
    <row r="92" spans="5:6">
      <c r="E92" s="648"/>
      <c r="F92" s="648"/>
    </row>
    <row r="93" spans="5:6">
      <c r="E93" s="648"/>
      <c r="F93" s="648"/>
    </row>
    <row r="94" spans="5:6">
      <c r="E94" s="648"/>
      <c r="F94" s="648"/>
    </row>
    <row r="95" spans="5:6">
      <c r="E95" s="648"/>
      <c r="F95" s="648"/>
    </row>
    <row r="96" spans="5:6">
      <c r="E96" s="648"/>
      <c r="F96" s="648"/>
    </row>
    <row r="97" spans="5:6">
      <c r="E97" s="648"/>
      <c r="F97" s="648"/>
    </row>
    <row r="98" spans="5:6">
      <c r="E98" s="648"/>
      <c r="F98" s="648"/>
    </row>
    <row r="99" spans="5:6">
      <c r="E99" s="648"/>
      <c r="F99" s="648"/>
    </row>
    <row r="100" spans="5:6">
      <c r="E100" s="648"/>
      <c r="F100" s="648"/>
    </row>
    <row r="101" spans="5:6">
      <c r="E101" s="648"/>
      <c r="F101" s="648"/>
    </row>
    <row r="102" spans="5:6">
      <c r="E102" s="648"/>
      <c r="F102" s="648"/>
    </row>
    <row r="103" spans="5:6">
      <c r="E103" s="648"/>
      <c r="F103" s="64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Mensual-Enero 2021
INFSGI-MES-01-2021
09/02/2021
Versión: 01</oddHeader>
    <oddFooter>&amp;L&amp;7COES, 2021&amp;C27&amp;R&amp;7Dirección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S15" sqref="S15"/>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9.28515625" style="46"/>
    <col min="14" max="14" width="9.28515625" style="278"/>
    <col min="15" max="16" width="10.140625" style="278" bestFit="1" customWidth="1"/>
    <col min="17" max="17" width="11.42578125" style="278" customWidth="1"/>
    <col min="18" max="18" width="9.28515625" style="278"/>
    <col min="19" max="23" width="9.28515625" style="303"/>
    <col min="24" max="16384" width="9.28515625" style="46"/>
  </cols>
  <sheetData>
    <row r="1" spans="1:17" ht="27.75" customHeight="1">
      <c r="A1" s="815" t="s">
        <v>22</v>
      </c>
      <c r="B1" s="815"/>
      <c r="C1" s="815"/>
      <c r="D1" s="815"/>
      <c r="E1" s="815"/>
      <c r="F1" s="815"/>
      <c r="G1" s="815"/>
      <c r="H1" s="815"/>
      <c r="I1" s="815"/>
      <c r="J1" s="815"/>
      <c r="K1" s="815"/>
      <c r="L1" s="815"/>
      <c r="M1" s="815"/>
      <c r="N1" s="277"/>
      <c r="O1" s="277"/>
      <c r="P1" s="277"/>
      <c r="Q1" s="277"/>
    </row>
    <row r="2" spans="1:17" ht="11.25" customHeight="1">
      <c r="A2" s="41"/>
      <c r="B2" s="40"/>
      <c r="C2" s="65"/>
      <c r="D2" s="65"/>
      <c r="E2" s="65"/>
      <c r="F2" s="65"/>
      <c r="G2" s="65"/>
      <c r="H2" s="65"/>
      <c r="I2" s="65"/>
      <c r="J2" s="65"/>
      <c r="K2" s="40"/>
      <c r="L2" s="40"/>
      <c r="M2" s="40"/>
      <c r="N2" s="277"/>
      <c r="O2" s="277"/>
      <c r="P2" s="277"/>
      <c r="Q2" s="277"/>
    </row>
    <row r="3" spans="1:17" ht="21.75" customHeight="1">
      <c r="A3" s="40"/>
      <c r="B3" s="42"/>
      <c r="C3" s="822" t="str">
        <f>+UPPER(Q4)&amp;" "&amp;Q5</f>
        <v>ENERO 2021</v>
      </c>
      <c r="D3" s="815"/>
      <c r="E3" s="815"/>
      <c r="F3" s="815"/>
      <c r="G3" s="815"/>
      <c r="H3" s="815"/>
      <c r="I3" s="815"/>
      <c r="J3" s="815"/>
      <c r="K3" s="40"/>
      <c r="L3" s="40"/>
      <c r="M3" s="40"/>
      <c r="N3" s="277"/>
      <c r="O3" s="277"/>
      <c r="P3" s="277"/>
      <c r="Q3" s="277"/>
    </row>
    <row r="4" spans="1:17" ht="11.25" customHeight="1">
      <c r="A4" s="40"/>
      <c r="B4" s="42"/>
      <c r="C4" s="40"/>
      <c r="D4" s="40"/>
      <c r="E4" s="40"/>
      <c r="F4" s="40"/>
      <c r="G4" s="40"/>
      <c r="H4" s="40"/>
      <c r="I4" s="40"/>
      <c r="J4" s="40"/>
      <c r="K4" s="40"/>
      <c r="L4" s="40"/>
      <c r="M4" s="40"/>
      <c r="N4" s="279"/>
      <c r="O4" s="279"/>
      <c r="P4" s="277" t="s">
        <v>210</v>
      </c>
      <c r="Q4" s="740" t="s">
        <v>606</v>
      </c>
    </row>
    <row r="5" spans="1:17" ht="11.25" customHeight="1">
      <c r="A5" s="47"/>
      <c r="B5" s="48"/>
      <c r="C5" s="49"/>
      <c r="D5" s="49"/>
      <c r="E5" s="49"/>
      <c r="F5" s="49"/>
      <c r="G5" s="49"/>
      <c r="H5" s="49"/>
      <c r="I5" s="49"/>
      <c r="J5" s="49"/>
      <c r="K5" s="49"/>
      <c r="L5" s="49"/>
      <c r="M5" s="40"/>
      <c r="N5" s="279"/>
      <c r="O5" s="279"/>
      <c r="P5" s="277" t="s">
        <v>211</v>
      </c>
      <c r="Q5" s="279">
        <v>2021</v>
      </c>
    </row>
    <row r="6" spans="1:17" ht="17.25" customHeight="1">
      <c r="A6" s="60" t="s">
        <v>398</v>
      </c>
      <c r="B6" s="40"/>
      <c r="C6" s="40"/>
      <c r="D6" s="40"/>
      <c r="E6" s="40"/>
      <c r="F6" s="40"/>
      <c r="G6" s="40"/>
      <c r="H6" s="40"/>
      <c r="I6" s="40"/>
      <c r="J6" s="40"/>
      <c r="K6" s="40"/>
      <c r="L6" s="40"/>
      <c r="M6" s="40"/>
      <c r="N6" s="277"/>
      <c r="O6" s="277"/>
      <c r="P6" s="277"/>
      <c r="Q6" s="741">
        <v>44197</v>
      </c>
    </row>
    <row r="7" spans="1:17" ht="11.25" customHeight="1">
      <c r="A7" s="40"/>
      <c r="B7" s="40"/>
      <c r="C7" s="40"/>
      <c r="D7" s="40"/>
      <c r="E7" s="40"/>
      <c r="F7" s="40"/>
      <c r="G7" s="40"/>
      <c r="H7" s="40"/>
      <c r="I7" s="40"/>
      <c r="J7" s="40"/>
      <c r="K7" s="40"/>
      <c r="L7" s="40"/>
      <c r="M7" s="40"/>
      <c r="N7" s="277"/>
      <c r="O7" s="277"/>
      <c r="P7" s="277"/>
      <c r="Q7" s="277">
        <v>31</v>
      </c>
    </row>
    <row r="8" spans="1:17" ht="11.25" customHeight="1">
      <c r="A8" s="43"/>
      <c r="B8" s="43"/>
      <c r="C8" s="43"/>
      <c r="D8" s="43"/>
      <c r="E8" s="43"/>
      <c r="F8" s="43"/>
      <c r="G8" s="43"/>
      <c r="H8" s="43"/>
      <c r="I8" s="43"/>
      <c r="J8" s="43"/>
      <c r="K8" s="43"/>
      <c r="L8" s="43"/>
      <c r="M8" s="43"/>
      <c r="N8" s="280"/>
      <c r="O8" s="280"/>
      <c r="P8" s="280"/>
      <c r="Q8" s="280"/>
    </row>
    <row r="9" spans="1:17" ht="14.25" customHeight="1">
      <c r="A9" s="40" t="str">
        <f>"1.1. Producción de energía eléctrica en "&amp;LOWER(Q4)&amp;" "&amp;Q5&amp;" en comparación al mismo mes del año anterior"</f>
        <v>1.1. Producción de energía eléctrica en enero 2021 en comparación al mismo mes del año anterior</v>
      </c>
      <c r="B9" s="40"/>
      <c r="C9" s="40"/>
      <c r="D9" s="40"/>
      <c r="E9" s="40"/>
      <c r="F9" s="40"/>
      <c r="G9" s="40"/>
      <c r="H9" s="40"/>
      <c r="I9" s="40"/>
      <c r="J9" s="40"/>
      <c r="K9" s="40"/>
      <c r="L9" s="40"/>
      <c r="M9" s="40"/>
      <c r="N9" s="277"/>
      <c r="O9" s="277"/>
      <c r="P9" s="277"/>
      <c r="Q9" s="277"/>
    </row>
    <row r="10" spans="1:17" ht="11.25" customHeight="1">
      <c r="A10" s="47"/>
      <c r="B10" s="44"/>
      <c r="C10" s="44"/>
      <c r="D10" s="44"/>
      <c r="E10" s="44"/>
      <c r="F10" s="44"/>
      <c r="G10" s="44"/>
      <c r="H10" s="44"/>
      <c r="I10" s="44"/>
      <c r="J10" s="44"/>
      <c r="K10" s="44"/>
      <c r="L10" s="44"/>
      <c r="M10" s="44"/>
      <c r="N10" s="279"/>
      <c r="O10" s="279"/>
      <c r="P10" s="279"/>
      <c r="Q10" s="279"/>
    </row>
    <row r="11" spans="1:17" ht="11.25" customHeight="1">
      <c r="A11" s="50"/>
      <c r="B11" s="50"/>
      <c r="C11" s="50"/>
      <c r="D11" s="50"/>
      <c r="E11" s="50"/>
      <c r="F11" s="50"/>
      <c r="G11" s="50"/>
      <c r="H11" s="50"/>
      <c r="I11" s="50"/>
      <c r="J11" s="50"/>
      <c r="K11" s="50"/>
      <c r="L11" s="50"/>
      <c r="M11" s="50"/>
      <c r="N11" s="281"/>
      <c r="O11" s="281"/>
      <c r="P11" s="281"/>
      <c r="Q11" s="281"/>
    </row>
    <row r="12" spans="1:17" ht="26.25" customHeight="1">
      <c r="A12" s="62" t="s">
        <v>23</v>
      </c>
      <c r="B12" s="821" t="s">
        <v>607</v>
      </c>
      <c r="C12" s="821"/>
      <c r="D12" s="821"/>
      <c r="E12" s="821"/>
      <c r="F12" s="821"/>
      <c r="G12" s="821"/>
      <c r="H12" s="821"/>
      <c r="I12" s="821"/>
      <c r="J12" s="821"/>
      <c r="K12" s="821"/>
      <c r="L12" s="821"/>
      <c r="M12" s="821"/>
      <c r="N12" s="279"/>
      <c r="O12" s="279"/>
      <c r="P12" s="279"/>
      <c r="Q12" s="279"/>
    </row>
    <row r="13" spans="1:17" ht="12.75" customHeight="1">
      <c r="A13" s="40"/>
      <c r="B13" s="64"/>
      <c r="C13" s="64"/>
      <c r="D13" s="64"/>
      <c r="E13" s="64"/>
      <c r="F13" s="64"/>
      <c r="G13" s="64"/>
      <c r="H13" s="64"/>
      <c r="I13" s="64"/>
      <c r="J13" s="64"/>
      <c r="K13" s="64"/>
      <c r="L13" s="64"/>
      <c r="M13" s="44"/>
      <c r="N13" s="279"/>
      <c r="O13" s="279"/>
      <c r="P13" s="279"/>
      <c r="Q13" s="279"/>
    </row>
    <row r="14" spans="1:17" ht="28.5" customHeight="1">
      <c r="A14" s="62" t="s">
        <v>23</v>
      </c>
      <c r="B14" s="821" t="s">
        <v>608</v>
      </c>
      <c r="C14" s="821"/>
      <c r="D14" s="821"/>
      <c r="E14" s="821"/>
      <c r="F14" s="821"/>
      <c r="G14" s="821"/>
      <c r="H14" s="821"/>
      <c r="I14" s="821"/>
      <c r="J14" s="821"/>
      <c r="K14" s="821"/>
      <c r="L14" s="821"/>
      <c r="M14" s="821"/>
      <c r="N14" s="279"/>
      <c r="O14" s="279"/>
      <c r="P14" s="279"/>
      <c r="Q14" s="279"/>
    </row>
    <row r="15" spans="1:17" ht="15" customHeight="1">
      <c r="A15" s="63"/>
      <c r="B15" s="64"/>
      <c r="C15" s="64"/>
      <c r="D15" s="64"/>
      <c r="E15" s="64"/>
      <c r="F15" s="64"/>
      <c r="G15" s="64"/>
      <c r="H15" s="64"/>
      <c r="I15" s="64"/>
      <c r="J15" s="64"/>
      <c r="K15" s="64"/>
      <c r="L15" s="64"/>
      <c r="M15" s="44"/>
      <c r="N15" s="279"/>
      <c r="O15" s="279"/>
      <c r="P15" s="279"/>
      <c r="Q15" s="279"/>
    </row>
    <row r="16" spans="1:17" ht="59.25" customHeight="1">
      <c r="A16" s="62" t="s">
        <v>23</v>
      </c>
      <c r="B16" s="821" t="s">
        <v>610</v>
      </c>
      <c r="C16" s="821"/>
      <c r="D16" s="821"/>
      <c r="E16" s="821"/>
      <c r="F16" s="821"/>
      <c r="G16" s="821"/>
      <c r="H16" s="821"/>
      <c r="I16" s="821"/>
      <c r="J16" s="821"/>
      <c r="K16" s="821"/>
      <c r="L16" s="821"/>
      <c r="M16" s="821"/>
      <c r="N16" s="279"/>
      <c r="O16" s="279"/>
      <c r="P16" s="279"/>
      <c r="Q16" s="279"/>
    </row>
    <row r="17" spans="1:18" ht="17.25" customHeight="1">
      <c r="A17" s="44"/>
      <c r="B17" s="44"/>
      <c r="C17" s="44"/>
      <c r="D17" s="44"/>
      <c r="E17" s="44"/>
      <c r="F17" s="44"/>
      <c r="G17" s="44"/>
      <c r="H17" s="44"/>
      <c r="I17" s="44"/>
      <c r="J17" s="44"/>
      <c r="K17" s="44"/>
      <c r="L17" s="44"/>
      <c r="M17" s="44"/>
      <c r="N17" s="279"/>
      <c r="O17" s="279"/>
      <c r="P17" s="279"/>
      <c r="Q17" s="279"/>
    </row>
    <row r="18" spans="1:18" ht="25.5" customHeight="1">
      <c r="A18" s="61" t="s">
        <v>23</v>
      </c>
      <c r="B18" s="820" t="s">
        <v>609</v>
      </c>
      <c r="C18" s="820"/>
      <c r="D18" s="820"/>
      <c r="E18" s="820"/>
      <c r="F18" s="820"/>
      <c r="G18" s="820"/>
      <c r="H18" s="820"/>
      <c r="I18" s="820"/>
      <c r="J18" s="820"/>
      <c r="K18" s="820"/>
      <c r="L18" s="820"/>
      <c r="M18" s="820"/>
      <c r="N18" s="279"/>
      <c r="O18" s="279"/>
      <c r="P18" s="279"/>
      <c r="Q18" s="279"/>
    </row>
    <row r="19" spans="1:18" ht="11.25" customHeight="1">
      <c r="A19" s="44"/>
      <c r="B19" s="44"/>
      <c r="C19" s="44"/>
      <c r="D19" s="44"/>
      <c r="E19" s="44"/>
      <c r="F19" s="44"/>
      <c r="G19" s="44"/>
      <c r="H19" s="44"/>
      <c r="I19" s="44"/>
      <c r="J19" s="44"/>
      <c r="K19" s="44"/>
      <c r="L19" s="44"/>
      <c r="M19" s="44"/>
      <c r="N19" s="279"/>
      <c r="O19" s="279"/>
      <c r="P19" s="279"/>
      <c r="Q19" s="279"/>
    </row>
    <row r="20" spans="1:18" ht="15.75" customHeight="1">
      <c r="A20" s="44"/>
      <c r="B20" s="44"/>
      <c r="C20" s="819" t="str">
        <f>+UPPER(Q4)&amp;" "&amp;Q5</f>
        <v>ENERO 2021</v>
      </c>
      <c r="D20" s="819"/>
      <c r="E20" s="819"/>
      <c r="F20" s="40"/>
      <c r="G20" s="40"/>
      <c r="H20" s="40"/>
      <c r="I20" s="819" t="str">
        <f>+UPPER(Q4)&amp;" "&amp;Q5-1</f>
        <v>ENERO 2020</v>
      </c>
      <c r="J20" s="819"/>
      <c r="K20" s="819"/>
      <c r="L20" s="44"/>
      <c r="M20" s="44"/>
      <c r="Q20" s="279"/>
    </row>
    <row r="21" spans="1:18" ht="11.25" customHeight="1">
      <c r="A21" s="44"/>
      <c r="B21" s="44"/>
      <c r="C21" s="44"/>
      <c r="D21" s="44"/>
      <c r="E21" s="44"/>
      <c r="F21" s="44"/>
      <c r="G21" s="44"/>
      <c r="H21" s="44"/>
      <c r="I21" s="44"/>
      <c r="J21" s="44"/>
      <c r="K21" s="44"/>
      <c r="L21" s="44"/>
      <c r="M21" s="44"/>
      <c r="Q21" s="279"/>
    </row>
    <row r="22" spans="1:18" ht="11.25" customHeight="1">
      <c r="A22" s="51"/>
      <c r="B22" s="52"/>
      <c r="C22" s="52"/>
      <c r="D22" s="52"/>
      <c r="E22" s="52"/>
      <c r="F22" s="52"/>
      <c r="G22" s="52"/>
      <c r="H22" s="52"/>
      <c r="I22" s="52"/>
      <c r="J22" s="52"/>
      <c r="K22" s="52"/>
      <c r="L22" s="52"/>
      <c r="M22" s="52"/>
      <c r="N22" s="742" t="s">
        <v>31</v>
      </c>
      <c r="O22" s="743"/>
      <c r="P22" s="743"/>
    </row>
    <row r="23" spans="1:18" ht="11.25" customHeight="1">
      <c r="A23" s="51"/>
      <c r="B23" s="52"/>
      <c r="C23" s="52"/>
      <c r="D23" s="52"/>
      <c r="E23" s="52"/>
      <c r="F23" s="52"/>
      <c r="G23" s="52"/>
      <c r="H23" s="52"/>
      <c r="I23" s="52"/>
      <c r="J23" s="52"/>
      <c r="K23" s="52"/>
      <c r="L23" s="52"/>
      <c r="M23" s="52"/>
      <c r="N23" s="742" t="s">
        <v>24</v>
      </c>
      <c r="O23" s="744">
        <v>3326.6138492225004</v>
      </c>
      <c r="P23" s="744">
        <v>3224.7240291725007</v>
      </c>
      <c r="Q23" s="745"/>
    </row>
    <row r="24" spans="1:18" ht="11.25" customHeight="1">
      <c r="A24" s="44"/>
      <c r="B24" s="44"/>
      <c r="C24" s="44"/>
      <c r="D24" s="44"/>
      <c r="E24" s="43"/>
      <c r="F24" s="44"/>
      <c r="G24" s="44"/>
      <c r="H24" s="44"/>
      <c r="I24" s="44"/>
      <c r="J24" s="44"/>
      <c r="K24" s="44"/>
      <c r="L24" s="44"/>
      <c r="M24" s="43"/>
      <c r="N24" s="745" t="s">
        <v>25</v>
      </c>
      <c r="O24" s="746">
        <v>971.22811921750008</v>
      </c>
      <c r="P24" s="746">
        <v>1183.8381960599997</v>
      </c>
      <c r="Q24" s="747"/>
      <c r="R24" s="747"/>
    </row>
    <row r="25" spans="1:18" ht="11.25" customHeight="1">
      <c r="A25" s="44"/>
      <c r="B25" s="44"/>
      <c r="C25" s="44"/>
      <c r="D25" s="44"/>
      <c r="E25" s="44"/>
      <c r="F25" s="44"/>
      <c r="G25" s="44"/>
      <c r="H25" s="44"/>
      <c r="I25" s="44"/>
      <c r="J25" s="53"/>
      <c r="K25" s="53"/>
      <c r="L25" s="44"/>
      <c r="M25" s="44"/>
      <c r="N25" s="745" t="s">
        <v>26</v>
      </c>
      <c r="O25" s="746">
        <v>0</v>
      </c>
      <c r="P25" s="746">
        <v>0</v>
      </c>
      <c r="Q25" s="742"/>
    </row>
    <row r="26" spans="1:18" ht="11.25" customHeight="1">
      <c r="A26" s="44"/>
      <c r="B26" s="44"/>
      <c r="C26" s="44"/>
      <c r="D26" s="44"/>
      <c r="E26" s="44"/>
      <c r="F26" s="44"/>
      <c r="G26" s="44"/>
      <c r="H26" s="44"/>
      <c r="I26" s="44"/>
      <c r="J26" s="53"/>
      <c r="K26" s="53"/>
      <c r="L26" s="44"/>
      <c r="M26" s="44"/>
      <c r="N26" s="742" t="s">
        <v>27</v>
      </c>
      <c r="O26" s="744">
        <v>1.2889819600000001</v>
      </c>
      <c r="P26" s="744">
        <v>0.72036455499999996</v>
      </c>
      <c r="Q26" s="742"/>
    </row>
    <row r="27" spans="1:18" ht="11.25" customHeight="1">
      <c r="A27" s="44"/>
      <c r="B27" s="44"/>
      <c r="C27" s="44"/>
      <c r="D27" s="44"/>
      <c r="E27" s="44"/>
      <c r="F27" s="44"/>
      <c r="G27" s="44"/>
      <c r="H27" s="44"/>
      <c r="I27" s="44"/>
      <c r="J27" s="53"/>
      <c r="K27" s="44"/>
      <c r="L27" s="44"/>
      <c r="M27" s="44"/>
      <c r="N27" s="742" t="s">
        <v>28</v>
      </c>
      <c r="O27" s="744">
        <v>26.295059415000001</v>
      </c>
      <c r="P27" s="744">
        <v>24.034369742499997</v>
      </c>
      <c r="Q27" s="742"/>
    </row>
    <row r="28" spans="1:18" ht="11.25" customHeight="1">
      <c r="A28" s="44"/>
      <c r="B28" s="44"/>
      <c r="C28" s="53"/>
      <c r="D28" s="53"/>
      <c r="E28" s="53"/>
      <c r="F28" s="53"/>
      <c r="G28" s="53"/>
      <c r="H28" s="53"/>
      <c r="I28" s="53"/>
      <c r="J28" s="53"/>
      <c r="K28" s="53"/>
      <c r="L28" s="44"/>
      <c r="M28" s="44"/>
      <c r="N28" s="742" t="s">
        <v>29</v>
      </c>
      <c r="O28" s="744">
        <v>159.07100367750002</v>
      </c>
      <c r="P28" s="744">
        <v>112.79455227750002</v>
      </c>
      <c r="Q28" s="742"/>
    </row>
    <row r="29" spans="1:18" ht="11.25" customHeight="1">
      <c r="A29" s="44"/>
      <c r="B29" s="44"/>
      <c r="C29" s="53"/>
      <c r="D29" s="53"/>
      <c r="E29" s="53"/>
      <c r="F29" s="53"/>
      <c r="G29" s="53"/>
      <c r="H29" s="53"/>
      <c r="I29" s="53"/>
      <c r="J29" s="53"/>
      <c r="K29" s="53"/>
      <c r="L29" s="44"/>
      <c r="M29" s="44"/>
      <c r="N29" s="742" t="s">
        <v>30</v>
      </c>
      <c r="O29" s="744">
        <v>72.941591460000012</v>
      </c>
      <c r="P29" s="744">
        <v>57.710546254999997</v>
      </c>
      <c r="Q29" s="742"/>
    </row>
    <row r="30" spans="1:18" ht="11.25" customHeight="1">
      <c r="A30" s="44"/>
      <c r="B30" s="44"/>
      <c r="C30" s="53"/>
      <c r="D30" s="53"/>
      <c r="E30" s="53"/>
      <c r="F30" s="53"/>
      <c r="G30" s="53"/>
      <c r="H30" s="53"/>
      <c r="I30" s="53"/>
      <c r="J30" s="53"/>
      <c r="K30" s="53"/>
      <c r="L30" s="44"/>
      <c r="M30" s="44"/>
      <c r="N30" s="742"/>
      <c r="O30" s="742"/>
      <c r="P30" s="742"/>
      <c r="Q30" s="742"/>
    </row>
    <row r="31" spans="1:18" ht="11.25" customHeight="1">
      <c r="A31" s="44"/>
      <c r="B31" s="44"/>
      <c r="C31" s="53"/>
      <c r="D31" s="53"/>
      <c r="E31" s="53"/>
      <c r="F31" s="53"/>
      <c r="G31" s="53"/>
      <c r="H31" s="53"/>
      <c r="I31" s="53"/>
      <c r="J31" s="53"/>
      <c r="K31" s="53"/>
      <c r="L31" s="44"/>
      <c r="M31" s="44"/>
      <c r="O31" s="748"/>
      <c r="P31" s="748"/>
      <c r="Q31" s="749"/>
    </row>
    <row r="32" spans="1:18" ht="11.25" customHeight="1">
      <c r="A32" s="44"/>
      <c r="B32" s="44"/>
      <c r="C32" s="53"/>
      <c r="D32" s="53"/>
      <c r="E32" s="53"/>
      <c r="F32" s="53"/>
      <c r="G32" s="53"/>
      <c r="H32" s="53"/>
      <c r="I32" s="53"/>
      <c r="J32" s="53"/>
      <c r="K32" s="53"/>
      <c r="L32" s="44"/>
      <c r="M32" s="44"/>
      <c r="Q32" s="279"/>
    </row>
    <row r="33" spans="1:17" ht="11.25" customHeight="1">
      <c r="A33" s="44"/>
      <c r="B33" s="44"/>
      <c r="C33" s="53"/>
      <c r="D33" s="53"/>
      <c r="E33" s="53"/>
      <c r="F33" s="53"/>
      <c r="G33" s="53"/>
      <c r="H33" s="53"/>
      <c r="I33" s="53"/>
      <c r="J33" s="53"/>
      <c r="K33" s="53"/>
      <c r="L33" s="44"/>
      <c r="M33" s="44"/>
      <c r="Q33" s="279"/>
    </row>
    <row r="34" spans="1:17" ht="11.25" customHeight="1">
      <c r="A34" s="44"/>
      <c r="B34" s="44"/>
      <c r="C34" s="53"/>
      <c r="D34" s="53"/>
      <c r="E34" s="53"/>
      <c r="F34" s="53"/>
      <c r="G34" s="53"/>
      <c r="H34" s="53"/>
      <c r="I34" s="53"/>
      <c r="J34" s="53"/>
      <c r="K34" s="53"/>
      <c r="L34" s="44"/>
      <c r="M34" s="44"/>
      <c r="Q34" s="279"/>
    </row>
    <row r="35" spans="1:17" ht="11.25" customHeight="1">
      <c r="A35" s="54"/>
      <c r="B35" s="54"/>
      <c r="C35" s="55"/>
      <c r="D35" s="55"/>
      <c r="E35" s="55"/>
      <c r="F35" s="55"/>
      <c r="G35" s="55"/>
      <c r="H35" s="55"/>
      <c r="I35" s="55"/>
      <c r="J35" s="54"/>
      <c r="K35" s="54"/>
      <c r="L35" s="54"/>
      <c r="M35" s="54"/>
      <c r="Q35" s="279"/>
    </row>
    <row r="36" spans="1:17" ht="11.25" customHeight="1">
      <c r="A36" s="54"/>
      <c r="B36" s="54"/>
      <c r="C36" s="55"/>
      <c r="D36" s="55"/>
      <c r="E36" s="55"/>
      <c r="F36" s="55"/>
      <c r="G36" s="55"/>
      <c r="H36" s="55"/>
      <c r="I36" s="55"/>
      <c r="J36" s="54"/>
      <c r="K36" s="54"/>
      <c r="L36" s="54"/>
      <c r="M36" s="54"/>
      <c r="Q36" s="279"/>
    </row>
    <row r="37" spans="1:17" ht="11.25" customHeight="1">
      <c r="A37" s="54"/>
      <c r="B37" s="54"/>
      <c r="C37" s="55"/>
      <c r="D37" s="55"/>
      <c r="E37" s="55"/>
      <c r="F37" s="55"/>
      <c r="G37" s="55"/>
      <c r="H37" s="55"/>
      <c r="I37" s="55"/>
      <c r="J37" s="54"/>
      <c r="K37" s="54"/>
      <c r="L37" s="54"/>
      <c r="M37" s="54"/>
      <c r="N37" s="279"/>
      <c r="O37" s="279"/>
      <c r="P37" s="279"/>
      <c r="Q37" s="279"/>
    </row>
    <row r="38" spans="1:17" ht="11.25" customHeight="1">
      <c r="A38" s="54"/>
      <c r="B38" s="54"/>
      <c r="C38" s="55"/>
      <c r="D38" s="55"/>
      <c r="E38" s="55"/>
      <c r="F38" s="55"/>
      <c r="G38" s="55"/>
      <c r="H38" s="55"/>
      <c r="I38" s="55"/>
      <c r="J38" s="54"/>
      <c r="K38" s="54"/>
      <c r="L38" s="54"/>
      <c r="M38" s="54"/>
      <c r="N38" s="279"/>
      <c r="O38" s="279"/>
      <c r="P38" s="279"/>
      <c r="Q38" s="279"/>
    </row>
    <row r="39" spans="1:17" ht="11.25" customHeight="1">
      <c r="A39" s="54"/>
      <c r="B39" s="54"/>
      <c r="C39" s="55"/>
      <c r="D39" s="55"/>
      <c r="E39" s="55"/>
      <c r="F39" s="55"/>
      <c r="G39" s="55"/>
      <c r="H39" s="55"/>
      <c r="I39" s="55"/>
      <c r="J39" s="54"/>
      <c r="K39" s="54"/>
      <c r="L39" s="54"/>
      <c r="M39" s="54"/>
      <c r="N39" s="279"/>
      <c r="O39" s="279"/>
      <c r="P39" s="279"/>
      <c r="Q39" s="279"/>
    </row>
    <row r="40" spans="1:17" ht="11.25" customHeight="1">
      <c r="A40" s="54"/>
      <c r="B40" s="54"/>
      <c r="C40" s="55"/>
      <c r="D40" s="55"/>
      <c r="E40" s="55"/>
      <c r="F40" s="55"/>
      <c r="G40" s="55"/>
      <c r="H40" s="55"/>
      <c r="I40" s="55"/>
      <c r="J40" s="54"/>
      <c r="K40" s="54"/>
      <c r="L40" s="54"/>
      <c r="M40" s="54"/>
      <c r="N40" s="279"/>
      <c r="O40" s="279"/>
      <c r="P40" s="279"/>
      <c r="Q40" s="279"/>
    </row>
    <row r="41" spans="1:17" ht="11.25" customHeight="1">
      <c r="A41" s="54"/>
      <c r="B41" s="54"/>
      <c r="C41" s="54"/>
      <c r="D41" s="55"/>
      <c r="E41" s="55"/>
      <c r="F41" s="55"/>
      <c r="G41" s="55"/>
      <c r="H41" s="54"/>
      <c r="I41" s="54"/>
      <c r="J41" s="54"/>
      <c r="K41" s="54"/>
      <c r="L41" s="54"/>
      <c r="M41" s="54"/>
      <c r="N41" s="279"/>
      <c r="O41" s="279"/>
      <c r="P41" s="279"/>
      <c r="Q41" s="279"/>
    </row>
    <row r="42" spans="1:17" ht="11.25" customHeight="1">
      <c r="A42" s="54"/>
      <c r="B42" s="54"/>
      <c r="C42" s="55"/>
      <c r="D42" s="55"/>
      <c r="E42" s="55"/>
      <c r="F42" s="55"/>
      <c r="G42" s="55"/>
      <c r="H42" s="55"/>
      <c r="I42" s="55"/>
      <c r="J42" s="54"/>
      <c r="K42" s="54"/>
      <c r="L42" s="54"/>
      <c r="M42" s="54"/>
      <c r="N42" s="279"/>
      <c r="O42" s="279"/>
      <c r="P42" s="279"/>
      <c r="Q42" s="279"/>
    </row>
    <row r="43" spans="1:17" ht="11.25" customHeight="1">
      <c r="A43" s="54"/>
      <c r="B43" s="54"/>
      <c r="C43" s="55"/>
      <c r="D43" s="55"/>
      <c r="E43" s="55"/>
      <c r="F43" s="55"/>
      <c r="G43" s="55"/>
      <c r="H43" s="55"/>
      <c r="I43" s="55"/>
      <c r="J43" s="54"/>
      <c r="K43" s="54"/>
      <c r="L43" s="54"/>
      <c r="M43" s="54"/>
      <c r="N43" s="279"/>
      <c r="O43" s="279"/>
      <c r="P43" s="279"/>
      <c r="Q43" s="279"/>
    </row>
    <row r="44" spans="1:17" ht="11.25" customHeight="1">
      <c r="A44" s="54"/>
      <c r="B44" s="54"/>
      <c r="C44" s="55"/>
      <c r="D44" s="55"/>
      <c r="E44" s="55"/>
      <c r="F44" s="55"/>
      <c r="G44" s="55"/>
      <c r="H44" s="55"/>
      <c r="I44" s="55"/>
      <c r="J44" s="54"/>
      <c r="K44" s="54"/>
      <c r="L44" s="54"/>
      <c r="M44" s="54"/>
      <c r="N44" s="279"/>
      <c r="O44" s="279"/>
      <c r="P44" s="279"/>
      <c r="Q44" s="279"/>
    </row>
    <row r="45" spans="1:17" ht="11.25" customHeight="1">
      <c r="A45" s="54"/>
      <c r="B45" s="54"/>
      <c r="C45" s="55"/>
      <c r="D45" s="55"/>
      <c r="E45" s="55"/>
      <c r="F45" s="55"/>
      <c r="G45" s="55"/>
      <c r="H45" s="55"/>
      <c r="I45" s="55"/>
      <c r="J45" s="54"/>
      <c r="K45" s="54"/>
      <c r="L45" s="54"/>
      <c r="M45" s="54"/>
      <c r="N45" s="279"/>
      <c r="O45" s="279"/>
      <c r="P45" s="279"/>
      <c r="Q45" s="279"/>
    </row>
    <row r="46" spans="1:17" ht="11.25" customHeight="1">
      <c r="A46" s="54"/>
      <c r="B46" s="54"/>
      <c r="C46" s="54"/>
      <c r="D46" s="54"/>
      <c r="E46" s="54"/>
      <c r="F46" s="54"/>
      <c r="G46" s="54"/>
      <c r="H46" s="54"/>
      <c r="I46" s="54"/>
      <c r="J46" s="54"/>
      <c r="K46" s="54"/>
      <c r="L46" s="54"/>
      <c r="M46" s="54"/>
      <c r="N46" s="279"/>
      <c r="O46" s="279"/>
      <c r="P46" s="279"/>
      <c r="Q46" s="279"/>
    </row>
    <row r="47" spans="1:17" ht="16.5" customHeight="1">
      <c r="A47" s="54"/>
      <c r="B47" s="818" t="str">
        <f>"Total = "&amp;TEXT(ROUND(SUM(O23:O29),2),"0 000,00")&amp;" GWh"</f>
        <v>Total = 4 557,44 GWh</v>
      </c>
      <c r="C47" s="818"/>
      <c r="D47" s="818"/>
      <c r="E47" s="818"/>
      <c r="F47" s="54"/>
      <c r="G47" s="54"/>
      <c r="H47" s="817" t="str">
        <f>"Total = "&amp;TEXT(ROUND(SUM(P23:P29),2),"0 000,00")&amp;" GWh"</f>
        <v>Total = 4 603,82 GWh</v>
      </c>
      <c r="I47" s="817"/>
      <c r="J47" s="817"/>
      <c r="K47" s="817"/>
      <c r="L47" s="54"/>
      <c r="M47" s="54"/>
      <c r="N47" s="279"/>
      <c r="O47" s="279"/>
      <c r="P47" s="279"/>
      <c r="Q47" s="279"/>
    </row>
    <row r="48" spans="1:17" ht="11.25" customHeight="1">
      <c r="H48" s="54"/>
      <c r="I48" s="54"/>
      <c r="J48" s="54"/>
      <c r="K48" s="54"/>
      <c r="L48" s="54"/>
      <c r="M48" s="54"/>
      <c r="N48" s="279"/>
      <c r="O48" s="279"/>
      <c r="P48" s="279"/>
      <c r="Q48" s="279"/>
    </row>
    <row r="49" spans="1:17" ht="11.25" customHeight="1">
      <c r="B49" s="816" t="str">
        <f>"Gráfico 1: Comparación de producción mensual de electricidad en "&amp;Q4&amp;" por tipo de recurso energético."</f>
        <v>Gráfico 1: Comparación de producción mensual de electricidad en enero por tipo de recurso energético.</v>
      </c>
      <c r="C49" s="816"/>
      <c r="D49" s="816"/>
      <c r="E49" s="816"/>
      <c r="F49" s="816"/>
      <c r="G49" s="816"/>
      <c r="H49" s="816"/>
      <c r="I49" s="816"/>
      <c r="J49" s="816"/>
      <c r="K49" s="816"/>
      <c r="L49" s="816"/>
      <c r="M49" s="228"/>
      <c r="N49" s="282"/>
      <c r="O49" s="279"/>
      <c r="P49" s="279"/>
      <c r="Q49" s="279"/>
    </row>
    <row r="50" spans="1:17" ht="11.25" customHeight="1">
      <c r="B50" s="627"/>
      <c r="C50" s="627"/>
      <c r="D50" s="627"/>
      <c r="E50" s="627"/>
      <c r="F50" s="627"/>
      <c r="G50" s="627"/>
      <c r="H50" s="627"/>
      <c r="I50" s="627"/>
      <c r="J50" s="627"/>
      <c r="K50" s="627"/>
      <c r="L50" s="627"/>
      <c r="M50" s="228"/>
      <c r="N50" s="282"/>
      <c r="O50" s="279"/>
      <c r="P50" s="279"/>
      <c r="Q50" s="279"/>
    </row>
    <row r="51" spans="1:17" ht="21.75" customHeight="1">
      <c r="B51" s="813"/>
      <c r="C51" s="814"/>
      <c r="D51" s="814"/>
      <c r="E51" s="814"/>
      <c r="F51" s="814"/>
      <c r="G51" s="814"/>
      <c r="H51" s="814"/>
      <c r="I51" s="814"/>
      <c r="J51" s="814"/>
      <c r="K51" s="814"/>
      <c r="L51" s="814"/>
      <c r="M51" s="814"/>
      <c r="N51" s="282"/>
      <c r="O51" s="279"/>
      <c r="P51" s="279"/>
      <c r="Q51" s="279"/>
    </row>
    <row r="52" spans="1:17" ht="11.25" customHeight="1">
      <c r="A52" s="54"/>
      <c r="B52" s="54"/>
      <c r="C52" s="45"/>
      <c r="D52" s="45"/>
      <c r="E52" s="54"/>
      <c r="F52" s="54"/>
      <c r="G52" s="54"/>
      <c r="H52" s="54"/>
      <c r="I52" s="54"/>
      <c r="J52" s="54"/>
      <c r="K52" s="54"/>
      <c r="L52" s="54"/>
      <c r="M52" s="54"/>
      <c r="N52" s="279"/>
      <c r="O52" s="279"/>
      <c r="P52" s="279"/>
      <c r="Q52" s="279"/>
    </row>
    <row r="53" spans="1:17" ht="11.25" customHeight="1">
      <c r="A53" s="54"/>
      <c r="B53" s="54"/>
      <c r="C53" s="54"/>
      <c r="D53" s="54"/>
      <c r="E53" s="54"/>
      <c r="F53" s="54"/>
      <c r="G53" s="54"/>
      <c r="H53" s="54"/>
      <c r="I53" s="54"/>
      <c r="J53" s="54"/>
      <c r="K53" s="54"/>
      <c r="L53" s="54"/>
      <c r="M53" s="54"/>
      <c r="N53" s="279"/>
      <c r="O53" s="279"/>
      <c r="P53" s="279"/>
      <c r="Q53" s="279"/>
    </row>
    <row r="54" spans="1:17" ht="11.25" customHeight="1">
      <c r="A54" s="54"/>
      <c r="B54" s="54"/>
      <c r="C54" s="54"/>
      <c r="D54" s="54"/>
      <c r="E54" s="54"/>
      <c r="F54" s="54"/>
      <c r="G54" s="54"/>
      <c r="H54" s="54"/>
      <c r="I54" s="54"/>
      <c r="J54" s="54"/>
      <c r="K54" s="54"/>
      <c r="L54" s="54"/>
      <c r="M54" s="54"/>
      <c r="N54" s="279"/>
      <c r="O54" s="279"/>
      <c r="P54" s="279"/>
      <c r="Q54" s="279"/>
    </row>
    <row r="55" spans="1:17" ht="11.25" customHeight="1">
      <c r="A55" s="54"/>
      <c r="B55" s="54"/>
      <c r="C55" s="54"/>
      <c r="D55" s="54"/>
      <c r="E55" s="54"/>
      <c r="F55" s="54"/>
      <c r="G55" s="54"/>
      <c r="H55" s="54"/>
      <c r="I55" s="54"/>
      <c r="J55" s="54"/>
      <c r="K55" s="54"/>
      <c r="L55" s="54"/>
      <c r="M55" s="54"/>
      <c r="N55" s="279"/>
      <c r="O55" s="279"/>
      <c r="P55" s="279"/>
      <c r="Q55" s="279"/>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Mensual-Enero 2021
INFSGI-MES-01-2021
09/02/2021
Versión: 01</oddHeader>
    <oddFooter>&amp;LCOES, 2021&amp;C1&amp;RDirección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5D0-8A49-429D-8201-476FACEE1259}">
  <sheetPr>
    <tabColor theme="4"/>
  </sheetPr>
  <dimension ref="A1:I73"/>
  <sheetViews>
    <sheetView showGridLines="0" view="pageBreakPreview" zoomScaleNormal="100" zoomScaleSheetLayoutView="100" workbookViewId="0">
      <selection activeCell="S15" sqref="S15"/>
    </sheetView>
  </sheetViews>
  <sheetFormatPr baseColWidth="10" defaultColWidth="9.28515625" defaultRowHeight="9.6"/>
  <cols>
    <col min="1" max="1" width="16.140625" style="630" customWidth="1"/>
    <col min="2" max="2" width="19.7109375" style="630" customWidth="1"/>
    <col min="3" max="3" width="12.85546875" style="630" bestFit="1" customWidth="1"/>
    <col min="4" max="4" width="59.85546875" style="630" customWidth="1"/>
    <col min="5" max="5" width="11.7109375" style="630" customWidth="1"/>
    <col min="6" max="6" width="10.42578125" style="630" customWidth="1"/>
    <col min="7" max="8" width="9.28515625" style="630" customWidth="1"/>
    <col min="9" max="16384" width="9.28515625" style="630"/>
  </cols>
  <sheetData>
    <row r="1" spans="1:9" ht="11.25" customHeight="1">
      <c r="A1" s="628" t="s">
        <v>363</v>
      </c>
      <c r="B1" s="629"/>
      <c r="C1" s="629"/>
      <c r="D1" s="629"/>
      <c r="E1" s="629"/>
      <c r="F1" s="629"/>
    </row>
    <row r="2" spans="1:9" ht="30" customHeight="1">
      <c r="A2" s="631" t="s">
        <v>248</v>
      </c>
      <c r="B2" s="632" t="s">
        <v>364</v>
      </c>
      <c r="C2" s="631" t="s">
        <v>353</v>
      </c>
      <c r="D2" s="633" t="s">
        <v>365</v>
      </c>
      <c r="E2" s="634" t="s">
        <v>366</v>
      </c>
      <c r="F2" s="634" t="s">
        <v>367</v>
      </c>
      <c r="G2" s="635"/>
      <c r="H2" s="636"/>
      <c r="I2" s="637"/>
    </row>
    <row r="3" spans="1:9" ht="51.6" customHeight="1">
      <c r="A3" s="640" t="s">
        <v>489</v>
      </c>
      <c r="B3" s="640" t="s">
        <v>490</v>
      </c>
      <c r="C3" s="638">
        <v>44217.623611111114</v>
      </c>
      <c r="D3" s="639" t="s">
        <v>727</v>
      </c>
      <c r="E3" s="640">
        <v>11.11</v>
      </c>
      <c r="F3" s="640"/>
      <c r="G3" s="641"/>
      <c r="H3" s="641"/>
      <c r="I3" s="643"/>
    </row>
    <row r="4" spans="1:9" ht="50.4" customHeight="1">
      <c r="A4" s="640" t="s">
        <v>685</v>
      </c>
      <c r="B4" s="640" t="s">
        <v>728</v>
      </c>
      <c r="C4" s="638">
        <v>44218.707638888889</v>
      </c>
      <c r="D4" s="639" t="s">
        <v>729</v>
      </c>
      <c r="E4" s="640">
        <v>5.21</v>
      </c>
      <c r="F4" s="640"/>
      <c r="G4" s="641"/>
      <c r="H4" s="641"/>
      <c r="I4" s="644"/>
    </row>
    <row r="5" spans="1:9" ht="45.6" customHeight="1">
      <c r="A5" s="640" t="s">
        <v>730</v>
      </c>
      <c r="B5" s="640" t="s">
        <v>731</v>
      </c>
      <c r="C5" s="638">
        <v>44222.577777777777</v>
      </c>
      <c r="D5" s="639" t="s">
        <v>732</v>
      </c>
      <c r="E5" s="640">
        <v>27.71</v>
      </c>
      <c r="F5" s="640"/>
      <c r="G5" s="641"/>
      <c r="H5" s="641"/>
      <c r="I5" s="645"/>
    </row>
    <row r="6" spans="1:9" ht="42.6" customHeight="1">
      <c r="A6" s="640" t="s">
        <v>489</v>
      </c>
      <c r="B6" s="640" t="s">
        <v>494</v>
      </c>
      <c r="C6" s="638">
        <v>44222.637499999997</v>
      </c>
      <c r="D6" s="639" t="s">
        <v>733</v>
      </c>
      <c r="E6" s="640">
        <v>0.76</v>
      </c>
      <c r="F6" s="640"/>
      <c r="G6" s="641"/>
      <c r="H6" s="641"/>
      <c r="I6" s="644"/>
    </row>
    <row r="7" spans="1:9" ht="44.4" customHeight="1">
      <c r="A7" s="640" t="s">
        <v>489</v>
      </c>
      <c r="B7" s="640" t="s">
        <v>494</v>
      </c>
      <c r="C7" s="638">
        <v>44222.63958333333</v>
      </c>
      <c r="D7" s="639" t="s">
        <v>734</v>
      </c>
      <c r="E7" s="640">
        <v>0.75</v>
      </c>
      <c r="F7" s="640"/>
      <c r="G7" s="641"/>
      <c r="H7" s="641"/>
      <c r="I7" s="644"/>
    </row>
    <row r="8" spans="1:9" ht="42" customHeight="1">
      <c r="A8" s="640" t="s">
        <v>486</v>
      </c>
      <c r="B8" s="640" t="s">
        <v>735</v>
      </c>
      <c r="C8" s="638">
        <v>44222.730555555558</v>
      </c>
      <c r="D8" s="639" t="s">
        <v>736</v>
      </c>
      <c r="E8" s="640">
        <v>3.26</v>
      </c>
      <c r="F8" s="640"/>
      <c r="G8" s="641"/>
      <c r="H8" s="641"/>
      <c r="I8" s="644"/>
    </row>
    <row r="9" spans="1:9" ht="61.8" customHeight="1">
      <c r="A9" s="640" t="s">
        <v>101</v>
      </c>
      <c r="B9" s="640" t="s">
        <v>737</v>
      </c>
      <c r="C9" s="638">
        <v>44223.693749999999</v>
      </c>
      <c r="D9" s="639" t="s">
        <v>738</v>
      </c>
      <c r="E9" s="640">
        <v>0.8</v>
      </c>
      <c r="F9" s="640"/>
      <c r="G9" s="641"/>
      <c r="H9" s="641"/>
      <c r="I9" s="644"/>
    </row>
    <row r="10" spans="1:9" ht="64.2" customHeight="1">
      <c r="A10" s="640" t="s">
        <v>592</v>
      </c>
      <c r="B10" s="640" t="s">
        <v>590</v>
      </c>
      <c r="C10" s="638">
        <v>44224.420138888891</v>
      </c>
      <c r="D10" s="639" t="s">
        <v>739</v>
      </c>
      <c r="E10" s="640">
        <v>15</v>
      </c>
      <c r="F10" s="640"/>
      <c r="G10" s="641"/>
      <c r="H10" s="641"/>
      <c r="I10" s="644"/>
    </row>
    <row r="11" spans="1:9" ht="62.4" customHeight="1">
      <c r="A11" s="640" t="s">
        <v>582</v>
      </c>
      <c r="B11" s="640" t="s">
        <v>597</v>
      </c>
      <c r="C11" s="638">
        <v>44224.642361111109</v>
      </c>
      <c r="D11" s="639" t="s">
        <v>740</v>
      </c>
      <c r="E11" s="640">
        <v>10.68</v>
      </c>
      <c r="F11" s="640"/>
      <c r="G11" s="641"/>
      <c r="H11" s="641"/>
      <c r="I11" s="644"/>
    </row>
    <row r="12" spans="1:9" ht="53.4" customHeight="1">
      <c r="A12" s="640" t="s">
        <v>489</v>
      </c>
      <c r="B12" s="640" t="s">
        <v>494</v>
      </c>
      <c r="C12" s="638">
        <v>44224.665277777778</v>
      </c>
      <c r="D12" s="639" t="s">
        <v>741</v>
      </c>
      <c r="E12" s="640">
        <v>0.74</v>
      </c>
      <c r="F12" s="640"/>
      <c r="G12" s="641"/>
      <c r="H12" s="641"/>
      <c r="I12" s="644"/>
    </row>
    <row r="13" spans="1:9" ht="79.2" customHeight="1">
      <c r="A13" s="640" t="s">
        <v>488</v>
      </c>
      <c r="B13" s="640" t="s">
        <v>495</v>
      </c>
      <c r="C13" s="638">
        <v>44225.09097222222</v>
      </c>
      <c r="D13" s="639" t="s">
        <v>742</v>
      </c>
      <c r="E13" s="640">
        <v>16.2</v>
      </c>
      <c r="F13" s="640"/>
    </row>
    <row r="14" spans="1:9" ht="87" customHeight="1">
      <c r="A14" s="640" t="s">
        <v>592</v>
      </c>
      <c r="B14" s="640" t="s">
        <v>503</v>
      </c>
      <c r="C14" s="638">
        <v>44226.172222222223</v>
      </c>
      <c r="D14" s="639" t="s">
        <v>743</v>
      </c>
      <c r="E14" s="640">
        <v>28</v>
      </c>
      <c r="F14" s="640"/>
    </row>
    <row r="15" spans="1:9" ht="71.400000000000006" customHeight="1">
      <c r="A15" s="640" t="s">
        <v>582</v>
      </c>
      <c r="B15" s="640" t="s">
        <v>665</v>
      </c>
      <c r="C15" s="638">
        <v>44227.524305555555</v>
      </c>
      <c r="D15" s="639" t="s">
        <v>744</v>
      </c>
      <c r="E15" s="640">
        <v>26.3</v>
      </c>
      <c r="F15" s="640"/>
    </row>
    <row r="16" spans="1:9">
      <c r="E16" s="648"/>
      <c r="F16" s="648"/>
    </row>
    <row r="17" spans="5:6">
      <c r="E17" s="648"/>
      <c r="F17" s="648"/>
    </row>
    <row r="18" spans="5:6">
      <c r="E18" s="648"/>
      <c r="F18" s="648"/>
    </row>
    <row r="19" spans="5:6">
      <c r="E19" s="648"/>
      <c r="F19" s="648"/>
    </row>
    <row r="20" spans="5:6">
      <c r="E20" s="648"/>
      <c r="F20" s="648"/>
    </row>
    <row r="21" spans="5:6">
      <c r="E21" s="648"/>
      <c r="F21" s="648"/>
    </row>
    <row r="22" spans="5:6">
      <c r="E22" s="648"/>
      <c r="F22" s="648"/>
    </row>
    <row r="23" spans="5:6">
      <c r="E23" s="648"/>
      <c r="F23" s="648"/>
    </row>
    <row r="24" spans="5:6">
      <c r="E24" s="648"/>
      <c r="F24" s="648"/>
    </row>
    <row r="25" spans="5:6">
      <c r="E25" s="648"/>
      <c r="F25" s="648"/>
    </row>
    <row r="26" spans="5:6">
      <c r="E26" s="648"/>
      <c r="F26" s="648"/>
    </row>
    <row r="27" spans="5:6">
      <c r="E27" s="648"/>
      <c r="F27" s="648"/>
    </row>
    <row r="28" spans="5:6">
      <c r="E28" s="648"/>
      <c r="F28" s="648"/>
    </row>
    <row r="29" spans="5:6">
      <c r="E29" s="648"/>
      <c r="F29" s="648"/>
    </row>
    <row r="30" spans="5:6">
      <c r="E30" s="648"/>
      <c r="F30" s="648"/>
    </row>
    <row r="31" spans="5:6">
      <c r="E31" s="648"/>
      <c r="F31" s="648"/>
    </row>
    <row r="32" spans="5:6">
      <c r="E32" s="648"/>
      <c r="F32" s="648"/>
    </row>
    <row r="33" spans="5:6">
      <c r="E33" s="648"/>
      <c r="F33" s="648"/>
    </row>
    <row r="34" spans="5:6">
      <c r="E34" s="648"/>
      <c r="F34" s="648"/>
    </row>
    <row r="35" spans="5:6">
      <c r="E35" s="648"/>
      <c r="F35" s="648"/>
    </row>
    <row r="36" spans="5:6">
      <c r="E36" s="648"/>
      <c r="F36" s="648"/>
    </row>
    <row r="37" spans="5:6">
      <c r="E37" s="648"/>
      <c r="F37" s="648"/>
    </row>
    <row r="38" spans="5:6">
      <c r="E38" s="648"/>
      <c r="F38" s="648"/>
    </row>
    <row r="39" spans="5:6">
      <c r="E39" s="648"/>
      <c r="F39" s="648"/>
    </row>
    <row r="40" spans="5:6">
      <c r="E40" s="648"/>
      <c r="F40" s="648"/>
    </row>
    <row r="41" spans="5:6">
      <c r="E41" s="648"/>
      <c r="F41" s="648"/>
    </row>
    <row r="42" spans="5:6">
      <c r="E42" s="648"/>
      <c r="F42" s="648"/>
    </row>
    <row r="43" spans="5:6">
      <c r="E43" s="648"/>
      <c r="F43" s="648"/>
    </row>
    <row r="44" spans="5:6">
      <c r="E44" s="648"/>
      <c r="F44" s="648"/>
    </row>
    <row r="45" spans="5:6">
      <c r="E45" s="648"/>
      <c r="F45" s="648"/>
    </row>
    <row r="46" spans="5:6">
      <c r="E46" s="648"/>
      <c r="F46" s="648"/>
    </row>
    <row r="47" spans="5:6">
      <c r="E47" s="648"/>
      <c r="F47" s="648"/>
    </row>
    <row r="48" spans="5:6">
      <c r="E48" s="648"/>
      <c r="F48" s="648"/>
    </row>
    <row r="49" spans="5:6">
      <c r="E49" s="648"/>
      <c r="F49" s="648"/>
    </row>
    <row r="50" spans="5:6">
      <c r="E50" s="648"/>
      <c r="F50" s="648"/>
    </row>
    <row r="51" spans="5:6">
      <c r="E51" s="648"/>
      <c r="F51" s="648"/>
    </row>
    <row r="52" spans="5:6">
      <c r="E52" s="648"/>
      <c r="F52" s="648"/>
    </row>
    <row r="53" spans="5:6">
      <c r="E53" s="648"/>
      <c r="F53" s="648"/>
    </row>
    <row r="54" spans="5:6">
      <c r="E54" s="648"/>
      <c r="F54" s="648"/>
    </row>
    <row r="55" spans="5:6">
      <c r="E55" s="648"/>
      <c r="F55" s="648"/>
    </row>
    <row r="56" spans="5:6">
      <c r="E56" s="648"/>
      <c r="F56" s="648"/>
    </row>
    <row r="57" spans="5:6">
      <c r="E57" s="648"/>
      <c r="F57" s="648"/>
    </row>
    <row r="58" spans="5:6">
      <c r="E58" s="648"/>
      <c r="F58" s="648"/>
    </row>
    <row r="59" spans="5:6">
      <c r="E59" s="648"/>
      <c r="F59" s="648"/>
    </row>
    <row r="60" spans="5:6">
      <c r="E60" s="648"/>
      <c r="F60" s="648"/>
    </row>
    <row r="61" spans="5:6">
      <c r="E61" s="648"/>
      <c r="F61" s="648"/>
    </row>
    <row r="62" spans="5:6">
      <c r="E62" s="648"/>
      <c r="F62" s="648"/>
    </row>
    <row r="63" spans="5:6">
      <c r="E63" s="648"/>
      <c r="F63" s="648"/>
    </row>
    <row r="64" spans="5:6">
      <c r="E64" s="648"/>
      <c r="F64" s="648"/>
    </row>
    <row r="65" spans="5:6">
      <c r="E65" s="648"/>
      <c r="F65" s="648"/>
    </row>
    <row r="66" spans="5:6">
      <c r="E66" s="648"/>
      <c r="F66" s="648"/>
    </row>
    <row r="67" spans="5:6">
      <c r="E67" s="648"/>
      <c r="F67" s="648"/>
    </row>
    <row r="68" spans="5:6">
      <c r="E68" s="648"/>
      <c r="F68" s="648"/>
    </row>
    <row r="69" spans="5:6">
      <c r="E69" s="648"/>
      <c r="F69" s="648"/>
    </row>
    <row r="70" spans="5:6">
      <c r="E70" s="648"/>
      <c r="F70" s="648"/>
    </row>
    <row r="71" spans="5:6">
      <c r="E71" s="648"/>
      <c r="F71" s="648"/>
    </row>
    <row r="72" spans="5:6">
      <c r="E72" s="648"/>
      <c r="F72" s="648"/>
    </row>
    <row r="73" spans="5:6">
      <c r="E73" s="648"/>
      <c r="F73" s="64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Mensual-Enero 2021
INFSGI-MES-01-2021
09/02/2021
Versión: 01</oddHeader>
    <oddFooter>&amp;L&amp;7COES, 2021&amp;C28&amp;R&amp;7Dirección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S15" sqref="S15"/>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1"/>
  <sheetViews>
    <sheetView showGridLines="0" view="pageBreakPreview" topLeftCell="A12" zoomScale="115" zoomScaleNormal="100" zoomScaleSheetLayoutView="115" workbookViewId="0">
      <selection activeCell="D25" sqref="D25"/>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46"/>
    <col min="12" max="12" width="18.7109375" style="46" bestFit="1" customWidth="1"/>
    <col min="13" max="16384" width="9.28515625" style="46"/>
  </cols>
  <sheetData>
    <row r="2" spans="1:11" ht="16.5" customHeight="1">
      <c r="A2" s="827" t="s">
        <v>605</v>
      </c>
      <c r="B2" s="827"/>
      <c r="C2" s="827"/>
      <c r="D2" s="827"/>
      <c r="E2" s="827"/>
      <c r="F2" s="827"/>
      <c r="G2" s="827"/>
      <c r="H2" s="827"/>
      <c r="I2" s="827"/>
      <c r="J2" s="827"/>
      <c r="K2" s="435"/>
    </row>
    <row r="3" spans="1:11" ht="12" customHeight="1">
      <c r="A3" s="137"/>
      <c r="B3" s="209"/>
      <c r="C3" s="219"/>
      <c r="D3" s="220"/>
      <c r="E3" s="220"/>
      <c r="F3" s="221"/>
      <c r="G3" s="222"/>
      <c r="H3" s="222"/>
      <c r="I3" s="172"/>
      <c r="J3" s="221"/>
    </row>
    <row r="4" spans="1:11" ht="11.25" customHeight="1">
      <c r="A4" s="187" t="s">
        <v>441</v>
      </c>
      <c r="B4" s="209"/>
      <c r="C4" s="219"/>
      <c r="D4" s="220"/>
      <c r="E4" s="220"/>
      <c r="F4" s="221"/>
      <c r="G4" s="222"/>
      <c r="H4" s="222"/>
      <c r="I4" s="172"/>
      <c r="J4" s="221"/>
      <c r="K4" s="311"/>
    </row>
    <row r="5" spans="1:11" ht="11.25" customHeight="1">
      <c r="A5" s="187"/>
      <c r="B5" s="209"/>
      <c r="C5" s="219"/>
      <c r="D5" s="220"/>
      <c r="E5" s="220"/>
      <c r="F5" s="221"/>
      <c r="G5" s="222"/>
      <c r="H5" s="222"/>
      <c r="I5" s="172"/>
      <c r="J5" s="221"/>
      <c r="K5" s="311"/>
    </row>
    <row r="6" spans="1:11" ht="15" customHeight="1">
      <c r="A6" s="137" t="s">
        <v>780</v>
      </c>
      <c r="B6" s="209"/>
      <c r="C6" s="219"/>
      <c r="D6" s="220"/>
      <c r="E6" s="220"/>
      <c r="F6" s="221"/>
      <c r="G6" s="222"/>
      <c r="H6" s="222"/>
      <c r="I6" s="172"/>
      <c r="J6" s="221"/>
      <c r="K6" s="311"/>
    </row>
    <row r="7" spans="1:11" ht="15" customHeight="1">
      <c r="A7" s="137"/>
      <c r="B7" s="209"/>
      <c r="C7" s="219"/>
      <c r="D7" s="220"/>
      <c r="E7" s="220"/>
      <c r="F7" s="221"/>
      <c r="G7" s="222"/>
      <c r="H7" s="222"/>
      <c r="I7" s="172"/>
      <c r="J7" s="221"/>
      <c r="K7" s="311"/>
    </row>
    <row r="8" spans="1:11" ht="15" customHeight="1">
      <c r="A8" s="137"/>
      <c r="B8" s="209"/>
      <c r="C8" s="219"/>
      <c r="D8" s="220"/>
      <c r="E8" s="220"/>
      <c r="F8" s="221"/>
      <c r="G8" s="222"/>
      <c r="H8" s="222"/>
      <c r="I8" s="172"/>
      <c r="J8" s="221"/>
      <c r="K8" s="311"/>
    </row>
    <row r="9" spans="1:11" ht="15" customHeight="1">
      <c r="A9" s="187" t="s">
        <v>781</v>
      </c>
      <c r="B9" s="209"/>
      <c r="C9" s="219"/>
      <c r="D9" s="220"/>
      <c r="E9" s="220"/>
      <c r="F9" s="221"/>
      <c r="G9" s="222"/>
      <c r="H9" s="222"/>
      <c r="I9" s="172"/>
      <c r="J9" s="221"/>
      <c r="K9" s="311"/>
    </row>
    <row r="10" spans="1:11" ht="15" customHeight="1">
      <c r="A10" s="137"/>
      <c r="B10" s="209"/>
      <c r="C10" s="219"/>
      <c r="D10" s="220"/>
      <c r="E10" s="220"/>
      <c r="F10" s="221"/>
      <c r="G10" s="222"/>
      <c r="H10" s="222"/>
      <c r="I10" s="172"/>
      <c r="J10" s="221"/>
      <c r="K10" s="311"/>
    </row>
    <row r="11" spans="1:11" ht="20.25" customHeight="1">
      <c r="A11" s="668" t="s">
        <v>467</v>
      </c>
      <c r="B11" s="669" t="s">
        <v>212</v>
      </c>
      <c r="C11" s="669" t="s">
        <v>468</v>
      </c>
      <c r="D11" s="669" t="s">
        <v>469</v>
      </c>
      <c r="E11" s="669" t="s">
        <v>470</v>
      </c>
      <c r="F11" s="670" t="s">
        <v>471</v>
      </c>
      <c r="G11" s="671" t="s">
        <v>472</v>
      </c>
      <c r="H11" s="670" t="s">
        <v>473</v>
      </c>
      <c r="I11" s="671" t="s">
        <v>474</v>
      </c>
      <c r="J11" s="672" t="s">
        <v>776</v>
      </c>
      <c r="K11" s="436"/>
    </row>
    <row r="12" spans="1:11" s="223" customFormat="1" ht="39" customHeight="1">
      <c r="A12" s="808" t="s">
        <v>568</v>
      </c>
      <c r="B12" s="680" t="s">
        <v>38</v>
      </c>
      <c r="C12" s="680" t="s">
        <v>599</v>
      </c>
      <c r="D12" s="680" t="s">
        <v>779</v>
      </c>
      <c r="E12" s="680" t="s">
        <v>600</v>
      </c>
      <c r="F12" s="681" t="s">
        <v>602</v>
      </c>
      <c r="G12" s="682">
        <v>34.799999999999997</v>
      </c>
      <c r="H12" s="683">
        <v>18.37</v>
      </c>
      <c r="I12" s="683">
        <v>18.37</v>
      </c>
      <c r="J12" s="684" t="s">
        <v>777</v>
      </c>
      <c r="K12" s="437"/>
    </row>
    <row r="13" spans="1:11" s="223" customFormat="1" ht="39" customHeight="1">
      <c r="A13" s="808" t="s">
        <v>567</v>
      </c>
      <c r="B13" s="680" t="s">
        <v>38</v>
      </c>
      <c r="C13" s="680" t="s">
        <v>599</v>
      </c>
      <c r="D13" s="680" t="s">
        <v>598</v>
      </c>
      <c r="E13" s="680" t="s">
        <v>601</v>
      </c>
      <c r="F13" s="681" t="s">
        <v>602</v>
      </c>
      <c r="G13" s="682">
        <v>34.799999999999997</v>
      </c>
      <c r="H13" s="683">
        <v>18.37</v>
      </c>
      <c r="I13" s="683">
        <v>18.37</v>
      </c>
      <c r="J13" s="684" t="s">
        <v>777</v>
      </c>
      <c r="K13" s="437"/>
    </row>
    <row r="14" spans="1:11" s="223" customFormat="1" ht="28.5" customHeight="1">
      <c r="A14" s="673" t="s">
        <v>42</v>
      </c>
      <c r="B14" s="674"/>
      <c r="C14" s="674"/>
      <c r="D14" s="674"/>
      <c r="E14" s="675"/>
      <c r="F14" s="676"/>
      <c r="G14" s="677"/>
      <c r="H14" s="678">
        <f>+H12+H13</f>
        <v>36.74</v>
      </c>
      <c r="I14" s="678">
        <f>+I12+I13</f>
        <v>36.74</v>
      </c>
      <c r="J14" s="679"/>
      <c r="K14" s="437"/>
    </row>
    <row r="15" spans="1:11" s="223" customFormat="1" ht="13.2" customHeight="1">
      <c r="A15" s="685" t="s">
        <v>617</v>
      </c>
      <c r="B15" s="46"/>
      <c r="C15" s="46"/>
      <c r="D15" s="46"/>
      <c r="E15" s="46"/>
      <c r="F15" s="46"/>
      <c r="G15" s="46"/>
      <c r="H15" s="46"/>
      <c r="I15" s="46"/>
      <c r="J15" s="46"/>
      <c r="K15" s="437"/>
    </row>
    <row r="16" spans="1:11" s="223" customFormat="1" ht="13.2" customHeight="1">
      <c r="A16" s="802" t="s">
        <v>782</v>
      </c>
      <c r="B16" s="797"/>
      <c r="C16" s="797"/>
      <c r="D16" s="797"/>
      <c r="E16" s="797"/>
      <c r="F16" s="798"/>
      <c r="G16" s="799"/>
      <c r="H16" s="800"/>
      <c r="I16" s="800"/>
      <c r="J16" s="801"/>
      <c r="K16" s="437"/>
    </row>
    <row r="17" spans="1:17" s="223" customFormat="1" ht="24.75" customHeight="1">
      <c r="A17" s="619"/>
      <c r="B17" s="620"/>
      <c r="C17" s="620"/>
      <c r="D17" s="620"/>
      <c r="E17" s="620"/>
      <c r="F17" s="621"/>
      <c r="G17" s="622"/>
      <c r="H17" s="623"/>
      <c r="I17" s="623"/>
      <c r="J17" s="624"/>
      <c r="K17" s="437"/>
    </row>
    <row r="18" spans="1:17" s="223" customFormat="1" ht="13.8" customHeight="1">
      <c r="A18" s="619"/>
      <c r="B18" s="620"/>
      <c r="C18" s="620"/>
      <c r="D18" s="620"/>
      <c r="E18" s="620"/>
      <c r="F18" s="621"/>
      <c r="G18" s="622"/>
      <c r="H18" s="623"/>
      <c r="I18" s="623"/>
      <c r="J18" s="624"/>
      <c r="K18" s="437"/>
      <c r="P18" s="686"/>
      <c r="Q18" s="686"/>
    </row>
    <row r="19" spans="1:17" ht="11.25" customHeight="1">
      <c r="A19" s="187" t="s">
        <v>778</v>
      </c>
      <c r="B19" s="132"/>
      <c r="C19" s="224"/>
      <c r="D19" s="132"/>
      <c r="E19" s="132"/>
      <c r="F19" s="132"/>
      <c r="G19" s="132"/>
      <c r="H19" s="132"/>
      <c r="I19" s="132"/>
      <c r="J19" s="132"/>
      <c r="K19" s="438"/>
    </row>
    <row r="20" spans="1:17" ht="11.25" customHeight="1">
      <c r="B20" s="132"/>
      <c r="C20" s="224"/>
      <c r="D20" s="132"/>
      <c r="E20" s="132"/>
      <c r="F20" s="132"/>
      <c r="G20" s="132"/>
      <c r="H20" s="132"/>
      <c r="I20" s="132"/>
      <c r="J20" s="132"/>
      <c r="K20" s="438"/>
    </row>
    <row r="21" spans="1:17" ht="21" customHeight="1">
      <c r="B21" s="825" t="s">
        <v>216</v>
      </c>
      <c r="C21" s="826"/>
      <c r="D21" s="382" t="str">
        <f>UPPER('1. Resumen'!Q4)&amp;" "&amp;'1. Resumen'!Q5</f>
        <v>ENERO 2021</v>
      </c>
      <c r="E21" s="382" t="str">
        <f>UPPER('1. Resumen'!Q4)&amp;" "&amp;'1. Resumen'!Q5-1</f>
        <v>ENERO 2020</v>
      </c>
      <c r="F21" s="383" t="s">
        <v>217</v>
      </c>
      <c r="G21" s="225"/>
      <c r="H21" s="225"/>
      <c r="I21" s="132"/>
      <c r="J21" s="132"/>
    </row>
    <row r="22" spans="1:17" ht="9.75" customHeight="1">
      <c r="B22" s="828" t="s">
        <v>213</v>
      </c>
      <c r="C22" s="829"/>
      <c r="D22" s="371">
        <v>5180.2582474999972</v>
      </c>
      <c r="E22" s="372">
        <v>5163.1192474999998</v>
      </c>
      <c r="F22" s="803">
        <f>+D22/E22-1</f>
        <v>3.3195049694612067E-3</v>
      </c>
      <c r="G22" s="225"/>
      <c r="H22" s="225"/>
      <c r="I22" s="132"/>
      <c r="J22" s="132"/>
      <c r="K22" s="438"/>
    </row>
    <row r="23" spans="1:17" ht="9.75" customHeight="1">
      <c r="B23" s="830" t="s">
        <v>214</v>
      </c>
      <c r="C23" s="831"/>
      <c r="D23" s="373">
        <v>7509.2744999999986</v>
      </c>
      <c r="E23" s="374">
        <v>7395.9645</v>
      </c>
      <c r="F23" s="804">
        <f>+D23/E23-1</f>
        <v>1.5320517019788094E-2</v>
      </c>
      <c r="G23" s="226"/>
      <c r="H23" s="226"/>
      <c r="M23" s="439"/>
      <c r="N23" s="439"/>
      <c r="O23" s="440"/>
    </row>
    <row r="24" spans="1:17" ht="9.75" customHeight="1">
      <c r="B24" s="832" t="s">
        <v>215</v>
      </c>
      <c r="C24" s="833"/>
      <c r="D24" s="375">
        <f>412.2-H12-H13</f>
        <v>375.46</v>
      </c>
      <c r="E24" s="376">
        <v>375.46</v>
      </c>
      <c r="F24" s="805">
        <f>+D24/E24-1</f>
        <v>0</v>
      </c>
      <c r="G24" s="226"/>
      <c r="H24" s="226"/>
    </row>
    <row r="25" spans="1:17" ht="9.75" customHeight="1">
      <c r="B25" s="834" t="s">
        <v>80</v>
      </c>
      <c r="C25" s="835"/>
      <c r="D25" s="377">
        <v>285.02</v>
      </c>
      <c r="E25" s="378">
        <v>285.02</v>
      </c>
      <c r="F25" s="806">
        <f>+D25/E25-1</f>
        <v>0</v>
      </c>
      <c r="G25" s="226"/>
      <c r="H25" s="226"/>
    </row>
    <row r="26" spans="1:17" ht="10.5" customHeight="1">
      <c r="B26" s="823" t="s">
        <v>197</v>
      </c>
      <c r="C26" s="824"/>
      <c r="D26" s="379">
        <f>+D22+D23+D24+D25</f>
        <v>13350.012747499995</v>
      </c>
      <c r="E26" s="380">
        <f>+E22+E23+E24+E25</f>
        <v>13219.5637475</v>
      </c>
      <c r="F26" s="807">
        <f>+D26/E26-1</f>
        <v>9.8678748021971963E-3</v>
      </c>
      <c r="G26" s="338"/>
      <c r="H26" s="226"/>
    </row>
    <row r="27" spans="1:17" ht="11.25" customHeight="1">
      <c r="B27" s="268" t="str">
        <f>"Cuadro N° 2: Comparación de la potencia instalada en el SEIN al término de "&amp;'1. Resumen'!Q4&amp;" "&amp;'1. Resumen'!Q5-1&amp;" y "&amp;'1. Resumen'!Q4&amp;" "&amp;'1. Resumen'!Q5</f>
        <v>Cuadro N° 2: Comparación de la potencia instalada en el SEIN al término de enero 2020 y enero 2021</v>
      </c>
      <c r="C27" s="225"/>
      <c r="D27" s="225"/>
      <c r="E27" s="225"/>
      <c r="F27" s="225"/>
      <c r="G27" s="225"/>
      <c r="H27" s="225"/>
      <c r="I27" s="132"/>
      <c r="J27" s="132"/>
      <c r="K27" s="438"/>
    </row>
    <row r="28" spans="1:17" ht="9" customHeight="1">
      <c r="B28" s="268"/>
      <c r="C28" s="225"/>
      <c r="D28" s="225"/>
      <c r="E28" s="225"/>
      <c r="F28" s="225"/>
      <c r="G28" s="225"/>
      <c r="H28" s="225"/>
      <c r="I28" s="132"/>
      <c r="J28" s="132"/>
      <c r="K28" s="438"/>
    </row>
    <row r="29" spans="1:17" ht="25.5" customHeight="1">
      <c r="B29" s="268"/>
      <c r="C29" s="225"/>
      <c r="D29" s="225"/>
      <c r="E29" s="225"/>
      <c r="F29" s="225"/>
      <c r="G29" s="225"/>
      <c r="H29" s="225"/>
      <c r="I29" s="132"/>
      <c r="J29" s="132"/>
      <c r="K29" s="438"/>
    </row>
    <row r="30" spans="1:17" ht="11.25" customHeight="1">
      <c r="B30" s="268"/>
      <c r="C30" s="225"/>
      <c r="D30" s="225"/>
      <c r="E30" s="225"/>
      <c r="F30" s="225"/>
      <c r="G30" s="225"/>
      <c r="H30" s="225"/>
      <c r="I30" s="132"/>
      <c r="J30" s="132"/>
      <c r="K30" s="438"/>
    </row>
    <row r="31" spans="1:17" ht="11.25" customHeight="1">
      <c r="A31" s="132"/>
      <c r="C31" s="226"/>
      <c r="D31" s="225"/>
      <c r="E31" s="225"/>
      <c r="F31" s="225"/>
      <c r="G31" s="225"/>
      <c r="H31" s="225"/>
      <c r="I31" s="132"/>
      <c r="J31" s="132"/>
      <c r="K31" s="438"/>
    </row>
    <row r="32" spans="1:17" ht="11.25" customHeight="1">
      <c r="A32" s="132"/>
      <c r="B32" s="132"/>
      <c r="C32" s="132"/>
      <c r="D32" s="132"/>
      <c r="E32" s="132"/>
      <c r="F32" s="132"/>
      <c r="G32" s="132"/>
      <c r="H32" s="132"/>
      <c r="I32" s="132"/>
      <c r="J32" s="132"/>
      <c r="K32" s="438"/>
    </row>
    <row r="33" spans="1:11" ht="3" customHeight="1">
      <c r="A33" s="132"/>
      <c r="B33" s="132"/>
      <c r="C33" s="132"/>
      <c r="D33" s="132"/>
      <c r="E33" s="132"/>
      <c r="F33" s="132"/>
      <c r="G33" s="132"/>
      <c r="H33" s="132"/>
      <c r="I33" s="132"/>
      <c r="J33" s="132"/>
      <c r="K33" s="438"/>
    </row>
    <row r="34" spans="1:11" hidden="1">
      <c r="A34" s="137"/>
      <c r="B34" s="132"/>
      <c r="C34" s="132"/>
      <c r="D34" s="132"/>
      <c r="E34" s="132"/>
      <c r="F34" s="132"/>
      <c r="G34" s="132"/>
      <c r="H34" s="132"/>
      <c r="I34" s="132"/>
      <c r="J34" s="132"/>
    </row>
    <row r="35" spans="1:11">
      <c r="A35" s="132"/>
      <c r="B35" s="132"/>
      <c r="C35" s="132"/>
      <c r="D35" s="132"/>
      <c r="E35" s="132"/>
      <c r="F35" s="132"/>
      <c r="G35" s="132"/>
      <c r="H35" s="132"/>
      <c r="I35" s="132"/>
      <c r="J35" s="132"/>
    </row>
    <row r="36" spans="1:11" ht="3.6" customHeight="1">
      <c r="A36" s="132"/>
      <c r="B36" s="132"/>
      <c r="C36" s="132"/>
      <c r="D36" s="132"/>
      <c r="E36" s="132"/>
      <c r="F36" s="132"/>
      <c r="G36" s="132"/>
      <c r="H36" s="132"/>
      <c r="I36" s="132"/>
      <c r="J36" s="132"/>
    </row>
    <row r="37" spans="1:11" hidden="1">
      <c r="A37" s="132"/>
      <c r="B37" s="132"/>
      <c r="C37" s="132"/>
      <c r="D37" s="132"/>
      <c r="E37" s="132"/>
      <c r="F37" s="132"/>
      <c r="G37" s="132"/>
      <c r="H37" s="132"/>
      <c r="I37" s="132"/>
      <c r="J37" s="132"/>
    </row>
    <row r="38" spans="1:11">
      <c r="A38" s="132"/>
      <c r="B38" s="132"/>
      <c r="C38" s="132"/>
      <c r="D38" s="132"/>
      <c r="E38" s="132"/>
      <c r="F38" s="132"/>
      <c r="G38" s="132"/>
      <c r="H38" s="132"/>
      <c r="I38" s="132"/>
      <c r="J38" s="132"/>
    </row>
    <row r="39" spans="1:11" ht="13.5" customHeight="1">
      <c r="A39" s="132"/>
      <c r="B39" s="132"/>
      <c r="C39" s="132"/>
      <c r="D39" s="132"/>
      <c r="E39" s="132"/>
      <c r="F39" s="132"/>
      <c r="G39" s="132"/>
      <c r="H39" s="132"/>
      <c r="I39" s="132"/>
      <c r="J39" s="132"/>
    </row>
    <row r="40" spans="1:11" ht="19.5" customHeight="1">
      <c r="A40" s="132"/>
      <c r="B40" s="132"/>
      <c r="C40" s="132"/>
      <c r="D40" s="132"/>
      <c r="E40" s="132"/>
      <c r="F40" s="132"/>
      <c r="G40" s="132"/>
      <c r="H40" s="132"/>
      <c r="I40" s="132"/>
      <c r="J40" s="132"/>
    </row>
    <row r="41" spans="1:11" ht="24" customHeight="1">
      <c r="A41" s="337" t="str">
        <f>"Gráfico N° 3: Comparación de la potencia instalada en el SEIN al término de "&amp;'1. Resumen'!Q4&amp;" "&amp;'1. Resumen'!Q5-1&amp;" y "&amp;'1. Resumen'!Q4&amp;" "&amp;'1. Resumen'!Q5</f>
        <v>Gráfico N° 3: Comparación de la potencia instalada en el SEIN al término de enero 2020 y enero 2021</v>
      </c>
      <c r="C41" s="132"/>
      <c r="D41" s="132"/>
      <c r="E41" s="132"/>
      <c r="F41" s="132"/>
      <c r="G41" s="132"/>
      <c r="H41" s="132"/>
      <c r="I41" s="132"/>
      <c r="J41" s="132"/>
    </row>
  </sheetData>
  <mergeCells count="7">
    <mergeCell ref="B26:C26"/>
    <mergeCell ref="B21:C21"/>
    <mergeCell ref="A2:J2"/>
    <mergeCell ref="B22:C22"/>
    <mergeCell ref="B23:C23"/>
    <mergeCell ref="B24:C24"/>
    <mergeCell ref="B25:C25"/>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M11" sqref="M11"/>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40" t="s">
        <v>219</v>
      </c>
      <c r="B2" s="840"/>
      <c r="C2" s="840"/>
      <c r="D2" s="840"/>
      <c r="E2" s="840"/>
      <c r="F2" s="840"/>
      <c r="G2" s="840"/>
      <c r="H2" s="840"/>
      <c r="I2" s="840"/>
      <c r="J2" s="840"/>
      <c r="K2" s="840"/>
    </row>
    <row r="3" spans="1:11" ht="11.25" customHeight="1">
      <c r="A3" s="83"/>
      <c r="B3" s="84"/>
      <c r="C3" s="85"/>
      <c r="D3" s="86"/>
      <c r="E3" s="86"/>
      <c r="F3" s="86"/>
      <c r="G3" s="86"/>
      <c r="H3" s="83"/>
      <c r="I3" s="83"/>
      <c r="J3" s="83"/>
      <c r="K3" s="87"/>
    </row>
    <row r="4" spans="1:11" ht="11.25" customHeight="1">
      <c r="A4" s="841" t="str">
        <f>+"3.1. PRODUCCIÓN POR TIPO DE GENERACIÓN (GWh)"</f>
        <v>3.1. PRODUCCIÓN POR TIPO DE GENERACIÓN (GWh)</v>
      </c>
      <c r="B4" s="841"/>
      <c r="C4" s="841"/>
      <c r="D4" s="841"/>
      <c r="E4" s="841"/>
      <c r="F4" s="841"/>
      <c r="G4" s="841"/>
      <c r="H4" s="841"/>
      <c r="I4" s="841"/>
      <c r="J4" s="841"/>
      <c r="K4" s="841"/>
    </row>
    <row r="5" spans="1:11" ht="11.25" customHeight="1">
      <c r="A5" s="54"/>
      <c r="B5" s="88"/>
      <c r="C5" s="89"/>
      <c r="D5" s="90"/>
      <c r="E5" s="90"/>
      <c r="F5" s="90"/>
      <c r="G5" s="90"/>
      <c r="H5" s="91"/>
      <c r="I5" s="83"/>
      <c r="J5" s="83"/>
      <c r="K5" s="92"/>
    </row>
    <row r="6" spans="1:11" ht="18" customHeight="1">
      <c r="A6" s="838" t="s">
        <v>32</v>
      </c>
      <c r="B6" s="842" t="s">
        <v>33</v>
      </c>
      <c r="C6" s="843"/>
      <c r="D6" s="843"/>
      <c r="E6" s="843" t="s">
        <v>34</v>
      </c>
      <c r="F6" s="843"/>
      <c r="G6" s="844" t="str">
        <f>"Generación Acumulada a "&amp;'1. Resumen'!Q4</f>
        <v>Generación Acumulada a enero</v>
      </c>
      <c r="H6" s="844"/>
      <c r="I6" s="844"/>
      <c r="J6" s="844"/>
      <c r="K6" s="845"/>
    </row>
    <row r="7" spans="1:11" ht="32.25" customHeight="1">
      <c r="A7" s="839"/>
      <c r="B7" s="384">
        <f>+C7-30</f>
        <v>44139</v>
      </c>
      <c r="C7" s="384">
        <f>+D7-28</f>
        <v>44169</v>
      </c>
      <c r="D7" s="384">
        <f>+'1. Resumen'!Q6</f>
        <v>44197</v>
      </c>
      <c r="E7" s="384">
        <f>+D7-365</f>
        <v>43832</v>
      </c>
      <c r="F7" s="385" t="s">
        <v>35</v>
      </c>
      <c r="G7" s="386">
        <v>2021</v>
      </c>
      <c r="H7" s="386">
        <v>2020</v>
      </c>
      <c r="I7" s="385" t="s">
        <v>611</v>
      </c>
      <c r="J7" s="386">
        <v>2019</v>
      </c>
      <c r="K7" s="387" t="s">
        <v>459</v>
      </c>
    </row>
    <row r="8" spans="1:11" ht="15" customHeight="1">
      <c r="A8" s="116" t="s">
        <v>36</v>
      </c>
      <c r="B8" s="321">
        <v>1770.3720830400005</v>
      </c>
      <c r="C8" s="317">
        <v>2747.8717605600013</v>
      </c>
      <c r="D8" s="322">
        <v>3326.6138492225004</v>
      </c>
      <c r="E8" s="321">
        <v>3224.7240291725007</v>
      </c>
      <c r="F8" s="234">
        <f>IF(E8=0,"",D8/E8-1)</f>
        <v>3.1596446433323377E-2</v>
      </c>
      <c r="G8" s="329">
        <v>3326.6138492225004</v>
      </c>
      <c r="H8" s="317">
        <v>3224.7240291725007</v>
      </c>
      <c r="I8" s="238">
        <f>IF(H8=0,"",G8/H8-1)</f>
        <v>3.1596446433323377E-2</v>
      </c>
      <c r="J8" s="321">
        <v>2780.5065075125008</v>
      </c>
      <c r="K8" s="234">
        <f t="shared" ref="K8:K15" si="0">IF(J8=0,"",H8/J8-1)</f>
        <v>0.15976136738388935</v>
      </c>
    </row>
    <row r="9" spans="1:11" ht="15" customHeight="1">
      <c r="A9" s="117" t="s">
        <v>37</v>
      </c>
      <c r="B9" s="323">
        <v>2376.8166718774996</v>
      </c>
      <c r="C9" s="244">
        <v>1614.5087683975</v>
      </c>
      <c r="D9" s="324">
        <v>998.81216059250016</v>
      </c>
      <c r="E9" s="323">
        <v>1208.5929303574999</v>
      </c>
      <c r="F9" s="235">
        <f t="shared" ref="F9:F15" si="1">IF(E9=0,"",D9/E9-1)</f>
        <v>-0.17357438099770028</v>
      </c>
      <c r="G9" s="330">
        <v>998.81216059250016</v>
      </c>
      <c r="H9" s="244">
        <v>1208.5929303574999</v>
      </c>
      <c r="I9" s="239">
        <f t="shared" ref="I9:I15" si="2">IF(H9=0,"",G9/H9-1)</f>
        <v>-0.17357438099770028</v>
      </c>
      <c r="J9" s="323">
        <v>1550.1730163299997</v>
      </c>
      <c r="K9" s="235">
        <f t="shared" si="0"/>
        <v>-0.22034965282854879</v>
      </c>
    </row>
    <row r="10" spans="1:11" ht="15" customHeight="1">
      <c r="A10" s="118" t="s">
        <v>38</v>
      </c>
      <c r="B10" s="325">
        <v>156.66788605249999</v>
      </c>
      <c r="C10" s="245">
        <v>147.22592473</v>
      </c>
      <c r="D10" s="326">
        <v>159.07100367750002</v>
      </c>
      <c r="E10" s="325">
        <v>112.79455227750002</v>
      </c>
      <c r="F10" s="236">
        <f>IF(E10=0,"",D10/E10-1)</f>
        <v>0.41027204298084796</v>
      </c>
      <c r="G10" s="331">
        <v>159.07100367750002</v>
      </c>
      <c r="H10" s="245">
        <v>112.79455227750002</v>
      </c>
      <c r="I10" s="240">
        <f t="shared" si="2"/>
        <v>0.41027204298084796</v>
      </c>
      <c r="J10" s="325">
        <v>110.11578868249998</v>
      </c>
      <c r="K10" s="236">
        <f t="shared" si="0"/>
        <v>2.4326789346474031E-2</v>
      </c>
    </row>
    <row r="11" spans="1:11" ht="15" customHeight="1">
      <c r="A11" s="117" t="s">
        <v>30</v>
      </c>
      <c r="B11" s="323">
        <v>81.511218932499986</v>
      </c>
      <c r="C11" s="244">
        <v>73.650183339999998</v>
      </c>
      <c r="D11" s="324">
        <v>72.941591460000012</v>
      </c>
      <c r="E11" s="323">
        <v>57.710546254999997</v>
      </c>
      <c r="F11" s="235">
        <f>IF(E11=0,"",D11/E11-1)</f>
        <v>0.26392134875487172</v>
      </c>
      <c r="G11" s="330">
        <v>72.941591460000012</v>
      </c>
      <c r="H11" s="244">
        <v>57.710546254999997</v>
      </c>
      <c r="I11" s="239">
        <f t="shared" si="2"/>
        <v>0.26392134875487172</v>
      </c>
      <c r="J11" s="323">
        <v>56.281983437499996</v>
      </c>
      <c r="K11" s="235">
        <f t="shared" si="0"/>
        <v>2.5382240110396914E-2</v>
      </c>
    </row>
    <row r="12" spans="1:11" ht="15" customHeight="1">
      <c r="A12" s="145" t="s">
        <v>42</v>
      </c>
      <c r="B12" s="327">
        <f>+SUM(B8:B11)</f>
        <v>4385.3678599024997</v>
      </c>
      <c r="C12" s="318">
        <f t="shared" ref="C12:E12" si="3">+SUM(C8:C11)</f>
        <v>4583.2566370275008</v>
      </c>
      <c r="D12" s="328">
        <f t="shared" si="3"/>
        <v>4557.438604952501</v>
      </c>
      <c r="E12" s="327">
        <f t="shared" si="3"/>
        <v>4603.8220580625002</v>
      </c>
      <c r="F12" s="237">
        <f>IF(E12=0,"",D12/E12-1)</f>
        <v>-1.0074988243468197E-2</v>
      </c>
      <c r="G12" s="327">
        <f>+SUM(G8:G11)</f>
        <v>4557.438604952501</v>
      </c>
      <c r="H12" s="318">
        <f t="shared" ref="H12:J12" si="4">+SUM(H8:H11)</f>
        <v>4603.8220580625002</v>
      </c>
      <c r="I12" s="241">
        <f>IF(H12=0,"",G12/H12-1)</f>
        <v>-1.0074988243468197E-2</v>
      </c>
      <c r="J12" s="327">
        <f t="shared" si="4"/>
        <v>4497.0772959625001</v>
      </c>
      <c r="K12" s="237">
        <f t="shared" si="0"/>
        <v>2.3736474842412925E-2</v>
      </c>
    </row>
    <row r="13" spans="1:11" ht="15" customHeight="1">
      <c r="A13" s="112"/>
      <c r="B13" s="112"/>
      <c r="C13" s="112"/>
      <c r="D13" s="112"/>
      <c r="E13" s="112"/>
      <c r="F13" s="114"/>
      <c r="G13" s="112"/>
      <c r="H13" s="112"/>
      <c r="I13" s="654"/>
      <c r="J13" s="113"/>
      <c r="K13" s="114" t="str">
        <f t="shared" si="0"/>
        <v/>
      </c>
    </row>
    <row r="14" spans="1:11" ht="15" customHeight="1">
      <c r="A14" s="119" t="s">
        <v>39</v>
      </c>
      <c r="B14" s="232">
        <v>0</v>
      </c>
      <c r="C14" s="233">
        <v>0</v>
      </c>
      <c r="D14" s="320">
        <v>0</v>
      </c>
      <c r="E14" s="232">
        <v>0</v>
      </c>
      <c r="F14" s="120" t="str">
        <f t="shared" si="1"/>
        <v/>
      </c>
      <c r="G14" s="232">
        <v>0</v>
      </c>
      <c r="H14" s="233">
        <v>0</v>
      </c>
      <c r="I14" s="123" t="str">
        <f t="shared" si="2"/>
        <v/>
      </c>
      <c r="J14" s="232">
        <v>0</v>
      </c>
      <c r="K14" s="120" t="str">
        <f t="shared" si="0"/>
        <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0</v>
      </c>
      <c r="C16" s="243">
        <f t="shared" ref="C16:E16" si="5">+C15-C14</f>
        <v>0</v>
      </c>
      <c r="D16" s="342">
        <f t="shared" si="5"/>
        <v>0</v>
      </c>
      <c r="E16" s="242">
        <f t="shared" si="5"/>
        <v>0</v>
      </c>
      <c r="F16" s="122"/>
      <c r="G16" s="242">
        <f t="shared" ref="G16:H16" si="6">+G15-G14</f>
        <v>0</v>
      </c>
      <c r="H16" s="243">
        <f t="shared" si="6"/>
        <v>0</v>
      </c>
      <c r="I16" s="124"/>
      <c r="J16" s="242">
        <f>+J15-J14</f>
        <v>0</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6"/>
      <c r="C42" s="836"/>
      <c r="D42" s="836"/>
      <c r="E42" s="93"/>
      <c r="F42" s="93"/>
      <c r="G42" s="837"/>
      <c r="H42" s="837"/>
      <c r="I42" s="837"/>
      <c r="J42" s="837"/>
      <c r="K42" s="83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enero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Mensual-Enero 2021
INFSGI-MES-01-2021
09/02/2021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S15" sqref="S15"/>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42578125" customWidth="1"/>
    <col min="7" max="7" width="10.85546875" customWidth="1"/>
    <col min="8" max="8" width="10.42578125" bestFit="1" customWidth="1"/>
    <col min="9" max="9" width="9.28515625" customWidth="1"/>
    <col min="10" max="10" width="10.42578125" customWidth="1"/>
    <col min="11" max="11" width="9.28515625" customWidth="1"/>
  </cols>
  <sheetData>
    <row r="1" spans="1:12" ht="11.25" customHeight="1"/>
    <row r="2" spans="1:12" ht="11.25" customHeight="1">
      <c r="A2" s="846" t="str">
        <f>+"3.2. PRODUCCIÓN POR TIPO DE RECURSO ENERGÉTICO (GWh)"</f>
        <v>3.2. PRODUCCIÓN POR TIPO DE RECURSO ENERGÉTICO (GWh)</v>
      </c>
      <c r="B2" s="846"/>
      <c r="C2" s="846"/>
      <c r="D2" s="846"/>
      <c r="E2" s="846"/>
      <c r="F2" s="846"/>
      <c r="G2" s="846"/>
      <c r="H2" s="846"/>
      <c r="I2" s="846"/>
      <c r="J2" s="846"/>
      <c r="K2" s="846"/>
    </row>
    <row r="3" spans="1:12" ht="18.75" customHeight="1">
      <c r="A3" s="126"/>
      <c r="B3" s="127"/>
      <c r="C3" s="128"/>
      <c r="D3" s="129"/>
      <c r="E3" s="129"/>
      <c r="F3" s="129"/>
      <c r="G3" s="130"/>
      <c r="H3" s="130"/>
      <c r="I3" s="130"/>
      <c r="J3" s="126"/>
      <c r="K3" s="126"/>
      <c r="L3" s="36"/>
    </row>
    <row r="4" spans="1:12" ht="14.25" customHeight="1">
      <c r="A4" s="850" t="s">
        <v>43</v>
      </c>
      <c r="B4" s="847" t="s">
        <v>33</v>
      </c>
      <c r="C4" s="848"/>
      <c r="D4" s="848"/>
      <c r="E4" s="848" t="s">
        <v>34</v>
      </c>
      <c r="F4" s="848"/>
      <c r="G4" s="849" t="str">
        <f>+'3. Tipo Generación'!G6:K6</f>
        <v>Generación Acumulada a enero</v>
      </c>
      <c r="H4" s="849"/>
      <c r="I4" s="849"/>
      <c r="J4" s="849"/>
      <c r="K4" s="849"/>
      <c r="L4" s="131"/>
    </row>
    <row r="5" spans="1:12" ht="26.25" customHeight="1">
      <c r="A5" s="850"/>
      <c r="B5" s="388">
        <f>+'3. Tipo Generación'!B7</f>
        <v>44139</v>
      </c>
      <c r="C5" s="388">
        <f>+'3. Tipo Generación'!C7</f>
        <v>44169</v>
      </c>
      <c r="D5" s="388">
        <f>+'3. Tipo Generación'!D7</f>
        <v>44197</v>
      </c>
      <c r="E5" s="388">
        <f>+'3. Tipo Generación'!E7</f>
        <v>43832</v>
      </c>
      <c r="F5" s="389" t="s">
        <v>35</v>
      </c>
      <c r="G5" s="390">
        <v>2021</v>
      </c>
      <c r="H5" s="390">
        <v>2020</v>
      </c>
      <c r="I5" s="389" t="s">
        <v>611</v>
      </c>
      <c r="J5" s="390">
        <v>2019</v>
      </c>
      <c r="K5" s="389" t="s">
        <v>459</v>
      </c>
      <c r="L5" s="19"/>
    </row>
    <row r="6" spans="1:12" ht="11.25" customHeight="1">
      <c r="A6" s="139" t="s">
        <v>44</v>
      </c>
      <c r="B6" s="284">
        <v>1770.3720830400005</v>
      </c>
      <c r="C6" s="285">
        <v>2747.8717605600013</v>
      </c>
      <c r="D6" s="286">
        <v>3326.6138492225004</v>
      </c>
      <c r="E6" s="284">
        <v>3224.7240291725007</v>
      </c>
      <c r="F6" s="249">
        <f>IF(E6=0,"",D6/E6-1)</f>
        <v>3.1596446433323377E-2</v>
      </c>
      <c r="G6" s="284">
        <v>3326.6138492225004</v>
      </c>
      <c r="H6" s="285">
        <v>3224.7240291725007</v>
      </c>
      <c r="I6" s="249">
        <f t="shared" ref="I6:I16" si="0">IF(H6=0,"",G6/H6-1)</f>
        <v>3.1596446433323377E-2</v>
      </c>
      <c r="J6" s="284">
        <v>2780.5065075125008</v>
      </c>
      <c r="K6" s="249">
        <f>IF(J6=0,"",H6/J6-1)</f>
        <v>0.15976136738388935</v>
      </c>
      <c r="L6" s="24"/>
    </row>
    <row r="7" spans="1:12" ht="11.25" customHeight="1">
      <c r="A7" s="140" t="s">
        <v>50</v>
      </c>
      <c r="B7" s="287">
        <v>2220.5498778924998</v>
      </c>
      <c r="C7" s="244">
        <v>1512.5081529175004</v>
      </c>
      <c r="D7" s="288">
        <v>914.4995555700001</v>
      </c>
      <c r="E7" s="287">
        <v>1121.8780219674998</v>
      </c>
      <c r="F7" s="250">
        <f t="shared" ref="F7:F18" si="1">IF(E7=0,"",D7/E7-1)</f>
        <v>-0.18484938855813271</v>
      </c>
      <c r="G7" s="287">
        <v>914.4995555700001</v>
      </c>
      <c r="H7" s="244">
        <v>1121.8780219674998</v>
      </c>
      <c r="I7" s="250">
        <f t="shared" si="0"/>
        <v>-0.18484938855813271</v>
      </c>
      <c r="J7" s="287">
        <v>1448.6344844124999</v>
      </c>
      <c r="K7" s="250">
        <f t="shared" ref="K7:K19" si="2">IF(J7=0,"",H7/J7-1)</f>
        <v>-0.22556170377064966</v>
      </c>
      <c r="L7" s="22"/>
    </row>
    <row r="8" spans="1:12" ht="11.25" customHeight="1">
      <c r="A8" s="141" t="s">
        <v>51</v>
      </c>
      <c r="B8" s="289">
        <v>67.277693587500011</v>
      </c>
      <c r="C8" s="245">
        <v>63.907956690000006</v>
      </c>
      <c r="D8" s="290">
        <v>52.232017740000003</v>
      </c>
      <c r="E8" s="289">
        <v>54.747452270000004</v>
      </c>
      <c r="F8" s="340">
        <f t="shared" si="1"/>
        <v>-4.5946147732949139E-2</v>
      </c>
      <c r="G8" s="289">
        <v>52.232017740000003</v>
      </c>
      <c r="H8" s="245">
        <v>54.747452270000004</v>
      </c>
      <c r="I8" s="340">
        <f t="shared" si="0"/>
        <v>-4.5946147732949139E-2</v>
      </c>
      <c r="J8" s="289">
        <v>55.561611380000002</v>
      </c>
      <c r="K8" s="340">
        <f t="shared" si="2"/>
        <v>-1.4653266703007484E-2</v>
      </c>
      <c r="L8" s="22"/>
    </row>
    <row r="9" spans="1:12" ht="11.25" customHeight="1">
      <c r="A9" s="140" t="s">
        <v>52</v>
      </c>
      <c r="B9" s="287">
        <v>42.716016275000001</v>
      </c>
      <c r="C9" s="244">
        <v>1.996748505</v>
      </c>
      <c r="D9" s="288">
        <v>4.4965459074999998</v>
      </c>
      <c r="E9" s="287">
        <v>7.2127218224999998</v>
      </c>
      <c r="F9" s="250">
        <f t="shared" si="1"/>
        <v>-0.37658126596909947</v>
      </c>
      <c r="G9" s="287">
        <v>4.4965459074999998</v>
      </c>
      <c r="H9" s="244">
        <v>7.2127218224999998</v>
      </c>
      <c r="I9" s="250">
        <f t="shared" si="0"/>
        <v>-0.37658126596909947</v>
      </c>
      <c r="J9" s="287">
        <v>21.820522857499999</v>
      </c>
      <c r="K9" s="250">
        <f t="shared" si="2"/>
        <v>-0.66945238344639879</v>
      </c>
      <c r="L9" s="22"/>
    </row>
    <row r="10" spans="1:12" ht="11.25" customHeight="1">
      <c r="A10" s="141" t="s">
        <v>53</v>
      </c>
      <c r="B10" s="289">
        <v>0</v>
      </c>
      <c r="C10" s="245">
        <v>0</v>
      </c>
      <c r="D10" s="290">
        <v>0</v>
      </c>
      <c r="E10" s="289">
        <v>0</v>
      </c>
      <c r="F10" s="340" t="str">
        <f t="shared" si="1"/>
        <v/>
      </c>
      <c r="G10" s="289">
        <v>0</v>
      </c>
      <c r="H10" s="245">
        <v>0</v>
      </c>
      <c r="I10" s="340" t="str">
        <f t="shared" si="0"/>
        <v/>
      </c>
      <c r="J10" s="289">
        <v>0</v>
      </c>
      <c r="K10" s="340" t="str">
        <f t="shared" si="2"/>
        <v/>
      </c>
      <c r="L10" s="22"/>
    </row>
    <row r="11" spans="1:12" ht="11.25" customHeight="1">
      <c r="A11" s="140" t="s">
        <v>26</v>
      </c>
      <c r="B11" s="287">
        <v>4.3830983974999995</v>
      </c>
      <c r="C11" s="244">
        <v>0</v>
      </c>
      <c r="D11" s="288">
        <v>0</v>
      </c>
      <c r="E11" s="287">
        <v>0</v>
      </c>
      <c r="F11" s="250" t="str">
        <f t="shared" si="1"/>
        <v/>
      </c>
      <c r="G11" s="287">
        <v>0</v>
      </c>
      <c r="H11" s="244">
        <v>0</v>
      </c>
      <c r="I11" s="250" t="str">
        <f t="shared" si="0"/>
        <v/>
      </c>
      <c r="J11" s="287">
        <v>4.0722708399999998</v>
      </c>
      <c r="K11" s="250">
        <f t="shared" si="2"/>
        <v>-1</v>
      </c>
      <c r="L11" s="24"/>
    </row>
    <row r="12" spans="1:12" ht="11.25" customHeight="1">
      <c r="A12" s="141" t="s">
        <v>45</v>
      </c>
      <c r="B12" s="289">
        <v>1.1539812724999998</v>
      </c>
      <c r="C12" s="245">
        <v>1.3010617725</v>
      </c>
      <c r="D12" s="290">
        <v>0.54484955000000002</v>
      </c>
      <c r="E12" s="289">
        <v>0</v>
      </c>
      <c r="F12" s="340" t="str">
        <f t="shared" si="1"/>
        <v/>
      </c>
      <c r="G12" s="289">
        <v>0.54484955000000002</v>
      </c>
      <c r="H12" s="245">
        <v>0</v>
      </c>
      <c r="I12" s="340" t="str">
        <f t="shared" si="0"/>
        <v/>
      </c>
      <c r="J12" s="289">
        <v>5.8344011274999996</v>
      </c>
      <c r="K12" s="340">
        <f t="shared" si="2"/>
        <v>-1</v>
      </c>
      <c r="L12" s="22"/>
    </row>
    <row r="13" spans="1:12" ht="11.25" customHeight="1">
      <c r="A13" s="140" t="s">
        <v>46</v>
      </c>
      <c r="B13" s="287">
        <v>0</v>
      </c>
      <c r="C13" s="244">
        <v>0</v>
      </c>
      <c r="D13" s="288">
        <v>0</v>
      </c>
      <c r="E13" s="287">
        <v>0</v>
      </c>
      <c r="F13" s="250" t="str">
        <f>IF(E13=0,"",D13/E13-1)</f>
        <v/>
      </c>
      <c r="G13" s="287">
        <v>0</v>
      </c>
      <c r="H13" s="244">
        <v>0</v>
      </c>
      <c r="I13" s="250" t="str">
        <f t="shared" si="0"/>
        <v/>
      </c>
      <c r="J13" s="287">
        <v>0</v>
      </c>
      <c r="K13" s="250" t="str">
        <f t="shared" si="2"/>
        <v/>
      </c>
      <c r="L13" s="22"/>
    </row>
    <row r="14" spans="1:12" ht="11.25" customHeight="1">
      <c r="A14" s="141" t="s">
        <v>47</v>
      </c>
      <c r="B14" s="289">
        <v>2.7503809924999998</v>
      </c>
      <c r="C14" s="245">
        <v>1.79506977</v>
      </c>
      <c r="D14" s="290">
        <v>0.74413241000000008</v>
      </c>
      <c r="E14" s="289">
        <v>0.72036455499999996</v>
      </c>
      <c r="F14" s="340">
        <f>IF(E14=0,"",D14/E14-1)</f>
        <v>3.2994203886114404E-2</v>
      </c>
      <c r="G14" s="289">
        <v>0.74413241000000008</v>
      </c>
      <c r="H14" s="245">
        <v>0.72036455499999996</v>
      </c>
      <c r="I14" s="340">
        <f t="shared" si="0"/>
        <v>3.2994203886114404E-2</v>
      </c>
      <c r="J14" s="289">
        <v>1.3454662900000001</v>
      </c>
      <c r="K14" s="340">
        <f t="shared" si="2"/>
        <v>-0.46459858537221332</v>
      </c>
      <c r="L14" s="22"/>
    </row>
    <row r="15" spans="1:12" ht="11.25" customHeight="1">
      <c r="A15" s="140" t="s">
        <v>48</v>
      </c>
      <c r="B15" s="287">
        <v>31.081331372499999</v>
      </c>
      <c r="C15" s="244">
        <v>24.962695205000003</v>
      </c>
      <c r="D15" s="288">
        <v>18.501906552499999</v>
      </c>
      <c r="E15" s="287">
        <v>18.995276042500002</v>
      </c>
      <c r="F15" s="250">
        <f t="shared" si="1"/>
        <v>-2.5973272980931661E-2</v>
      </c>
      <c r="G15" s="287">
        <v>18.501906552499999</v>
      </c>
      <c r="H15" s="244">
        <v>18.995276042500002</v>
      </c>
      <c r="I15" s="250">
        <f>IF(H15=0,"",G15/H15-1)</f>
        <v>-2.5973272980931661E-2</v>
      </c>
      <c r="J15" s="287">
        <v>7.1550470475000001</v>
      </c>
      <c r="K15" s="250">
        <f t="shared" si="2"/>
        <v>1.6548079860826381</v>
      </c>
      <c r="L15" s="22"/>
    </row>
    <row r="16" spans="1:12" ht="11.25" customHeight="1">
      <c r="A16" s="141" t="s">
        <v>49</v>
      </c>
      <c r="B16" s="289">
        <v>6.9042920875</v>
      </c>
      <c r="C16" s="245">
        <v>8.0370835375000009</v>
      </c>
      <c r="D16" s="290">
        <v>7.7931528624999995</v>
      </c>
      <c r="E16" s="289">
        <v>5.0390936999999996</v>
      </c>
      <c r="F16" s="340">
        <f t="shared" si="1"/>
        <v>0.54653858936975119</v>
      </c>
      <c r="G16" s="289">
        <v>7.7931528624999995</v>
      </c>
      <c r="H16" s="245">
        <v>5.0390936999999996</v>
      </c>
      <c r="I16" s="340">
        <f t="shared" si="0"/>
        <v>0.54653858936975119</v>
      </c>
      <c r="J16" s="289">
        <v>5.7492123750000008</v>
      </c>
      <c r="K16" s="340">
        <f t="shared" si="2"/>
        <v>-0.1235158189820742</v>
      </c>
      <c r="L16" s="22"/>
    </row>
    <row r="17" spans="1:12" ht="11.25" customHeight="1">
      <c r="A17" s="140" t="s">
        <v>30</v>
      </c>
      <c r="B17" s="287">
        <v>81.511218932499986</v>
      </c>
      <c r="C17" s="244">
        <v>73.650183339999998</v>
      </c>
      <c r="D17" s="288">
        <v>72.941591460000012</v>
      </c>
      <c r="E17" s="287">
        <v>57.710546254999997</v>
      </c>
      <c r="F17" s="250">
        <f t="shared" si="1"/>
        <v>0.26392134875487172</v>
      </c>
      <c r="G17" s="287">
        <v>72.941591460000012</v>
      </c>
      <c r="H17" s="244">
        <v>57.710546254999997</v>
      </c>
      <c r="I17" s="250">
        <f>IF(H17=0,"",G17/H17-1)</f>
        <v>0.26392134875487172</v>
      </c>
      <c r="J17" s="287">
        <v>56.281983437499996</v>
      </c>
      <c r="K17" s="250">
        <f t="shared" si="2"/>
        <v>2.5382240110396914E-2</v>
      </c>
      <c r="L17" s="22"/>
    </row>
    <row r="18" spans="1:12" ht="11.25" customHeight="1">
      <c r="A18" s="141" t="s">
        <v>29</v>
      </c>
      <c r="B18" s="289">
        <v>156.66788605249999</v>
      </c>
      <c r="C18" s="245">
        <v>147.22592473</v>
      </c>
      <c r="D18" s="290">
        <v>159.07100367750002</v>
      </c>
      <c r="E18" s="289">
        <v>112.79455227750002</v>
      </c>
      <c r="F18" s="340">
        <f t="shared" si="1"/>
        <v>0.41027204298084796</v>
      </c>
      <c r="G18" s="289">
        <v>159.07100367750002</v>
      </c>
      <c r="H18" s="245">
        <v>112.79455227750002</v>
      </c>
      <c r="I18" s="340">
        <f>IF(H18=0,"",G18/H18-1)</f>
        <v>0.41027204298084796</v>
      </c>
      <c r="J18" s="289">
        <v>110.11578868249998</v>
      </c>
      <c r="K18" s="340">
        <f t="shared" si="2"/>
        <v>2.4326789346474031E-2</v>
      </c>
      <c r="L18" s="22"/>
    </row>
    <row r="19" spans="1:12" ht="11.25" customHeight="1">
      <c r="A19" s="146" t="s">
        <v>42</v>
      </c>
      <c r="B19" s="291">
        <f>SUM(B6:B18)</f>
        <v>4385.3678599024997</v>
      </c>
      <c r="C19" s="292">
        <f>SUM(C6:C18)</f>
        <v>4583.2566370275017</v>
      </c>
      <c r="D19" s="599">
        <f>SUM(D6:D18)</f>
        <v>4557.4386049525019</v>
      </c>
      <c r="E19" s="291">
        <f>SUM(E6:E18)</f>
        <v>4603.8220580625002</v>
      </c>
      <c r="F19" s="341">
        <f>IF(E19=0,"",D19/E19-1)</f>
        <v>-1.0074988243467975E-2</v>
      </c>
      <c r="G19" s="291">
        <f>SUM(G6:G18)</f>
        <v>4557.4386049525019</v>
      </c>
      <c r="H19" s="292">
        <f>SUM(H6:H18)</f>
        <v>4603.8220580625002</v>
      </c>
      <c r="I19" s="341">
        <f>IF(H19=0,"",G19/H19-1)</f>
        <v>-1.0074988243467975E-2</v>
      </c>
      <c r="J19" s="291">
        <f>SUM(J6:J18)</f>
        <v>4497.077295962501</v>
      </c>
      <c r="K19" s="341">
        <f t="shared" si="2"/>
        <v>2.3736474842412703E-2</v>
      </c>
      <c r="L19" s="30"/>
    </row>
    <row r="20" spans="1:12" ht="11.25" customHeight="1">
      <c r="A20" s="22"/>
      <c r="B20" s="22"/>
      <c r="C20" s="22"/>
      <c r="D20" s="22"/>
      <c r="E20" s="22"/>
      <c r="F20" s="22"/>
      <c r="G20" s="22"/>
      <c r="H20" s="22"/>
      <c r="I20" s="22"/>
      <c r="J20" s="22"/>
      <c r="K20" s="22"/>
      <c r="L20" s="22"/>
    </row>
    <row r="21" spans="1:12" ht="11.25" customHeight="1">
      <c r="A21" s="142" t="s">
        <v>39</v>
      </c>
      <c r="B21" s="232">
        <v>0</v>
      </c>
      <c r="C21" s="233">
        <v>0</v>
      </c>
      <c r="D21" s="320">
        <v>0</v>
      </c>
      <c r="E21" s="581">
        <v>0</v>
      </c>
      <c r="F21" s="120" t="str">
        <f>IF(E21=0,"",D21/E21-1)</f>
        <v/>
      </c>
      <c r="G21" s="232">
        <v>0</v>
      </c>
      <c r="H21" s="319">
        <v>0</v>
      </c>
      <c r="I21" s="123" t="str">
        <f>IF(H21=0,"",G21/H21-1)</f>
        <v/>
      </c>
      <c r="J21" s="232">
        <v>0</v>
      </c>
      <c r="K21" s="120" t="str">
        <f>IF(J21=0,"",H21/J21-1)</f>
        <v/>
      </c>
      <c r="L21" s="22"/>
    </row>
    <row r="22" spans="1:12" ht="11.25" customHeight="1">
      <c r="A22" s="143" t="s">
        <v>40</v>
      </c>
      <c r="B22" s="229">
        <v>0</v>
      </c>
      <c r="C22" s="230">
        <v>0</v>
      </c>
      <c r="D22" s="231">
        <v>0</v>
      </c>
      <c r="E22" s="582">
        <v>0</v>
      </c>
      <c r="F22" s="580" t="str">
        <f>IF(E22=0,"",D22/E22-1)</f>
        <v/>
      </c>
      <c r="G22" s="229">
        <v>0</v>
      </c>
      <c r="H22" s="230">
        <v>0</v>
      </c>
      <c r="I22" s="115" t="str">
        <f>IF(H22=0,"",G22/H22-1)</f>
        <v/>
      </c>
      <c r="J22" s="229">
        <v>0</v>
      </c>
      <c r="K22" s="121" t="str">
        <f>IF(J22=0,"",H22/J22-1)</f>
        <v/>
      </c>
      <c r="L22" s="22"/>
    </row>
    <row r="23" spans="1:12" ht="23.25" customHeight="1">
      <c r="A23" s="144" t="s">
        <v>41</v>
      </c>
      <c r="B23" s="242">
        <f>+B22-B21</f>
        <v>0</v>
      </c>
      <c r="C23" s="243">
        <f>+C22-C21</f>
        <v>0</v>
      </c>
      <c r="D23" s="342">
        <f>+D22-D21</f>
        <v>0</v>
      </c>
      <c r="E23" s="583">
        <f>+E22-E21</f>
        <v>0</v>
      </c>
      <c r="F23" s="243"/>
      <c r="G23" s="242">
        <f>+G22-G21</f>
        <v>0</v>
      </c>
      <c r="H23" s="243">
        <f>+H22-H21</f>
        <v>0</v>
      </c>
      <c r="I23" s="124"/>
      <c r="J23" s="242">
        <f>+J22-J21</f>
        <v>0</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enero.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Mensual-Enero 2021
INFSGI-MES-01-2021
09/02/2021
Versión: 01</oddHeader>
    <oddFooter>&amp;L&amp;7COES, 2021&amp;C4&amp;R&amp;7Dirección Ejecutiva
Sub Dirección de Gestión de Información</oddFooter>
  </headerFooter>
  <ignoredErrors>
    <ignoredError sqref="K19 G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workbookViewId="0">
      <selection activeCell="S15" sqref="S15"/>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66"/>
  </cols>
  <sheetData>
    <row r="1" spans="1:12" ht="11.25" customHeight="1"/>
    <row r="2" spans="1:12" ht="11.25" customHeight="1">
      <c r="A2" s="852" t="s">
        <v>228</v>
      </c>
      <c r="B2" s="852"/>
      <c r="C2" s="852"/>
      <c r="D2" s="852"/>
      <c r="E2" s="852"/>
      <c r="F2" s="852"/>
      <c r="G2" s="852"/>
      <c r="H2" s="852"/>
      <c r="I2" s="852"/>
      <c r="J2" s="852"/>
      <c r="K2" s="852"/>
      <c r="L2" s="467"/>
    </row>
    <row r="3" spans="1:12" ht="11.25" customHeight="1">
      <c r="A3" s="74"/>
      <c r="B3" s="73"/>
      <c r="C3" s="73"/>
      <c r="D3" s="73"/>
      <c r="E3" s="73"/>
      <c r="F3" s="73"/>
      <c r="G3" s="73"/>
      <c r="H3" s="73"/>
      <c r="I3" s="73"/>
      <c r="J3" s="73"/>
      <c r="K3" s="73"/>
      <c r="L3" s="467"/>
    </row>
    <row r="4" spans="1:12" ht="15.75" customHeight="1">
      <c r="A4" s="850" t="s">
        <v>224</v>
      </c>
      <c r="B4" s="847" t="s">
        <v>33</v>
      </c>
      <c r="C4" s="848"/>
      <c r="D4" s="848"/>
      <c r="E4" s="848" t="s">
        <v>34</v>
      </c>
      <c r="F4" s="848"/>
      <c r="G4" s="849" t="str">
        <f>+'4. Tipo Recurso'!G4:K4</f>
        <v>Generación Acumulada a enero</v>
      </c>
      <c r="H4" s="849"/>
      <c r="I4" s="849"/>
      <c r="J4" s="849"/>
      <c r="K4" s="849"/>
      <c r="L4" s="468"/>
    </row>
    <row r="5" spans="1:12" ht="29.25" customHeight="1">
      <c r="A5" s="850"/>
      <c r="B5" s="388">
        <f>+'4. Tipo Recurso'!B5</f>
        <v>44139</v>
      </c>
      <c r="C5" s="388">
        <f>+'4. Tipo Recurso'!C5</f>
        <v>44169</v>
      </c>
      <c r="D5" s="388">
        <f>+'4. Tipo Recurso'!D5</f>
        <v>44197</v>
      </c>
      <c r="E5" s="388">
        <f>+'4. Tipo Recurso'!E5</f>
        <v>43832</v>
      </c>
      <c r="F5" s="388" t="s">
        <v>35</v>
      </c>
      <c r="G5" s="390">
        <v>2021</v>
      </c>
      <c r="H5" s="390">
        <v>2020</v>
      </c>
      <c r="I5" s="389" t="s">
        <v>611</v>
      </c>
      <c r="J5" s="390">
        <v>2019</v>
      </c>
      <c r="K5" s="389" t="s">
        <v>459</v>
      </c>
      <c r="L5" s="469"/>
    </row>
    <row r="6" spans="1:12" ht="11.25" customHeight="1">
      <c r="A6" s="139" t="s">
        <v>44</v>
      </c>
      <c r="B6" s="284">
        <v>114.60069452250002</v>
      </c>
      <c r="C6" s="285">
        <v>231.41479590500001</v>
      </c>
      <c r="D6" s="286">
        <v>253.52640172749997</v>
      </c>
      <c r="E6" s="284">
        <v>231.14771608749996</v>
      </c>
      <c r="F6" s="249">
        <f t="shared" ref="F6:F11" si="0">IF(E6=0,"",D6/E6-1)</f>
        <v>9.6815517015658825E-2</v>
      </c>
      <c r="G6" s="284">
        <v>253.52640172749997</v>
      </c>
      <c r="H6" s="285">
        <v>231.14771608749996</v>
      </c>
      <c r="I6" s="253">
        <f t="shared" ref="I6:I11" si="1">IF(H6=0,"",G6/H6-1)</f>
        <v>9.6815517015658825E-2</v>
      </c>
      <c r="J6" s="284">
        <v>148.2323815675</v>
      </c>
      <c r="K6" s="249">
        <f t="shared" ref="K6:K11" si="2">IF(J6=0,"",H6/J6-1)</f>
        <v>0.55936046930638517</v>
      </c>
      <c r="L6" s="470"/>
    </row>
    <row r="7" spans="1:12" ht="11.25" customHeight="1">
      <c r="A7" s="140" t="s">
        <v>38</v>
      </c>
      <c r="B7" s="287">
        <v>156.66788605249999</v>
      </c>
      <c r="C7" s="244">
        <v>147.22592473</v>
      </c>
      <c r="D7" s="288">
        <v>159.07100367750002</v>
      </c>
      <c r="E7" s="287">
        <v>112.79455227750002</v>
      </c>
      <c r="F7" s="250">
        <f t="shared" si="0"/>
        <v>0.41027204298084796</v>
      </c>
      <c r="G7" s="287">
        <v>159.07100367750002</v>
      </c>
      <c r="H7" s="244">
        <v>112.79455227750002</v>
      </c>
      <c r="I7" s="239">
        <f t="shared" si="1"/>
        <v>0.41027204298084796</v>
      </c>
      <c r="J7" s="287">
        <v>110.11578868249998</v>
      </c>
      <c r="K7" s="250">
        <f t="shared" si="2"/>
        <v>2.4326789346474031E-2</v>
      </c>
      <c r="L7" s="470"/>
    </row>
    <row r="8" spans="1:12" ht="11.25" customHeight="1">
      <c r="A8" s="247" t="s">
        <v>30</v>
      </c>
      <c r="B8" s="349">
        <v>81.511218932499986</v>
      </c>
      <c r="C8" s="293">
        <v>73.650183339999998</v>
      </c>
      <c r="D8" s="350">
        <v>72.941591460000012</v>
      </c>
      <c r="E8" s="349">
        <v>57.710546254999997</v>
      </c>
      <c r="F8" s="251">
        <f t="shared" si="0"/>
        <v>0.26392134875487172</v>
      </c>
      <c r="G8" s="349">
        <v>72.941591460000012</v>
      </c>
      <c r="H8" s="293">
        <v>57.710546254999997</v>
      </c>
      <c r="I8" s="246">
        <f t="shared" si="1"/>
        <v>0.26392134875487172</v>
      </c>
      <c r="J8" s="349">
        <v>56.281983437499996</v>
      </c>
      <c r="K8" s="251">
        <f t="shared" si="2"/>
        <v>2.5382240110396914E-2</v>
      </c>
      <c r="L8" s="470"/>
    </row>
    <row r="9" spans="1:12" ht="11.25" customHeight="1">
      <c r="A9" s="140" t="s">
        <v>48</v>
      </c>
      <c r="B9" s="287">
        <v>31.081331372499999</v>
      </c>
      <c r="C9" s="244">
        <v>24.962695205000003</v>
      </c>
      <c r="D9" s="288">
        <v>18.501906552499999</v>
      </c>
      <c r="E9" s="287">
        <v>18.995276042500002</v>
      </c>
      <c r="F9" s="250">
        <f t="shared" si="0"/>
        <v>-2.5973272980931661E-2</v>
      </c>
      <c r="G9" s="287">
        <v>18.501906552499999</v>
      </c>
      <c r="H9" s="244">
        <v>18.995276042500002</v>
      </c>
      <c r="I9" s="239">
        <f t="shared" si="1"/>
        <v>-2.5973272980931661E-2</v>
      </c>
      <c r="J9" s="287">
        <v>7.1550470475000001</v>
      </c>
      <c r="K9" s="250">
        <f t="shared" si="2"/>
        <v>1.6548079860826381</v>
      </c>
      <c r="L9" s="471"/>
    </row>
    <row r="10" spans="1:12" ht="11.25" customHeight="1">
      <c r="A10" s="248" t="s">
        <v>49</v>
      </c>
      <c r="B10" s="351">
        <v>6.9042920875</v>
      </c>
      <c r="C10" s="352">
        <v>8.0370835375000009</v>
      </c>
      <c r="D10" s="353">
        <v>7.7931528624999995</v>
      </c>
      <c r="E10" s="351">
        <v>5.0390936999999996</v>
      </c>
      <c r="F10" s="252">
        <f t="shared" si="0"/>
        <v>0.54653858936975119</v>
      </c>
      <c r="G10" s="351">
        <v>7.7931528624999995</v>
      </c>
      <c r="H10" s="352">
        <v>5.0390936999999996</v>
      </c>
      <c r="I10" s="254">
        <f t="shared" si="1"/>
        <v>0.54653858936975119</v>
      </c>
      <c r="J10" s="351">
        <v>5.7492123750000008</v>
      </c>
      <c r="K10" s="252">
        <f t="shared" si="2"/>
        <v>-0.1235158189820742</v>
      </c>
      <c r="L10" s="470"/>
    </row>
    <row r="11" spans="1:12" ht="11.25" customHeight="1">
      <c r="A11" s="255" t="s">
        <v>221</v>
      </c>
      <c r="B11" s="332">
        <f>+B6+B7+B8+B9+B10</f>
        <v>390.7654229675</v>
      </c>
      <c r="C11" s="333">
        <f t="shared" ref="C11:D11" si="3">+C6+C7+C8+C9+C10</f>
        <v>485.29068271749998</v>
      </c>
      <c r="D11" s="334">
        <f t="shared" si="3"/>
        <v>511.83405628000003</v>
      </c>
      <c r="E11" s="335">
        <f>+E6+E7+E8+E9+E10</f>
        <v>425.68718436249998</v>
      </c>
      <c r="F11" s="256">
        <f t="shared" si="0"/>
        <v>0.20237130710550222</v>
      </c>
      <c r="G11" s="347">
        <f>+G6+G7+G8+G9+G10</f>
        <v>511.83405628000003</v>
      </c>
      <c r="H11" s="348">
        <f>+H6+H7+H8+H9+H10</f>
        <v>425.68718436249998</v>
      </c>
      <c r="I11" s="257">
        <f t="shared" si="1"/>
        <v>0.20237130710550222</v>
      </c>
      <c r="J11" s="347">
        <f>+J6+J7+J8+J9+J10</f>
        <v>327.53441310999995</v>
      </c>
      <c r="K11" s="256">
        <f t="shared" si="2"/>
        <v>0.29967162937329639</v>
      </c>
      <c r="L11" s="468"/>
    </row>
    <row r="12" spans="1:12" ht="24.75" customHeight="1">
      <c r="A12" s="258" t="s">
        <v>222</v>
      </c>
      <c r="B12" s="259">
        <f>B11/'4. Tipo Recurso'!B19</f>
        <v>8.9106646340995424E-2</v>
      </c>
      <c r="C12" s="597">
        <f>C11/'4. Tipo Recurso'!C19</f>
        <v>0.10588337532681524</v>
      </c>
      <c r="D12" s="474">
        <f>D11/'4. Tipo Recurso'!D19</f>
        <v>0.11230739471153763</v>
      </c>
      <c r="E12" s="259">
        <f>E11/'4. Tipo Recurso'!E19</f>
        <v>9.246386567374168E-2</v>
      </c>
      <c r="F12" s="260"/>
      <c r="G12" s="259">
        <f>G11/'4. Tipo Recurso'!G19</f>
        <v>0.11230739471153763</v>
      </c>
      <c r="H12" s="257">
        <f>H11/'4. Tipo Recurso'!H19</f>
        <v>9.246386567374168E-2</v>
      </c>
      <c r="I12" s="257"/>
      <c r="J12" s="259">
        <f>J11/'4. Tipo Recurso'!J19</f>
        <v>7.283272924929754E-2</v>
      </c>
      <c r="K12" s="260"/>
      <c r="L12" s="468"/>
    </row>
    <row r="13" spans="1:12" ht="11.25" customHeight="1">
      <c r="A13" s="261" t="s">
        <v>223</v>
      </c>
      <c r="B13" s="134"/>
      <c r="C13" s="134"/>
      <c r="D13" s="134"/>
      <c r="E13" s="134"/>
      <c r="F13" s="134"/>
      <c r="G13" s="134"/>
      <c r="H13" s="134"/>
      <c r="I13" s="134"/>
      <c r="J13" s="134"/>
      <c r="K13" s="135"/>
      <c r="L13" s="468"/>
    </row>
    <row r="14" spans="1:12" ht="35.25" customHeight="1">
      <c r="A14" s="853" t="s">
        <v>453</v>
      </c>
      <c r="B14" s="853"/>
      <c r="C14" s="853"/>
      <c r="D14" s="853"/>
      <c r="E14" s="853"/>
      <c r="F14" s="853"/>
      <c r="G14" s="853"/>
      <c r="H14" s="853"/>
      <c r="I14" s="853"/>
      <c r="J14" s="853"/>
      <c r="K14" s="853"/>
      <c r="L14" s="468"/>
    </row>
    <row r="15" spans="1:12" ht="11.25" customHeight="1">
      <c r="A15" s="31"/>
      <c r="L15" s="468"/>
    </row>
    <row r="16" spans="1:12" ht="11.25" customHeight="1">
      <c r="A16" s="136"/>
      <c r="B16" s="147"/>
      <c r="C16" s="147"/>
      <c r="D16" s="147"/>
      <c r="E16" s="147"/>
      <c r="F16" s="147"/>
      <c r="G16" s="147"/>
      <c r="H16" s="147"/>
      <c r="I16" s="147"/>
      <c r="J16" s="147"/>
      <c r="K16" s="147"/>
      <c r="L16" s="468"/>
    </row>
    <row r="17" spans="1:12" ht="11.25" customHeight="1">
      <c r="A17" s="147"/>
      <c r="B17" s="147"/>
      <c r="C17" s="147"/>
      <c r="D17" s="147"/>
      <c r="E17" s="147"/>
      <c r="F17" s="147"/>
      <c r="G17" s="147"/>
      <c r="H17" s="147"/>
      <c r="I17" s="147"/>
      <c r="J17" s="147"/>
      <c r="K17" s="147"/>
      <c r="L17" s="468"/>
    </row>
    <row r="18" spans="1:12" ht="11.25" customHeight="1">
      <c r="A18" s="147"/>
      <c r="B18" s="147"/>
      <c r="C18" s="147"/>
      <c r="D18" s="147"/>
      <c r="E18" s="147"/>
      <c r="F18" s="147"/>
      <c r="G18" s="147"/>
      <c r="H18" s="147"/>
      <c r="I18" s="147"/>
      <c r="J18" s="147"/>
      <c r="K18" s="147"/>
      <c r="L18" s="472"/>
    </row>
    <row r="19" spans="1:12" ht="11.25" customHeight="1">
      <c r="A19" s="136"/>
      <c r="B19" s="138"/>
      <c r="C19" s="138"/>
      <c r="D19" s="138"/>
      <c r="E19" s="138"/>
      <c r="F19" s="138"/>
      <c r="G19" s="138"/>
      <c r="H19" s="138"/>
      <c r="I19" s="138"/>
      <c r="J19" s="138"/>
      <c r="K19" s="138"/>
      <c r="L19" s="468"/>
    </row>
    <row r="20" spans="1:12" ht="11.25" customHeight="1">
      <c r="A20" s="136"/>
      <c r="B20" s="138"/>
      <c r="C20" s="138"/>
      <c r="D20" s="138"/>
      <c r="E20" s="138"/>
      <c r="F20" s="138"/>
      <c r="G20" s="138"/>
      <c r="H20" s="138"/>
      <c r="I20" s="138"/>
      <c r="J20" s="138"/>
      <c r="K20" s="138"/>
      <c r="L20" s="468"/>
    </row>
    <row r="21" spans="1:12" ht="11.25" customHeight="1">
      <c r="A21" s="136"/>
      <c r="B21" s="138"/>
      <c r="C21" s="138"/>
      <c r="D21" s="138"/>
      <c r="E21" s="138"/>
      <c r="F21" s="138"/>
      <c r="G21" s="138"/>
      <c r="H21" s="138"/>
      <c r="I21" s="138"/>
      <c r="J21" s="138"/>
      <c r="K21" s="138"/>
      <c r="L21" s="468"/>
    </row>
    <row r="22" spans="1:12" ht="11.25" customHeight="1">
      <c r="A22" s="136"/>
      <c r="B22" s="138"/>
      <c r="C22" s="138"/>
      <c r="D22" s="138"/>
      <c r="E22" s="138"/>
      <c r="F22" s="138"/>
      <c r="G22" s="138"/>
      <c r="H22" s="138"/>
      <c r="I22" s="138"/>
      <c r="J22" s="138"/>
      <c r="K22" s="138"/>
      <c r="L22" s="472"/>
    </row>
    <row r="23" spans="1:12" ht="11.25" customHeight="1">
      <c r="A23" s="136"/>
      <c r="B23" s="138"/>
      <c r="C23" s="138"/>
      <c r="D23" s="138"/>
      <c r="E23" s="138"/>
      <c r="F23" s="138"/>
      <c r="G23" s="138"/>
      <c r="H23" s="138"/>
      <c r="I23" s="138"/>
      <c r="J23" s="138"/>
      <c r="K23" s="138"/>
      <c r="L23" s="468"/>
    </row>
    <row r="24" spans="1:12" ht="11.25" customHeight="1">
      <c r="A24" s="136"/>
      <c r="B24" s="138"/>
      <c r="C24" s="138"/>
      <c r="D24" s="138"/>
      <c r="E24" s="138"/>
      <c r="F24" s="138"/>
      <c r="G24" s="138"/>
      <c r="H24" s="138"/>
      <c r="I24" s="138"/>
      <c r="J24" s="138"/>
      <c r="K24" s="138"/>
      <c r="L24" s="468"/>
    </row>
    <row r="25" spans="1:12" ht="11.25" customHeight="1">
      <c r="A25" s="136"/>
      <c r="B25" s="138"/>
      <c r="C25" s="138"/>
      <c r="D25" s="138"/>
      <c r="E25" s="138"/>
      <c r="F25" s="138"/>
      <c r="G25" s="138"/>
      <c r="H25" s="138"/>
      <c r="I25" s="138"/>
      <c r="J25" s="138"/>
      <c r="K25" s="138"/>
      <c r="L25" s="468"/>
    </row>
    <row r="26" spans="1:12" ht="11.25" customHeight="1">
      <c r="A26" s="136"/>
      <c r="B26" s="138"/>
      <c r="C26" s="138"/>
      <c r="D26" s="138"/>
      <c r="E26" s="138"/>
      <c r="F26" s="138"/>
      <c r="G26" s="138"/>
      <c r="H26" s="138"/>
      <c r="I26" s="138"/>
      <c r="J26" s="138"/>
      <c r="K26" s="138"/>
      <c r="L26" s="468"/>
    </row>
    <row r="27" spans="1:12" ht="11.25" customHeight="1">
      <c r="A27" s="136"/>
      <c r="B27" s="138"/>
      <c r="C27" s="138"/>
      <c r="D27" s="138"/>
      <c r="E27" s="138"/>
      <c r="F27" s="138"/>
      <c r="G27" s="138"/>
      <c r="H27" s="138"/>
      <c r="I27" s="138"/>
      <c r="J27" s="138"/>
      <c r="K27" s="138"/>
      <c r="L27" s="468"/>
    </row>
    <row r="28" spans="1:12" ht="11.25" customHeight="1">
      <c r="A28" s="136"/>
      <c r="B28" s="138"/>
      <c r="C28" s="138"/>
      <c r="D28" s="138"/>
      <c r="E28" s="138"/>
      <c r="F28" s="138"/>
      <c r="G28" s="138"/>
      <c r="H28" s="138"/>
      <c r="I28" s="138"/>
      <c r="J28" s="138"/>
      <c r="K28" s="138"/>
      <c r="L28" s="468"/>
    </row>
    <row r="29" spans="1:12" ht="11.25" customHeight="1">
      <c r="A29" s="136"/>
      <c r="B29" s="138"/>
      <c r="C29" s="138"/>
      <c r="D29" s="138"/>
      <c r="E29" s="138"/>
      <c r="F29" s="138"/>
      <c r="G29" s="138"/>
      <c r="H29" s="138"/>
      <c r="I29" s="138"/>
      <c r="J29" s="138"/>
      <c r="K29" s="138"/>
      <c r="L29" s="468"/>
    </row>
    <row r="30" spans="1:12" ht="11.25" customHeight="1">
      <c r="A30" s="136"/>
      <c r="B30" s="138"/>
      <c r="C30" s="138"/>
      <c r="D30" s="138"/>
      <c r="E30" s="138"/>
      <c r="F30" s="138"/>
      <c r="G30" s="138"/>
      <c r="H30" s="138"/>
      <c r="I30" s="138"/>
      <c r="J30" s="138"/>
      <c r="K30" s="138"/>
      <c r="L30" s="468"/>
    </row>
    <row r="31" spans="1:12" ht="11.25" customHeight="1">
      <c r="A31" s="136"/>
      <c r="B31" s="138"/>
      <c r="C31" s="138"/>
      <c r="D31" s="138"/>
      <c r="E31" s="138"/>
      <c r="F31" s="138"/>
      <c r="G31" s="138"/>
      <c r="H31" s="138"/>
      <c r="I31" s="138"/>
      <c r="J31" s="138"/>
      <c r="K31" s="138"/>
      <c r="L31" s="468"/>
    </row>
    <row r="32" spans="1:12" ht="11.25" customHeight="1">
      <c r="A32" s="136"/>
      <c r="B32" s="138"/>
      <c r="C32" s="138"/>
      <c r="D32" s="138"/>
      <c r="E32" s="138"/>
      <c r="F32" s="138"/>
      <c r="G32" s="138"/>
      <c r="H32" s="138"/>
      <c r="I32" s="138"/>
      <c r="J32" s="138"/>
      <c r="K32" s="138"/>
      <c r="L32" s="468"/>
    </row>
    <row r="33" spans="1:16" ht="11.25" customHeight="1">
      <c r="A33" s="136"/>
      <c r="B33" s="138"/>
      <c r="C33" s="138"/>
      <c r="D33" s="138"/>
      <c r="E33" s="138"/>
      <c r="F33" s="138"/>
      <c r="G33" s="138"/>
      <c r="H33" s="138"/>
      <c r="I33" s="138"/>
      <c r="J33" s="138"/>
      <c r="K33" s="138"/>
      <c r="L33" s="468"/>
    </row>
    <row r="34" spans="1:16" ht="11.25" customHeight="1">
      <c r="A34" s="851" t="str">
        <f>"Gráfico N° 6: Comparación de la producción de energía eléctrica acumulada (GWh) con recursos energéticos renovables en "&amp;'1. Resumen'!Q4&amp;"."</f>
        <v>Gráfico N° 6: Comparación de la producción de energía eléctrica acumulada (GWh) con recursos energéticos renovables en enero.</v>
      </c>
      <c r="B34" s="851"/>
      <c r="C34" s="851"/>
      <c r="D34" s="851"/>
      <c r="E34" s="851"/>
      <c r="F34" s="851"/>
      <c r="G34" s="851"/>
      <c r="H34" s="851"/>
      <c r="I34" s="851"/>
      <c r="J34" s="851"/>
      <c r="K34" s="851"/>
      <c r="L34" s="656"/>
      <c r="M34" s="283"/>
      <c r="N34" s="283"/>
      <c r="O34" s="283"/>
    </row>
    <row r="35" spans="1:16" ht="11.25" customHeight="1">
      <c r="L35" s="657"/>
      <c r="M35" s="283"/>
      <c r="N35" s="283"/>
      <c r="O35" s="283"/>
    </row>
    <row r="36" spans="1:16" ht="11.25" customHeight="1">
      <c r="A36" s="136"/>
      <c r="B36" s="138"/>
      <c r="C36" s="138"/>
      <c r="D36" s="138"/>
      <c r="E36" s="138"/>
      <c r="F36" s="138"/>
      <c r="G36" s="138"/>
      <c r="H36" s="138"/>
      <c r="I36" s="138"/>
      <c r="J36" s="138"/>
      <c r="K36" s="138"/>
      <c r="L36" s="656"/>
      <c r="M36" s="283"/>
      <c r="N36" s="283"/>
      <c r="O36" s="283"/>
    </row>
    <row r="37" spans="1:16" ht="11.25" customHeight="1">
      <c r="A37" s="136"/>
      <c r="B37" s="138"/>
      <c r="C37" s="138"/>
      <c r="D37" s="138"/>
      <c r="E37" s="138"/>
      <c r="F37" s="138"/>
      <c r="G37" s="138"/>
      <c r="H37" s="138"/>
      <c r="I37" s="138"/>
      <c r="J37" s="138"/>
      <c r="K37" s="138"/>
      <c r="L37" s="656"/>
      <c r="M37" s="283"/>
      <c r="N37" s="283"/>
      <c r="O37" s="283"/>
    </row>
    <row r="38" spans="1:16" ht="11.25" customHeight="1">
      <c r="A38" s="136"/>
      <c r="B38" s="138"/>
      <c r="C38" s="138"/>
      <c r="D38" s="138"/>
      <c r="E38" s="138"/>
      <c r="F38" s="138"/>
      <c r="G38" s="138"/>
      <c r="H38" s="138"/>
      <c r="I38" s="138"/>
      <c r="J38" s="138"/>
      <c r="K38" s="138"/>
      <c r="L38" s="656"/>
      <c r="M38" s="283"/>
      <c r="N38" s="283"/>
      <c r="O38" s="283"/>
    </row>
    <row r="39" spans="1:16" ht="11.25" customHeight="1">
      <c r="A39" s="136"/>
      <c r="B39" s="138"/>
      <c r="C39" s="262" t="s">
        <v>226</v>
      </c>
      <c r="D39" s="158"/>
      <c r="E39" s="158"/>
      <c r="F39" s="346">
        <f>+'4. Tipo Recurso'!D19</f>
        <v>4557.4386049525019</v>
      </c>
      <c r="G39" s="262" t="s">
        <v>225</v>
      </c>
      <c r="H39" s="138"/>
      <c r="I39" s="138"/>
      <c r="J39" s="138"/>
      <c r="K39" s="138"/>
      <c r="L39" s="656"/>
      <c r="M39" s="658">
        <f>+F39-F40</f>
        <v>4045.608604952502</v>
      </c>
      <c r="N39" s="283"/>
      <c r="O39" s="283"/>
      <c r="P39" s="473"/>
    </row>
    <row r="40" spans="1:16" ht="11.25" customHeight="1">
      <c r="A40" s="136"/>
      <c r="B40" s="138"/>
      <c r="C40" s="262" t="s">
        <v>227</v>
      </c>
      <c r="D40" s="158"/>
      <c r="E40" s="158"/>
      <c r="F40" s="346">
        <f>ROUND(D11,2)</f>
        <v>511.83</v>
      </c>
      <c r="G40" s="262" t="s">
        <v>225</v>
      </c>
      <c r="H40" s="138"/>
      <c r="I40" s="138"/>
      <c r="J40" s="138"/>
      <c r="K40" s="138"/>
      <c r="L40" s="656"/>
      <c r="M40" s="659"/>
      <c r="N40" s="283"/>
      <c r="O40" s="283"/>
      <c r="P40" s="473"/>
    </row>
    <row r="41" spans="1:16" ht="11.25" customHeight="1">
      <c r="A41" s="136"/>
      <c r="B41" s="138"/>
      <c r="C41" s="138"/>
      <c r="D41" s="138"/>
      <c r="E41" s="138"/>
      <c r="F41" s="138"/>
      <c r="G41" s="138"/>
      <c r="H41" s="138"/>
      <c r="I41" s="138"/>
      <c r="J41" s="138"/>
      <c r="K41" s="138"/>
      <c r="L41" s="656"/>
      <c r="M41" s="283"/>
      <c r="N41" s="283"/>
      <c r="O41" s="283"/>
      <c r="P41" s="473"/>
    </row>
    <row r="42" spans="1:16" ht="11.25" customHeight="1">
      <c r="A42" s="136"/>
      <c r="B42" s="138"/>
      <c r="C42" s="138"/>
      <c r="D42" s="138"/>
      <c r="E42" s="138"/>
      <c r="F42" s="138"/>
      <c r="G42" s="138"/>
      <c r="H42" s="138"/>
      <c r="I42" s="138"/>
      <c r="J42" s="138"/>
      <c r="K42" s="138"/>
      <c r="L42" s="656"/>
      <c r="M42" s="283"/>
      <c r="N42" s="283"/>
      <c r="O42" s="283"/>
      <c r="P42" s="473"/>
    </row>
    <row r="43" spans="1:16" ht="11.25" customHeight="1">
      <c r="A43" s="136"/>
      <c r="B43" s="138"/>
      <c r="C43" s="138"/>
      <c r="D43" s="138"/>
      <c r="E43" s="138"/>
      <c r="F43" s="138"/>
      <c r="G43" s="138"/>
      <c r="H43" s="138"/>
      <c r="I43" s="138"/>
      <c r="J43" s="138"/>
      <c r="K43" s="138"/>
      <c r="L43" s="468"/>
      <c r="P43" s="473"/>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enero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Normal="100" zoomScaleSheetLayoutView="100" zoomScalePageLayoutView="95" workbookViewId="0">
      <selection activeCell="S15" sqref="S15"/>
    </sheetView>
  </sheetViews>
  <sheetFormatPr baseColWidth="10" defaultColWidth="9.28515625" defaultRowHeight="10.199999999999999"/>
  <cols>
    <col min="1" max="11" width="10.28515625" customWidth="1"/>
    <col min="12" max="12" width="21.140625" style="618" bestFit="1" customWidth="1"/>
    <col min="13" max="14" width="9.28515625" style="618"/>
    <col min="15" max="15" width="11.85546875" style="618" customWidth="1"/>
    <col min="16" max="19" width="9.28515625" style="618"/>
    <col min="20" max="20" width="15" style="618" customWidth="1"/>
    <col min="21" max="22" width="9.28515625" style="618"/>
    <col min="23" max="24" width="9.28515625" style="283"/>
    <col min="25" max="25" width="17.85546875" style="466" bestFit="1" customWidth="1"/>
  </cols>
  <sheetData>
    <row r="2" spans="1:25" ht="11.25" customHeight="1">
      <c r="A2" s="854" t="s">
        <v>232</v>
      </c>
      <c r="B2" s="854"/>
      <c r="C2" s="854"/>
      <c r="D2" s="854"/>
      <c r="E2" s="854"/>
      <c r="F2" s="854"/>
      <c r="G2" s="854"/>
      <c r="H2" s="854"/>
      <c r="I2" s="854"/>
      <c r="J2" s="854"/>
      <c r="K2" s="854"/>
    </row>
    <row r="3" spans="1:25" ht="11.25" customHeight="1"/>
    <row r="4" spans="1:25" ht="11.25" customHeight="1">
      <c r="L4" s="785" t="s">
        <v>54</v>
      </c>
      <c r="M4" s="786" t="s">
        <v>31</v>
      </c>
      <c r="N4" s="785"/>
      <c r="O4" s="787"/>
      <c r="P4" s="788"/>
      <c r="Q4" s="788"/>
    </row>
    <row r="5" spans="1:25" ht="10.5" customHeight="1">
      <c r="A5" s="149"/>
      <c r="B5" s="138"/>
      <c r="C5" s="138"/>
      <c r="D5" s="138"/>
      <c r="E5" s="138"/>
      <c r="F5" s="138"/>
      <c r="G5" s="138"/>
      <c r="H5" s="138"/>
      <c r="I5" s="138"/>
      <c r="J5" s="138"/>
      <c r="K5" s="138"/>
      <c r="L5" s="785"/>
      <c r="M5" s="786"/>
      <c r="N5" s="785"/>
      <c r="O5" s="785" t="s">
        <v>55</v>
      </c>
      <c r="P5" s="785" t="s">
        <v>56</v>
      </c>
      <c r="Q5" s="785"/>
      <c r="U5" s="618">
        <v>2021</v>
      </c>
      <c r="V5" s="789">
        <v>2020</v>
      </c>
      <c r="W5" s="789"/>
    </row>
    <row r="6" spans="1:25" ht="10.5" customHeight="1">
      <c r="A6" s="111"/>
      <c r="B6" s="138"/>
      <c r="C6" s="138"/>
      <c r="D6" s="138"/>
      <c r="E6" s="138"/>
      <c r="F6" s="138"/>
      <c r="G6" s="138"/>
      <c r="H6" s="138"/>
      <c r="I6" s="138"/>
      <c r="J6" s="138"/>
      <c r="K6" s="138"/>
      <c r="L6" s="790" t="s">
        <v>57</v>
      </c>
      <c r="M6" s="790" t="s">
        <v>58</v>
      </c>
      <c r="N6" s="791">
        <v>19.966000000000001</v>
      </c>
      <c r="O6" s="792">
        <v>14.91406769</v>
      </c>
      <c r="P6" s="792">
        <v>1</v>
      </c>
      <c r="Q6" s="792"/>
      <c r="S6" s="618" t="s">
        <v>445</v>
      </c>
      <c r="T6" s="618" t="s">
        <v>57</v>
      </c>
      <c r="U6" s="793">
        <v>1</v>
      </c>
      <c r="V6" s="794">
        <v>0.99620242331991249</v>
      </c>
      <c r="W6" s="794"/>
      <c r="X6" s="618"/>
      <c r="Y6" s="610"/>
    </row>
    <row r="7" spans="1:25" ht="10.5" customHeight="1">
      <c r="A7" s="136"/>
      <c r="B7" s="138"/>
      <c r="C7" s="138"/>
      <c r="D7" s="138"/>
      <c r="E7" s="138"/>
      <c r="F7" s="138"/>
      <c r="G7" s="138"/>
      <c r="H7" s="138"/>
      <c r="I7" s="138"/>
      <c r="J7" s="138"/>
      <c r="K7" s="138"/>
      <c r="L7" s="790" t="s">
        <v>452</v>
      </c>
      <c r="M7" s="790" t="s">
        <v>58</v>
      </c>
      <c r="N7" s="791">
        <v>20</v>
      </c>
      <c r="O7" s="792">
        <v>14.752021639999999</v>
      </c>
      <c r="P7" s="792">
        <v>0.99139930376344076</v>
      </c>
      <c r="Q7" s="792"/>
      <c r="T7" s="618" t="s">
        <v>452</v>
      </c>
      <c r="U7" s="793">
        <v>0.99139930376344076</v>
      </c>
      <c r="V7" s="794">
        <v>0.94917577671370967</v>
      </c>
      <c r="W7" s="794"/>
      <c r="X7" s="618"/>
      <c r="Y7" s="610"/>
    </row>
    <row r="8" spans="1:25" ht="10.5" customHeight="1">
      <c r="A8" s="136"/>
      <c r="B8" s="138"/>
      <c r="C8" s="138"/>
      <c r="D8" s="138"/>
      <c r="E8" s="138"/>
      <c r="F8" s="138"/>
      <c r="G8" s="138"/>
      <c r="H8" s="138"/>
      <c r="I8" s="138"/>
      <c r="J8" s="138"/>
      <c r="K8" s="138"/>
      <c r="L8" s="790" t="s">
        <v>63</v>
      </c>
      <c r="M8" s="790" t="s">
        <v>58</v>
      </c>
      <c r="N8" s="791">
        <v>19.899999999999999</v>
      </c>
      <c r="O8" s="792">
        <v>14.7377346675</v>
      </c>
      <c r="P8" s="792">
        <v>0.99541623895688103</v>
      </c>
      <c r="Q8" s="792"/>
      <c r="T8" s="618" t="s">
        <v>63</v>
      </c>
      <c r="U8" s="793">
        <v>0.99541623895688125</v>
      </c>
      <c r="V8" s="794">
        <v>0.90615452430161558</v>
      </c>
      <c r="W8" s="794"/>
      <c r="X8" s="618"/>
      <c r="Y8" s="610"/>
    </row>
    <row r="9" spans="1:25" ht="10.5" customHeight="1">
      <c r="A9" s="136"/>
      <c r="B9" s="138"/>
      <c r="C9" s="138"/>
      <c r="D9" s="138"/>
      <c r="E9" s="138"/>
      <c r="F9" s="138"/>
      <c r="G9" s="138"/>
      <c r="H9" s="138"/>
      <c r="I9" s="138"/>
      <c r="J9" s="138"/>
      <c r="K9" s="138"/>
      <c r="L9" s="790" t="s">
        <v>403</v>
      </c>
      <c r="M9" s="795" t="s">
        <v>58</v>
      </c>
      <c r="N9" s="791">
        <v>19.605</v>
      </c>
      <c r="O9" s="792">
        <v>14.708457537500001</v>
      </c>
      <c r="P9" s="792">
        <v>1</v>
      </c>
      <c r="Q9" s="792"/>
      <c r="T9" s="618" t="s">
        <v>403</v>
      </c>
      <c r="U9" s="793">
        <v>1</v>
      </c>
      <c r="V9" s="794">
        <v>1</v>
      </c>
      <c r="W9" s="794"/>
      <c r="X9" s="618"/>
      <c r="Y9" s="610"/>
    </row>
    <row r="10" spans="1:25" ht="10.5" customHeight="1">
      <c r="A10" s="136"/>
      <c r="B10" s="138"/>
      <c r="C10" s="138"/>
      <c r="D10" s="138"/>
      <c r="E10" s="138"/>
      <c r="F10" s="138"/>
      <c r="G10" s="138"/>
      <c r="H10" s="138"/>
      <c r="I10" s="138"/>
      <c r="J10" s="138"/>
      <c r="K10" s="138"/>
      <c r="L10" s="790" t="s">
        <v>451</v>
      </c>
      <c r="M10" s="795" t="s">
        <v>58</v>
      </c>
      <c r="N10" s="791">
        <v>20</v>
      </c>
      <c r="O10" s="792">
        <v>14.5984904125</v>
      </c>
      <c r="P10" s="792">
        <v>0.98108134492607535</v>
      </c>
      <c r="Q10" s="792"/>
      <c r="T10" s="618" t="s">
        <v>451</v>
      </c>
      <c r="U10" s="793">
        <v>0.98108134492607535</v>
      </c>
      <c r="V10" s="794">
        <v>0.84003518514784947</v>
      </c>
      <c r="W10" s="794"/>
      <c r="X10" s="618"/>
      <c r="Y10" s="610"/>
    </row>
    <row r="11" spans="1:25" ht="10.5" customHeight="1">
      <c r="A11" s="136"/>
      <c r="B11" s="138"/>
      <c r="C11" s="138"/>
      <c r="D11" s="138"/>
      <c r="E11" s="138"/>
      <c r="F11" s="138"/>
      <c r="G11" s="138"/>
      <c r="H11" s="138"/>
      <c r="I11" s="138"/>
      <c r="J11" s="138"/>
      <c r="K11" s="138"/>
      <c r="L11" s="790" t="s">
        <v>412</v>
      </c>
      <c r="M11" s="795" t="s">
        <v>58</v>
      </c>
      <c r="N11" s="791">
        <v>20.16</v>
      </c>
      <c r="O11" s="792">
        <v>13.93468485</v>
      </c>
      <c r="P11" s="792">
        <v>0.92903844846070138</v>
      </c>
      <c r="Q11" s="792"/>
      <c r="T11" s="618" t="s">
        <v>412</v>
      </c>
      <c r="U11" s="793">
        <v>0.92903844846070138</v>
      </c>
      <c r="V11" s="794">
        <v>1</v>
      </c>
      <c r="W11" s="794"/>
      <c r="X11" s="618"/>
      <c r="Y11" s="610"/>
    </row>
    <row r="12" spans="1:25" ht="10.5" customHeight="1">
      <c r="A12" s="136"/>
      <c r="B12" s="138"/>
      <c r="C12" s="138"/>
      <c r="D12" s="138"/>
      <c r="E12" s="138"/>
      <c r="F12" s="138"/>
      <c r="G12" s="138"/>
      <c r="H12" s="138"/>
      <c r="I12" s="138"/>
      <c r="J12" s="138"/>
      <c r="K12" s="138"/>
      <c r="L12" s="790" t="s">
        <v>410</v>
      </c>
      <c r="M12" s="790" t="s">
        <v>58</v>
      </c>
      <c r="N12" s="791">
        <v>20.16</v>
      </c>
      <c r="O12" s="792">
        <v>13.7997576975</v>
      </c>
      <c r="P12" s="792">
        <v>0.92004272923467101</v>
      </c>
      <c r="Q12" s="792"/>
      <c r="T12" s="618" t="s">
        <v>410</v>
      </c>
      <c r="U12" s="793">
        <v>0.92004272923467101</v>
      </c>
      <c r="V12" s="794">
        <v>0.99713057552350015</v>
      </c>
      <c r="W12" s="794"/>
      <c r="X12" s="618"/>
      <c r="Y12" s="610"/>
    </row>
    <row r="13" spans="1:25" ht="10.5" customHeight="1">
      <c r="A13" s="136"/>
      <c r="B13" s="138"/>
      <c r="C13" s="138"/>
      <c r="D13" s="138"/>
      <c r="E13" s="138"/>
      <c r="F13" s="138"/>
      <c r="G13" s="138"/>
      <c r="H13" s="138"/>
      <c r="I13" s="138"/>
      <c r="J13" s="138"/>
      <c r="K13" s="138"/>
      <c r="L13" s="790" t="s">
        <v>417</v>
      </c>
      <c r="M13" s="790" t="s">
        <v>58</v>
      </c>
      <c r="N13" s="791">
        <v>20</v>
      </c>
      <c r="O13" s="792">
        <v>13.7000935225</v>
      </c>
      <c r="P13" s="792">
        <v>0.92070520984543003</v>
      </c>
      <c r="Q13" s="792"/>
      <c r="T13" s="618" t="s">
        <v>417</v>
      </c>
      <c r="U13" s="793">
        <v>0.92070520984543003</v>
      </c>
      <c r="V13" s="794">
        <v>0.56189610786290323</v>
      </c>
      <c r="W13" s="794"/>
      <c r="X13" s="618"/>
      <c r="Y13" s="610"/>
    </row>
    <row r="14" spans="1:25" ht="10.5" customHeight="1">
      <c r="A14" s="136"/>
      <c r="B14" s="138"/>
      <c r="C14" s="138"/>
      <c r="D14" s="138"/>
      <c r="E14" s="138"/>
      <c r="F14" s="138"/>
      <c r="G14" s="138"/>
      <c r="H14" s="138"/>
      <c r="I14" s="138"/>
      <c r="J14" s="138"/>
      <c r="K14" s="138"/>
      <c r="L14" s="790" t="s">
        <v>411</v>
      </c>
      <c r="M14" s="790" t="s">
        <v>58</v>
      </c>
      <c r="N14" s="791">
        <v>20.16</v>
      </c>
      <c r="O14" s="792">
        <v>13.686861765</v>
      </c>
      <c r="P14" s="792">
        <v>0.91251585201452889</v>
      </c>
      <c r="Q14" s="792"/>
      <c r="T14" s="618" t="s">
        <v>411</v>
      </c>
      <c r="U14" s="793">
        <v>0.91251585201452889</v>
      </c>
      <c r="V14" s="794">
        <v>0.97802085183451737</v>
      </c>
      <c r="W14" s="794"/>
      <c r="X14" s="618"/>
      <c r="Y14" s="610"/>
    </row>
    <row r="15" spans="1:25" ht="11.25" customHeight="1">
      <c r="A15" s="136"/>
      <c r="B15" s="138"/>
      <c r="C15" s="138"/>
      <c r="D15" s="138"/>
      <c r="E15" s="138"/>
      <c r="F15" s="138"/>
      <c r="G15" s="138"/>
      <c r="H15" s="138"/>
      <c r="I15" s="138"/>
      <c r="J15" s="138"/>
      <c r="K15" s="138"/>
      <c r="L15" s="790" t="s">
        <v>61</v>
      </c>
      <c r="M15" s="790" t="s">
        <v>58</v>
      </c>
      <c r="N15" s="791">
        <v>19.1995</v>
      </c>
      <c r="O15" s="792">
        <v>13.499859320000001</v>
      </c>
      <c r="P15" s="792">
        <v>0.9450752469752377</v>
      </c>
      <c r="Q15" s="792"/>
      <c r="T15" s="618" t="s">
        <v>61</v>
      </c>
      <c r="U15" s="793">
        <v>0.9450752469752377</v>
      </c>
      <c r="V15" s="794">
        <v>0.67467301280807324</v>
      </c>
      <c r="W15" s="794"/>
      <c r="X15" s="618"/>
      <c r="Y15" s="610"/>
    </row>
    <row r="16" spans="1:25" ht="11.25" customHeight="1">
      <c r="A16" s="136"/>
      <c r="B16" s="138"/>
      <c r="C16" s="138"/>
      <c r="D16" s="138"/>
      <c r="E16" s="138"/>
      <c r="F16" s="138"/>
      <c r="G16" s="138"/>
      <c r="H16" s="138"/>
      <c r="I16" s="138"/>
      <c r="J16" s="138"/>
      <c r="K16" s="138"/>
      <c r="L16" s="790" t="s">
        <v>60</v>
      </c>
      <c r="M16" s="790" t="s">
        <v>58</v>
      </c>
      <c r="N16" s="791">
        <v>19.966999999999999</v>
      </c>
      <c r="O16" s="792">
        <v>12.885078885</v>
      </c>
      <c r="P16" s="792">
        <v>0.86736387115353253</v>
      </c>
      <c r="Q16" s="792"/>
      <c r="T16" s="618" t="s">
        <v>60</v>
      </c>
      <c r="U16" s="793">
        <v>0.86736387115353253</v>
      </c>
      <c r="V16" s="794">
        <v>0.86024758627272635</v>
      </c>
      <c r="W16" s="794"/>
      <c r="X16" s="618"/>
      <c r="Y16" s="610"/>
    </row>
    <row r="17" spans="1:25" ht="11.25" customHeight="1">
      <c r="A17" s="136"/>
      <c r="B17" s="138"/>
      <c r="C17" s="138"/>
      <c r="D17" s="138"/>
      <c r="E17" s="138"/>
      <c r="F17" s="138"/>
      <c r="G17" s="138"/>
      <c r="H17" s="138"/>
      <c r="I17" s="138"/>
      <c r="J17" s="138"/>
      <c r="K17" s="138"/>
      <c r="L17" s="790" t="s">
        <v>59</v>
      </c>
      <c r="M17" s="790" t="s">
        <v>58</v>
      </c>
      <c r="N17" s="791">
        <v>15</v>
      </c>
      <c r="O17" s="792">
        <v>11.941666740000001</v>
      </c>
      <c r="P17" s="792">
        <v>1</v>
      </c>
      <c r="Q17" s="792"/>
      <c r="T17" s="618" t="s">
        <v>59</v>
      </c>
      <c r="U17" s="793">
        <v>1</v>
      </c>
      <c r="V17" s="794">
        <v>1</v>
      </c>
      <c r="W17" s="794"/>
      <c r="X17" s="618"/>
      <c r="Y17" s="610"/>
    </row>
    <row r="18" spans="1:25">
      <c r="A18" s="136"/>
      <c r="B18" s="138"/>
      <c r="C18" s="138"/>
      <c r="D18" s="138"/>
      <c r="E18" s="138"/>
      <c r="F18" s="138"/>
      <c r="G18" s="138"/>
      <c r="H18" s="138"/>
      <c r="I18" s="138"/>
      <c r="J18" s="138"/>
      <c r="K18" s="138"/>
      <c r="L18" s="790" t="s">
        <v>454</v>
      </c>
      <c r="M18" s="790" t="s">
        <v>58</v>
      </c>
      <c r="N18" s="791">
        <v>19</v>
      </c>
      <c r="O18" s="792">
        <v>11.514567</v>
      </c>
      <c r="P18" s="792">
        <v>0.81455623938879451</v>
      </c>
      <c r="Q18" s="792"/>
      <c r="T18" s="618" t="s">
        <v>454</v>
      </c>
      <c r="U18" s="793">
        <v>0.81455623938879451</v>
      </c>
      <c r="V18" s="794">
        <v>0.59318820971278996</v>
      </c>
      <c r="W18" s="794"/>
      <c r="X18" s="618"/>
      <c r="Y18" s="610"/>
    </row>
    <row r="19" spans="1:25">
      <c r="A19" s="136"/>
      <c r="B19" s="138"/>
      <c r="C19" s="138"/>
      <c r="D19" s="138"/>
      <c r="E19" s="138"/>
      <c r="F19" s="138"/>
      <c r="G19" s="138"/>
      <c r="H19" s="138"/>
      <c r="I19" s="138"/>
      <c r="J19" s="138"/>
      <c r="K19" s="138"/>
      <c r="L19" s="790" t="s">
        <v>420</v>
      </c>
      <c r="M19" s="790" t="s">
        <v>58</v>
      </c>
      <c r="N19" s="791">
        <v>13.2</v>
      </c>
      <c r="O19" s="792">
        <v>8.8754785550000008</v>
      </c>
      <c r="P19" s="792">
        <v>0.90374292878380602</v>
      </c>
      <c r="Q19" s="792"/>
      <c r="T19" s="618" t="s">
        <v>420</v>
      </c>
      <c r="U19" s="793">
        <v>0.90374292878380602</v>
      </c>
      <c r="V19" s="794">
        <v>0.78513274249551979</v>
      </c>
      <c r="W19" s="794"/>
      <c r="X19" s="618"/>
      <c r="Y19" s="610"/>
    </row>
    <row r="20" spans="1:25">
      <c r="A20" s="136"/>
      <c r="B20" s="138"/>
      <c r="C20" s="138"/>
      <c r="D20" s="138"/>
      <c r="E20" s="138"/>
      <c r="F20" s="138"/>
      <c r="G20" s="138"/>
      <c r="H20" s="138"/>
      <c r="I20" s="138"/>
      <c r="J20" s="138"/>
      <c r="K20" s="138"/>
      <c r="L20" s="790" t="s">
        <v>485</v>
      </c>
      <c r="M20" s="790" t="s">
        <v>58</v>
      </c>
      <c r="N20" s="791">
        <v>20</v>
      </c>
      <c r="O20" s="792">
        <v>7.6662428975000001</v>
      </c>
      <c r="P20" s="792">
        <v>0.51520449579973115</v>
      </c>
      <c r="Q20" s="792"/>
      <c r="T20" s="618" t="s">
        <v>485</v>
      </c>
      <c r="U20" s="793">
        <v>0.51520449579973115</v>
      </c>
      <c r="V20" s="794" t="e">
        <v>#N/A</v>
      </c>
      <c r="W20" s="794"/>
      <c r="X20" s="618"/>
      <c r="Y20" s="610"/>
    </row>
    <row r="21" spans="1:25">
      <c r="A21" s="136"/>
      <c r="B21" s="138"/>
      <c r="C21" s="138"/>
      <c r="D21" s="138"/>
      <c r="E21" s="138"/>
      <c r="F21" s="138"/>
      <c r="G21" s="138"/>
      <c r="H21" s="138"/>
      <c r="I21" s="138"/>
      <c r="J21" s="138"/>
      <c r="K21" s="138"/>
      <c r="L21" s="790" t="s">
        <v>64</v>
      </c>
      <c r="M21" s="790" t="s">
        <v>58</v>
      </c>
      <c r="N21" s="791">
        <v>10.222</v>
      </c>
      <c r="O21" s="792">
        <v>7.289469725</v>
      </c>
      <c r="P21" s="792">
        <v>0.95848898078254163</v>
      </c>
      <c r="Q21" s="792"/>
      <c r="T21" s="618" t="s">
        <v>64</v>
      </c>
      <c r="U21" s="793">
        <v>0.95848898078254163</v>
      </c>
      <c r="V21" s="794">
        <v>0.92649776934579231</v>
      </c>
      <c r="W21" s="794"/>
      <c r="X21" s="618"/>
      <c r="Y21" s="610"/>
    </row>
    <row r="22" spans="1:25">
      <c r="A22" s="136"/>
      <c r="B22" s="138"/>
      <c r="C22" s="138"/>
      <c r="D22" s="138"/>
      <c r="E22" s="138"/>
      <c r="F22" s="138"/>
      <c r="G22" s="138"/>
      <c r="H22" s="138"/>
      <c r="I22" s="138"/>
      <c r="J22" s="138"/>
      <c r="K22" s="138"/>
      <c r="L22" s="790" t="s">
        <v>62</v>
      </c>
      <c r="M22" s="790" t="s">
        <v>58</v>
      </c>
      <c r="N22" s="791">
        <v>9.9830000000000005</v>
      </c>
      <c r="O22" s="792">
        <v>7.1262525699999992</v>
      </c>
      <c r="P22" s="792">
        <v>0.95946072974594432</v>
      </c>
      <c r="Q22" s="792"/>
      <c r="T22" s="618" t="s">
        <v>62</v>
      </c>
      <c r="U22" s="793">
        <v>0.95946072974594432</v>
      </c>
      <c r="V22" s="794">
        <v>0.99394092235025344</v>
      </c>
      <c r="W22" s="794"/>
      <c r="X22" s="618"/>
      <c r="Y22" s="610"/>
    </row>
    <row r="23" spans="1:25">
      <c r="A23" s="136"/>
      <c r="B23" s="138"/>
      <c r="C23" s="138"/>
      <c r="D23" s="138"/>
      <c r="E23" s="138"/>
      <c r="F23" s="138"/>
      <c r="G23" s="138"/>
      <c r="H23" s="138"/>
      <c r="I23" s="138"/>
      <c r="J23" s="138"/>
      <c r="K23" s="138"/>
      <c r="L23" s="790" t="s">
        <v>65</v>
      </c>
      <c r="M23" s="790" t="s">
        <v>58</v>
      </c>
      <c r="N23" s="791">
        <v>9.85</v>
      </c>
      <c r="O23" s="792">
        <v>7.0738326699999998</v>
      </c>
      <c r="P23" s="792">
        <v>0.96526290459036079</v>
      </c>
      <c r="Q23" s="792"/>
      <c r="T23" s="618" t="s">
        <v>65</v>
      </c>
      <c r="U23" s="793">
        <v>0.96526290459036079</v>
      </c>
      <c r="V23" s="794">
        <v>0.93630552576278592</v>
      </c>
      <c r="W23" s="794"/>
      <c r="X23" s="618"/>
      <c r="Y23" s="610"/>
    </row>
    <row r="24" spans="1:25">
      <c r="A24" s="136"/>
      <c r="B24" s="138"/>
      <c r="C24" s="138"/>
      <c r="D24" s="138"/>
      <c r="E24" s="138"/>
      <c r="F24" s="138"/>
      <c r="G24" s="138"/>
      <c r="H24" s="138"/>
      <c r="I24" s="138"/>
      <c r="J24" s="138"/>
      <c r="K24" s="138"/>
      <c r="L24" s="790" t="s">
        <v>450</v>
      </c>
      <c r="M24" s="790" t="s">
        <v>58</v>
      </c>
      <c r="N24" s="791">
        <v>8.4</v>
      </c>
      <c r="O24" s="792">
        <v>6.0744195100000002</v>
      </c>
      <c r="P24" s="792">
        <v>0.97196932763696886</v>
      </c>
      <c r="Q24" s="792"/>
      <c r="T24" s="618" t="s">
        <v>450</v>
      </c>
      <c r="U24" s="793">
        <v>0.97196932763696886</v>
      </c>
      <c r="V24" s="794">
        <v>0.87733111039106504</v>
      </c>
      <c r="W24" s="794"/>
      <c r="X24" s="618"/>
      <c r="Y24" s="610"/>
    </row>
    <row r="25" spans="1:25">
      <c r="A25" s="136"/>
      <c r="B25" s="138"/>
      <c r="C25" s="138"/>
      <c r="D25" s="138"/>
      <c r="E25" s="138"/>
      <c r="F25" s="138"/>
      <c r="G25" s="138"/>
      <c r="H25" s="138"/>
      <c r="I25" s="138"/>
      <c r="J25" s="138"/>
      <c r="K25" s="138"/>
      <c r="L25" s="790" t="s">
        <v>66</v>
      </c>
      <c r="M25" s="790" t="s">
        <v>58</v>
      </c>
      <c r="N25" s="791">
        <v>7.7450000000000001</v>
      </c>
      <c r="O25" s="792">
        <v>4.9378227325000008</v>
      </c>
      <c r="P25" s="792">
        <v>0.85692169288892606</v>
      </c>
      <c r="Q25" s="792"/>
      <c r="T25" s="618" t="s">
        <v>66</v>
      </c>
      <c r="U25" s="793">
        <v>0.85692169288892606</v>
      </c>
      <c r="V25" s="794">
        <v>0.77495932599595996</v>
      </c>
      <c r="W25" s="794"/>
      <c r="X25" s="618"/>
      <c r="Y25" s="610"/>
    </row>
    <row r="26" spans="1:25">
      <c r="A26" s="136"/>
      <c r="B26" s="138"/>
      <c r="C26" s="138"/>
      <c r="D26" s="138"/>
      <c r="E26" s="138"/>
      <c r="F26" s="138"/>
      <c r="G26" s="138"/>
      <c r="H26" s="138"/>
      <c r="I26" s="138"/>
      <c r="J26" s="138"/>
      <c r="K26" s="138"/>
      <c r="L26" s="790" t="s">
        <v>67</v>
      </c>
      <c r="M26" s="790" t="s">
        <v>58</v>
      </c>
      <c r="N26" s="791">
        <v>7.4240000000000004</v>
      </c>
      <c r="O26" s="792">
        <v>4.9196278475000002</v>
      </c>
      <c r="P26" s="792">
        <v>0.89067928621138648</v>
      </c>
      <c r="Q26" s="792"/>
      <c r="T26" s="618" t="s">
        <v>67</v>
      </c>
      <c r="U26" s="793">
        <v>0.89067928621138648</v>
      </c>
      <c r="V26" s="794">
        <v>0.79482222905369393</v>
      </c>
      <c r="W26" s="794"/>
      <c r="X26" s="618"/>
      <c r="Y26" s="610"/>
    </row>
    <row r="27" spans="1:25">
      <c r="A27" s="136"/>
      <c r="B27" s="138"/>
      <c r="C27" s="138"/>
      <c r="D27" s="138"/>
      <c r="E27" s="138"/>
      <c r="F27" s="138"/>
      <c r="G27" s="138"/>
      <c r="H27" s="138"/>
      <c r="I27" s="138"/>
      <c r="J27" s="138"/>
      <c r="K27" s="138"/>
      <c r="L27" s="790" t="s">
        <v>68</v>
      </c>
      <c r="M27" s="790" t="s">
        <v>58</v>
      </c>
      <c r="N27" s="791">
        <v>6.9580000000000002</v>
      </c>
      <c r="O27" s="792">
        <v>4.7979605425000003</v>
      </c>
      <c r="P27" s="792">
        <v>0.9268283554050879</v>
      </c>
      <c r="Q27" s="792"/>
      <c r="T27" s="618" t="s">
        <v>68</v>
      </c>
      <c r="U27" s="793">
        <v>0.9268283554050879</v>
      </c>
      <c r="V27" s="794">
        <v>0.7592289673138678</v>
      </c>
      <c r="W27" s="794"/>
      <c r="X27" s="618"/>
      <c r="Y27" s="610"/>
    </row>
    <row r="28" spans="1:25">
      <c r="A28" s="136"/>
      <c r="B28" s="138"/>
      <c r="C28" s="138"/>
      <c r="D28" s="138"/>
      <c r="E28" s="138"/>
      <c r="F28" s="138"/>
      <c r="G28" s="138"/>
      <c r="H28" s="138"/>
      <c r="I28" s="138"/>
      <c r="J28" s="138"/>
      <c r="K28" s="138"/>
      <c r="L28" s="790" t="s">
        <v>71</v>
      </c>
      <c r="M28" s="790" t="s">
        <v>58</v>
      </c>
      <c r="N28" s="791">
        <v>5.67</v>
      </c>
      <c r="O28" s="792">
        <v>4.0815392350000002</v>
      </c>
      <c r="P28" s="792">
        <v>0.96753788923972628</v>
      </c>
      <c r="Q28" s="792"/>
      <c r="T28" s="618" t="s">
        <v>71</v>
      </c>
      <c r="U28" s="793">
        <v>0.96753788923972628</v>
      </c>
      <c r="V28" s="794">
        <v>0.85838584810168594</v>
      </c>
      <c r="W28" s="794"/>
      <c r="X28" s="618"/>
      <c r="Y28" s="610"/>
    </row>
    <row r="29" spans="1:25">
      <c r="A29" s="136"/>
      <c r="B29" s="138"/>
      <c r="C29" s="138"/>
      <c r="D29" s="138"/>
      <c r="E29" s="138"/>
      <c r="F29" s="138"/>
      <c r="G29" s="138"/>
      <c r="H29" s="138"/>
      <c r="I29" s="138"/>
      <c r="J29" s="138"/>
      <c r="K29" s="138"/>
      <c r="L29" s="790" t="s">
        <v>69</v>
      </c>
      <c r="M29" s="790" t="s">
        <v>58</v>
      </c>
      <c r="N29" s="791">
        <v>9.5660000000000007</v>
      </c>
      <c r="O29" s="792">
        <v>2.9099305749999997</v>
      </c>
      <c r="P29" s="792">
        <v>0.40886441662226652</v>
      </c>
      <c r="Q29" s="792"/>
      <c r="T29" s="618" t="s">
        <v>69</v>
      </c>
      <c r="U29" s="793">
        <v>0.40886441662226652</v>
      </c>
      <c r="V29" s="794">
        <v>0.35247517564728575</v>
      </c>
      <c r="W29" s="794"/>
      <c r="X29" s="618"/>
      <c r="Y29" s="610"/>
    </row>
    <row r="30" spans="1:25">
      <c r="A30" s="136"/>
      <c r="B30" s="138"/>
      <c r="C30" s="138"/>
      <c r="D30" s="138"/>
      <c r="E30" s="138"/>
      <c r="F30" s="138"/>
      <c r="G30" s="138"/>
      <c r="H30" s="138"/>
      <c r="I30" s="138"/>
      <c r="J30" s="138"/>
      <c r="K30" s="138"/>
      <c r="L30" s="618" t="s">
        <v>73</v>
      </c>
      <c r="M30" s="790" t="s">
        <v>58</v>
      </c>
      <c r="N30" s="791">
        <v>3.91621</v>
      </c>
      <c r="O30" s="792">
        <v>2.5933447125000004</v>
      </c>
      <c r="P30" s="792">
        <v>0.89006421438485916</v>
      </c>
      <c r="Q30" s="792"/>
      <c r="T30" s="618" t="s">
        <v>73</v>
      </c>
      <c r="U30" s="793">
        <v>0.89006421438485916</v>
      </c>
      <c r="V30" s="794">
        <v>0.86553271221492878</v>
      </c>
      <c r="W30" s="794"/>
      <c r="X30" s="618"/>
      <c r="Y30" s="610"/>
    </row>
    <row r="31" spans="1:25">
      <c r="A31" s="136"/>
      <c r="B31" s="138"/>
      <c r="C31" s="138"/>
      <c r="D31" s="138"/>
      <c r="E31" s="138"/>
      <c r="F31" s="138"/>
      <c r="G31" s="138"/>
      <c r="H31" s="138"/>
      <c r="I31" s="138"/>
      <c r="J31" s="138"/>
      <c r="K31" s="138"/>
      <c r="L31" s="790" t="s">
        <v>74</v>
      </c>
      <c r="M31" s="790" t="s">
        <v>58</v>
      </c>
      <c r="N31" s="791">
        <v>3.964</v>
      </c>
      <c r="O31" s="792">
        <v>2.3660000000000001</v>
      </c>
      <c r="P31" s="792">
        <v>0.80224710567147339</v>
      </c>
      <c r="Q31" s="792"/>
      <c r="T31" s="618" t="s">
        <v>74</v>
      </c>
      <c r="U31" s="793">
        <v>0.80224710567147339</v>
      </c>
      <c r="V31" s="794">
        <v>0.83045799290387678</v>
      </c>
      <c r="W31" s="794"/>
      <c r="X31" s="618"/>
      <c r="Y31" s="610"/>
    </row>
    <row r="32" spans="1:25">
      <c r="A32" s="136"/>
      <c r="B32" s="138"/>
      <c r="C32" s="138"/>
      <c r="D32" s="138"/>
      <c r="E32" s="138"/>
      <c r="F32" s="138"/>
      <c r="G32" s="138"/>
      <c r="H32" s="138"/>
      <c r="I32" s="138"/>
      <c r="J32" s="138"/>
      <c r="K32" s="138"/>
      <c r="L32" s="790" t="s">
        <v>70</v>
      </c>
      <c r="M32" s="790" t="s">
        <v>58</v>
      </c>
      <c r="N32" s="791">
        <v>5.1890000000000001</v>
      </c>
      <c r="O32" s="792">
        <v>1.8618538750000002</v>
      </c>
      <c r="P32" s="792">
        <v>0.4822686003995218</v>
      </c>
      <c r="Q32" s="792"/>
      <c r="T32" s="618" t="s">
        <v>70</v>
      </c>
      <c r="U32" s="793">
        <v>0.4822686003995218</v>
      </c>
      <c r="V32" s="794">
        <v>0.62405420469168649</v>
      </c>
      <c r="W32" s="794"/>
      <c r="X32" s="618"/>
      <c r="Y32" s="610"/>
    </row>
    <row r="33" spans="1:25">
      <c r="A33" s="136"/>
      <c r="B33" s="138"/>
      <c r="C33" s="138"/>
      <c r="D33" s="138"/>
      <c r="E33" s="138"/>
      <c r="F33" s="138"/>
      <c r="G33" s="138"/>
      <c r="H33" s="138"/>
      <c r="I33" s="138"/>
      <c r="J33" s="138"/>
      <c r="K33" s="138"/>
      <c r="L33" s="790" t="s">
        <v>72</v>
      </c>
      <c r="M33" s="790" t="s">
        <v>58</v>
      </c>
      <c r="N33" s="791">
        <v>3.48</v>
      </c>
      <c r="O33" s="792">
        <v>1.8515024325000002</v>
      </c>
      <c r="P33" s="792">
        <v>0.71510877537541717</v>
      </c>
      <c r="Q33" s="792"/>
      <c r="T33" s="618" t="s">
        <v>72</v>
      </c>
      <c r="U33" s="793">
        <v>0.71510877537541717</v>
      </c>
      <c r="V33" s="794">
        <v>0.76589557069583492</v>
      </c>
      <c r="W33" s="794"/>
      <c r="X33" s="618"/>
      <c r="Y33" s="610"/>
    </row>
    <row r="34" spans="1:25">
      <c r="B34" s="138"/>
      <c r="C34" s="138"/>
      <c r="D34" s="138"/>
      <c r="E34" s="138"/>
      <c r="F34" s="138"/>
      <c r="G34" s="138"/>
      <c r="H34" s="138"/>
      <c r="I34" s="138"/>
      <c r="J34" s="138"/>
      <c r="K34" s="138"/>
      <c r="L34" s="790" t="s">
        <v>413</v>
      </c>
      <c r="M34" s="790" t="s">
        <v>58</v>
      </c>
      <c r="N34" s="791">
        <v>0.7</v>
      </c>
      <c r="O34" s="792">
        <v>0.23597951749999999</v>
      </c>
      <c r="P34" s="792">
        <v>0.45310967261904761</v>
      </c>
      <c r="Q34" s="792"/>
      <c r="T34" s="618" t="s">
        <v>413</v>
      </c>
      <c r="U34" s="793">
        <v>0.45310967261904761</v>
      </c>
      <c r="V34" s="794">
        <v>0.88906023905529963</v>
      </c>
      <c r="W34" s="794"/>
      <c r="X34" s="618"/>
      <c r="Y34" s="610"/>
    </row>
    <row r="35" spans="1:25">
      <c r="A35" s="136"/>
      <c r="B35" s="138"/>
      <c r="C35" s="138"/>
      <c r="D35" s="138"/>
      <c r="E35" s="138"/>
      <c r="F35" s="138"/>
      <c r="G35" s="138"/>
      <c r="H35" s="138"/>
      <c r="I35" s="138"/>
      <c r="J35" s="138"/>
      <c r="K35" s="138"/>
      <c r="L35" s="790" t="s">
        <v>75</v>
      </c>
      <c r="M35" s="790" t="s">
        <v>58</v>
      </c>
      <c r="N35" s="791">
        <v>1.714</v>
      </c>
      <c r="O35" s="792">
        <v>0.1918026025</v>
      </c>
      <c r="P35" s="792">
        <v>0.15040793285215998</v>
      </c>
      <c r="Q35" s="792"/>
      <c r="T35" s="618" t="s">
        <v>75</v>
      </c>
      <c r="U35" s="793">
        <v>0.15040793285215998</v>
      </c>
      <c r="V35" s="794">
        <v>0.36535680817994759</v>
      </c>
      <c r="W35" s="794"/>
      <c r="X35" s="618"/>
      <c r="Y35" s="610"/>
    </row>
    <row r="36" spans="1:25" ht="10.8" customHeight="1">
      <c r="A36" s="136"/>
      <c r="B36" s="138"/>
      <c r="C36" s="138"/>
      <c r="D36" s="138"/>
      <c r="E36" s="138"/>
      <c r="F36" s="138"/>
      <c r="G36" s="138"/>
      <c r="H36" s="138"/>
      <c r="I36" s="138"/>
      <c r="J36" s="138"/>
      <c r="K36" s="138"/>
      <c r="L36" s="790" t="s">
        <v>421</v>
      </c>
      <c r="M36" s="790" t="s">
        <v>215</v>
      </c>
      <c r="N36" s="791">
        <v>132.30000000000001</v>
      </c>
      <c r="O36" s="792">
        <v>53.747506489999999</v>
      </c>
      <c r="P36" s="792">
        <v>0.54604136178366203</v>
      </c>
      <c r="Q36" s="792"/>
      <c r="S36" s="618" t="s">
        <v>438</v>
      </c>
      <c r="T36" s="618" t="s">
        <v>421</v>
      </c>
      <c r="U36" s="793">
        <v>0.54604136178366203</v>
      </c>
      <c r="V36" s="794">
        <v>0.3962661927823698</v>
      </c>
      <c r="W36" s="794"/>
      <c r="X36" s="618"/>
      <c r="Y36" s="610"/>
    </row>
    <row r="37" spans="1:25">
      <c r="A37" s="136"/>
      <c r="B37" s="138"/>
      <c r="C37" s="138"/>
      <c r="D37" s="138"/>
      <c r="E37" s="138"/>
      <c r="F37" s="138"/>
      <c r="G37" s="138"/>
      <c r="H37" s="138"/>
      <c r="I37" s="138"/>
      <c r="J37" s="138"/>
      <c r="K37" s="138"/>
      <c r="L37" s="790" t="s">
        <v>76</v>
      </c>
      <c r="M37" s="790" t="s">
        <v>215</v>
      </c>
      <c r="N37" s="791">
        <v>97.15</v>
      </c>
      <c r="O37" s="792">
        <v>45.996032740000004</v>
      </c>
      <c r="P37" s="792">
        <v>0.6363625800364141</v>
      </c>
      <c r="Q37" s="792"/>
      <c r="T37" s="618" t="s">
        <v>76</v>
      </c>
      <c r="U37" s="793">
        <v>0.6363625800364141</v>
      </c>
      <c r="V37" s="794">
        <v>0.35544931173526134</v>
      </c>
      <c r="W37" s="794"/>
      <c r="X37" s="618"/>
      <c r="Y37" s="610"/>
    </row>
    <row r="38" spans="1:25" ht="11.25" customHeight="1">
      <c r="A38" s="136"/>
      <c r="B38" s="138"/>
      <c r="C38" s="138"/>
      <c r="D38" s="138"/>
      <c r="E38" s="138"/>
      <c r="F38" s="138"/>
      <c r="G38" s="138"/>
      <c r="H38" s="138"/>
      <c r="I38" s="138"/>
      <c r="J38" s="138"/>
      <c r="K38" s="138"/>
      <c r="L38" s="790" t="s">
        <v>77</v>
      </c>
      <c r="M38" s="790" t="s">
        <v>215</v>
      </c>
      <c r="N38" s="791">
        <v>83.15</v>
      </c>
      <c r="O38" s="792">
        <v>31.247104377500001</v>
      </c>
      <c r="P38" s="792">
        <v>0.50509676736400722</v>
      </c>
      <c r="Q38" s="796"/>
      <c r="T38" s="618" t="s">
        <v>77</v>
      </c>
      <c r="U38" s="793">
        <v>0.50509676736400722</v>
      </c>
      <c r="V38" s="794">
        <v>0.47724401825144347</v>
      </c>
      <c r="W38" s="794"/>
      <c r="X38" s="618"/>
      <c r="Y38" s="610"/>
    </row>
    <row r="39" spans="1:25">
      <c r="A39" s="136"/>
      <c r="B39" s="138"/>
      <c r="C39" s="138"/>
      <c r="D39" s="138"/>
      <c r="E39" s="138"/>
      <c r="F39" s="138"/>
      <c r="G39" s="138"/>
      <c r="H39" s="138"/>
      <c r="I39" s="138"/>
      <c r="J39" s="138"/>
      <c r="K39" s="138"/>
      <c r="L39" s="790" t="s">
        <v>78</v>
      </c>
      <c r="M39" s="790" t="s">
        <v>215</v>
      </c>
      <c r="N39" s="791">
        <v>32</v>
      </c>
      <c r="O39" s="792">
        <v>16.229013415000001</v>
      </c>
      <c r="P39" s="792">
        <v>0.68166218981014792</v>
      </c>
      <c r="T39" s="618" t="s">
        <v>78</v>
      </c>
      <c r="U39" s="793">
        <v>0.68166218981014792</v>
      </c>
      <c r="V39" s="794">
        <v>0.3686096620883737</v>
      </c>
      <c r="W39" s="794"/>
      <c r="X39" s="618"/>
      <c r="Y39" s="610"/>
    </row>
    <row r="40" spans="1:25">
      <c r="A40" s="136"/>
      <c r="B40" s="138"/>
      <c r="C40" s="138"/>
      <c r="D40" s="138"/>
      <c r="E40" s="138"/>
      <c r="F40" s="138"/>
      <c r="G40" s="138"/>
      <c r="H40" s="138"/>
      <c r="I40" s="138"/>
      <c r="J40" s="138"/>
      <c r="K40" s="138"/>
      <c r="L40" s="790" t="s">
        <v>79</v>
      </c>
      <c r="M40" s="790" t="s">
        <v>215</v>
      </c>
      <c r="N40" s="791">
        <v>30.86</v>
      </c>
      <c r="O40" s="792">
        <v>9.6752359300000013</v>
      </c>
      <c r="P40" s="792">
        <v>0.42139822969149615</v>
      </c>
      <c r="T40" s="618" t="s">
        <v>79</v>
      </c>
      <c r="U40" s="793">
        <v>0.42139822969149615</v>
      </c>
      <c r="V40" s="794">
        <v>0.4267438034193618</v>
      </c>
      <c r="W40" s="794"/>
      <c r="X40" s="618"/>
      <c r="Y40" s="610"/>
    </row>
    <row r="41" spans="1:25">
      <c r="A41" s="136"/>
      <c r="B41" s="138"/>
      <c r="C41" s="138"/>
      <c r="D41" s="138"/>
      <c r="E41" s="138"/>
      <c r="F41" s="138"/>
      <c r="G41" s="138"/>
      <c r="H41" s="138"/>
      <c r="I41" s="138"/>
      <c r="J41" s="138"/>
      <c r="K41" s="138"/>
      <c r="L41" s="618" t="s">
        <v>614</v>
      </c>
      <c r="M41" s="790" t="s">
        <v>215</v>
      </c>
      <c r="N41" s="791">
        <v>18.37</v>
      </c>
      <c r="O41" s="792">
        <v>1.19080147</v>
      </c>
      <c r="P41" s="792">
        <v>8.7127904747689375E-2</v>
      </c>
      <c r="S41" s="618" t="s">
        <v>430</v>
      </c>
      <c r="T41" s="618" t="s">
        <v>614</v>
      </c>
      <c r="U41" s="793">
        <v>8.7127904747689375E-2</v>
      </c>
      <c r="V41" s="794"/>
      <c r="W41" s="794"/>
      <c r="X41" s="618"/>
      <c r="Y41" s="610"/>
    </row>
    <row r="42" spans="1:25">
      <c r="A42" s="136"/>
      <c r="B42" s="138"/>
      <c r="C42" s="138"/>
      <c r="D42" s="138"/>
      <c r="E42" s="138"/>
      <c r="F42" s="138"/>
      <c r="G42" s="138"/>
      <c r="H42" s="138"/>
      <c r="I42" s="138"/>
      <c r="J42" s="138"/>
      <c r="K42" s="138"/>
      <c r="L42" s="618" t="s">
        <v>603</v>
      </c>
      <c r="M42" s="790" t="s">
        <v>215</v>
      </c>
      <c r="N42" s="791">
        <v>18.37</v>
      </c>
      <c r="O42" s="792">
        <v>0.98530925499999999</v>
      </c>
      <c r="P42" s="792">
        <v>7.2092563772747753E-2</v>
      </c>
      <c r="T42" s="618" t="s">
        <v>603</v>
      </c>
      <c r="U42" s="793">
        <v>7.2092563772747753E-2</v>
      </c>
      <c r="V42" s="794"/>
      <c r="W42" s="794"/>
      <c r="X42" s="618"/>
      <c r="Y42" s="610"/>
    </row>
    <row r="43" spans="1:25" ht="36" customHeight="1">
      <c r="A43" s="851"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enero 2021.
Nota: Son consideradas las centrales con operación comercial</v>
      </c>
      <c r="B43" s="851"/>
      <c r="C43" s="851"/>
      <c r="D43" s="851"/>
      <c r="E43" s="851"/>
      <c r="F43" s="851"/>
      <c r="G43" s="851"/>
      <c r="H43" s="851"/>
      <c r="I43" s="851"/>
      <c r="J43" s="851"/>
      <c r="K43" s="851"/>
      <c r="L43" s="790" t="s">
        <v>422</v>
      </c>
      <c r="M43" s="790" t="s">
        <v>80</v>
      </c>
      <c r="N43" s="791">
        <v>144.47999999999999</v>
      </c>
      <c r="O43" s="792">
        <v>41.403814890000007</v>
      </c>
      <c r="P43" s="792">
        <v>0.38517641770933819</v>
      </c>
      <c r="T43" s="618" t="s">
        <v>422</v>
      </c>
      <c r="U43" s="793">
        <v>0.38517641770933819</v>
      </c>
      <c r="V43" s="794">
        <v>0.29459264169651045</v>
      </c>
      <c r="W43" s="794"/>
      <c r="X43" s="618"/>
      <c r="Y43" s="610"/>
    </row>
    <row r="44" spans="1:25" ht="18" customHeight="1">
      <c r="A44" s="136"/>
      <c r="B44" s="138"/>
      <c r="C44" s="138"/>
      <c r="D44" s="138"/>
      <c r="E44" s="138"/>
      <c r="F44" s="138"/>
      <c r="G44" s="138"/>
      <c r="H44" s="138"/>
      <c r="I44" s="138"/>
      <c r="J44" s="138"/>
      <c r="K44" s="138"/>
      <c r="L44" s="790" t="s">
        <v>423</v>
      </c>
      <c r="M44" s="790" t="s">
        <v>80</v>
      </c>
      <c r="N44" s="791">
        <v>44.54</v>
      </c>
      <c r="O44" s="792">
        <v>9.0910523649999995</v>
      </c>
      <c r="P44" s="792">
        <v>0.27434118555388171</v>
      </c>
      <c r="T44" s="618" t="s">
        <v>423</v>
      </c>
      <c r="U44" s="793">
        <v>0.27434118555388171</v>
      </c>
      <c r="V44" s="794">
        <v>0.23177494012872324</v>
      </c>
      <c r="W44" s="794"/>
      <c r="X44" s="618"/>
      <c r="Y44" s="610"/>
    </row>
    <row r="45" spans="1:25" ht="12">
      <c r="A45" s="136"/>
      <c r="B45" s="138"/>
      <c r="C45" s="855" t="str">
        <f>"Factor de planta de las centrales RER  Acumulado al "&amp;'1. Resumen'!Q7&amp;" de "&amp;'1. Resumen'!Q4</f>
        <v>Factor de planta de las centrales RER  Acumulado al 31 de enero</v>
      </c>
      <c r="D45" s="855"/>
      <c r="E45" s="855"/>
      <c r="F45" s="855"/>
      <c r="G45" s="855"/>
      <c r="H45" s="855"/>
      <c r="I45" s="855"/>
      <c r="J45" s="138"/>
      <c r="K45" s="138"/>
      <c r="L45" s="790" t="s">
        <v>229</v>
      </c>
      <c r="M45" s="790" t="s">
        <v>80</v>
      </c>
      <c r="N45" s="791">
        <v>20</v>
      </c>
      <c r="O45" s="792">
        <v>5.4851325825000004</v>
      </c>
      <c r="P45" s="792">
        <v>0.3686245015120968</v>
      </c>
      <c r="T45" s="618" t="s">
        <v>229</v>
      </c>
      <c r="U45" s="793">
        <v>0.3686245015120968</v>
      </c>
      <c r="V45" s="794">
        <v>0.281076328125</v>
      </c>
      <c r="W45" s="794"/>
      <c r="X45" s="618"/>
      <c r="Y45" s="610"/>
    </row>
    <row r="46" spans="1:25" ht="9.75" customHeight="1">
      <c r="A46" s="136"/>
      <c r="B46" s="138"/>
      <c r="C46" s="138"/>
      <c r="D46" s="138"/>
      <c r="E46" s="138"/>
      <c r="F46" s="138"/>
      <c r="G46" s="138"/>
      <c r="H46" s="138"/>
      <c r="I46" s="138"/>
      <c r="J46" s="138"/>
      <c r="K46" s="138"/>
      <c r="L46" s="790" t="s">
        <v>230</v>
      </c>
      <c r="M46" s="790" t="s">
        <v>80</v>
      </c>
      <c r="N46" s="791">
        <v>20</v>
      </c>
      <c r="O46" s="792">
        <v>5.4691903625</v>
      </c>
      <c r="P46" s="792">
        <v>0.36755311575940863</v>
      </c>
      <c r="T46" s="618" t="s">
        <v>230</v>
      </c>
      <c r="U46" s="793">
        <v>0.36755311575940863</v>
      </c>
      <c r="V46" s="794">
        <v>0.26936278797043012</v>
      </c>
      <c r="W46" s="794"/>
      <c r="X46" s="618"/>
      <c r="Y46" s="610"/>
    </row>
    <row r="47" spans="1:25" ht="9.75" customHeight="1">
      <c r="A47" s="136"/>
      <c r="B47" s="138"/>
      <c r="C47" s="138"/>
      <c r="D47" s="138"/>
      <c r="E47" s="138"/>
      <c r="F47" s="138"/>
      <c r="G47" s="138"/>
      <c r="H47" s="138"/>
      <c r="I47" s="138"/>
      <c r="J47" s="138"/>
      <c r="K47" s="138"/>
      <c r="L47" s="790" t="s">
        <v>81</v>
      </c>
      <c r="M47" s="790" t="s">
        <v>80</v>
      </c>
      <c r="N47" s="791">
        <v>16</v>
      </c>
      <c r="O47" s="792">
        <v>4.5176643775000001</v>
      </c>
      <c r="P47" s="792">
        <v>0.37950809622815862</v>
      </c>
      <c r="T47" s="618" t="s">
        <v>81</v>
      </c>
      <c r="U47" s="793">
        <v>0.37950809622815862</v>
      </c>
      <c r="V47" s="794">
        <v>0.31162342804939519</v>
      </c>
      <c r="X47" s="618"/>
      <c r="Y47" s="610"/>
    </row>
    <row r="48" spans="1:25" ht="9.75" customHeight="1">
      <c r="A48" s="136"/>
      <c r="B48" s="138"/>
      <c r="C48" s="138"/>
      <c r="D48" s="138"/>
      <c r="E48" s="138"/>
      <c r="F48" s="138"/>
      <c r="G48" s="138"/>
      <c r="H48" s="138"/>
      <c r="I48" s="138"/>
      <c r="J48" s="138"/>
      <c r="K48" s="138"/>
      <c r="L48" s="790" t="s">
        <v>231</v>
      </c>
      <c r="M48" s="790" t="s">
        <v>80</v>
      </c>
      <c r="N48" s="791">
        <v>20</v>
      </c>
      <c r="O48" s="792">
        <v>3.5188223999999999</v>
      </c>
      <c r="P48" s="792">
        <v>0.23648</v>
      </c>
      <c r="S48" s="618" t="s">
        <v>431</v>
      </c>
      <c r="T48" s="618" t="s">
        <v>231</v>
      </c>
      <c r="U48" s="793">
        <v>0.23648</v>
      </c>
      <c r="V48" s="794">
        <v>0.22445485887096775</v>
      </c>
      <c r="X48" s="618"/>
      <c r="Y48" s="610"/>
    </row>
    <row r="49" spans="1:25" ht="9.75" customHeight="1">
      <c r="A49" s="136"/>
      <c r="B49" s="138"/>
      <c r="C49" s="138"/>
      <c r="D49" s="138"/>
      <c r="E49" s="138"/>
      <c r="F49" s="138"/>
      <c r="G49" s="138"/>
      <c r="H49" s="138"/>
      <c r="I49" s="138"/>
      <c r="J49" s="138"/>
      <c r="K49" s="138"/>
      <c r="L49" s="790" t="s">
        <v>82</v>
      </c>
      <c r="M49" s="790" t="s">
        <v>80</v>
      </c>
      <c r="N49" s="791">
        <v>20</v>
      </c>
      <c r="O49" s="792">
        <v>3.4559144824999999</v>
      </c>
      <c r="P49" s="792">
        <v>0.23225231737231181</v>
      </c>
      <c r="T49" s="618" t="s">
        <v>82</v>
      </c>
      <c r="U49" s="793">
        <v>0.23225231737231181</v>
      </c>
      <c r="V49" s="794">
        <v>0.20990417305107528</v>
      </c>
      <c r="X49" s="618"/>
      <c r="Y49" s="610"/>
    </row>
    <row r="50" spans="1:25" ht="9.75" customHeight="1">
      <c r="A50" s="136"/>
      <c r="B50" s="138"/>
      <c r="C50" s="138"/>
      <c r="D50" s="138"/>
      <c r="E50" s="138"/>
      <c r="F50" s="138"/>
      <c r="G50" s="138"/>
      <c r="H50" s="138"/>
      <c r="I50" s="138"/>
      <c r="J50" s="138"/>
      <c r="K50" s="138"/>
      <c r="L50" s="790" t="s">
        <v>83</v>
      </c>
      <c r="M50" s="790" t="s">
        <v>400</v>
      </c>
      <c r="N50" s="791">
        <v>12.74105</v>
      </c>
      <c r="O50" s="792">
        <v>8.8415323050000012</v>
      </c>
      <c r="P50" s="792">
        <v>0.93271590487744038</v>
      </c>
      <c r="T50" s="618" t="s">
        <v>83</v>
      </c>
      <c r="U50" s="793">
        <v>0.93271590487744038</v>
      </c>
      <c r="V50" s="794">
        <v>0.79770413475569391</v>
      </c>
    </row>
    <row r="51" spans="1:25" ht="20.25" customHeight="1">
      <c r="A51" s="136"/>
      <c r="B51" s="138"/>
      <c r="C51" s="138"/>
      <c r="D51" s="138"/>
      <c r="E51" s="138"/>
      <c r="F51" s="138"/>
      <c r="G51" s="138"/>
      <c r="H51" s="138"/>
      <c r="I51" s="138"/>
      <c r="J51" s="138"/>
      <c r="K51" s="138"/>
      <c r="L51" s="790" t="s">
        <v>84</v>
      </c>
      <c r="M51" s="790" t="s">
        <v>400</v>
      </c>
      <c r="N51" s="791">
        <v>4.2625000000000002</v>
      </c>
      <c r="O51" s="792">
        <v>2.9363544675000002</v>
      </c>
      <c r="P51" s="792">
        <v>0.9259150718948066</v>
      </c>
      <c r="T51" s="617" t="s">
        <v>84</v>
      </c>
      <c r="U51" s="793">
        <v>0.9259150718948066</v>
      </c>
      <c r="V51" s="794">
        <v>0.8319406867845992</v>
      </c>
    </row>
    <row r="52" spans="1:25" ht="9.75" customHeight="1">
      <c r="A52" s="136"/>
      <c r="B52" s="138"/>
      <c r="C52" s="138"/>
      <c r="D52" s="138"/>
      <c r="E52" s="138"/>
      <c r="F52" s="138"/>
      <c r="G52" s="138"/>
      <c r="H52" s="138"/>
      <c r="I52" s="138"/>
      <c r="J52" s="138"/>
      <c r="K52" s="138"/>
      <c r="L52" s="790" t="s">
        <v>85</v>
      </c>
      <c r="M52" s="790" t="s">
        <v>400</v>
      </c>
      <c r="N52" s="791">
        <v>2.9537</v>
      </c>
      <c r="O52" s="792">
        <v>1.9834555725</v>
      </c>
      <c r="P52" s="792">
        <v>0.90257470605484436</v>
      </c>
      <c r="T52" s="618" t="s">
        <v>85</v>
      </c>
      <c r="U52" s="793">
        <v>0.90257470605484436</v>
      </c>
      <c r="V52" s="794">
        <v>0.3673033703672558</v>
      </c>
    </row>
    <row r="53" spans="1:25" ht="9.75" customHeight="1">
      <c r="B53" s="138"/>
      <c r="C53" s="138"/>
      <c r="D53" s="138"/>
      <c r="E53" s="138"/>
      <c r="F53" s="138"/>
      <c r="G53" s="138"/>
      <c r="H53" s="138"/>
      <c r="I53" s="138"/>
      <c r="J53" s="138"/>
      <c r="K53" s="138"/>
      <c r="L53" s="790" t="s">
        <v>478</v>
      </c>
      <c r="M53" s="790" t="s">
        <v>400</v>
      </c>
      <c r="N53" s="791">
        <v>2.4</v>
      </c>
      <c r="O53" s="792">
        <v>1.4595317300000001</v>
      </c>
      <c r="P53" s="792">
        <v>0.81739008176523309</v>
      </c>
      <c r="T53" s="618" t="s">
        <v>478</v>
      </c>
      <c r="U53" s="618">
        <v>0.81739008176523309</v>
      </c>
    </row>
    <row r="54" spans="1:25" ht="30.75" customHeight="1">
      <c r="L54" s="618" t="s">
        <v>424</v>
      </c>
      <c r="M54" s="790" t="s">
        <v>400</v>
      </c>
      <c r="N54" s="791">
        <v>2.4</v>
      </c>
      <c r="O54" s="792">
        <v>1.4138110925</v>
      </c>
      <c r="P54" s="792">
        <v>0.79178488603270614</v>
      </c>
      <c r="T54" s="618" t="s">
        <v>424</v>
      </c>
      <c r="U54" s="618">
        <v>0.79178488603270614</v>
      </c>
    </row>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851"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enero.
Nota: Son consideradas las centrales con operación comercial</v>
      </c>
      <c r="B64" s="851"/>
      <c r="C64" s="851"/>
      <c r="D64" s="851"/>
      <c r="E64" s="851"/>
      <c r="F64" s="851"/>
      <c r="G64" s="851"/>
      <c r="H64" s="851"/>
      <c r="I64" s="851"/>
      <c r="J64" s="851"/>
      <c r="K64" s="851"/>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1"/>
  <sheetViews>
    <sheetView showGridLines="0" view="pageBreakPreview" zoomScaleNormal="100" zoomScaleSheetLayoutView="100" zoomScalePageLayoutView="115" workbookViewId="0">
      <selection activeCell="S15" sqref="S15"/>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customWidth="1"/>
    <col min="12" max="12" width="19.140625" style="283" customWidth="1"/>
    <col min="13" max="14" width="9.42578125" style="283" bestFit="1" customWidth="1"/>
  </cols>
  <sheetData>
    <row r="1" spans="1:14" ht="11.25" customHeight="1">
      <c r="A1" s="852" t="s">
        <v>233</v>
      </c>
      <c r="B1" s="852"/>
      <c r="C1" s="852"/>
      <c r="D1" s="852"/>
      <c r="E1" s="852"/>
      <c r="F1" s="852"/>
      <c r="G1" s="852"/>
      <c r="H1" s="852"/>
      <c r="I1" s="852"/>
      <c r="J1" s="17"/>
    </row>
    <row r="2" spans="1:14" ht="6" customHeight="1">
      <c r="A2" s="17"/>
      <c r="B2" s="17"/>
      <c r="C2" s="17"/>
      <c r="D2" s="17"/>
      <c r="E2" s="17"/>
      <c r="F2" s="17"/>
      <c r="G2" s="17"/>
      <c r="H2" s="17"/>
      <c r="I2" s="17"/>
      <c r="J2" s="17"/>
      <c r="K2" s="311"/>
      <c r="L2" s="750"/>
    </row>
    <row r="3" spans="1:14" ht="11.25" customHeight="1">
      <c r="A3" s="858" t="s">
        <v>243</v>
      </c>
      <c r="B3" s="859" t="str">
        <f>+'1. Resumen'!Q4</f>
        <v>enero</v>
      </c>
      <c r="C3" s="860"/>
      <c r="D3" s="860"/>
      <c r="E3" s="138"/>
      <c r="F3" s="138"/>
      <c r="G3" s="861" t="s">
        <v>613</v>
      </c>
      <c r="H3" s="861"/>
      <c r="I3" s="861"/>
      <c r="J3" s="138"/>
      <c r="L3" s="751"/>
      <c r="M3" s="752">
        <v>2021</v>
      </c>
      <c r="N3" s="752">
        <v>2020</v>
      </c>
    </row>
    <row r="4" spans="1:14" ht="11.25" customHeight="1">
      <c r="A4" s="858"/>
      <c r="B4" s="391">
        <f>+'1. Resumen'!Q5</f>
        <v>2021</v>
      </c>
      <c r="C4" s="392">
        <f>+B4-1</f>
        <v>2020</v>
      </c>
      <c r="D4" s="392" t="s">
        <v>35</v>
      </c>
      <c r="E4" s="138"/>
      <c r="F4" s="138"/>
      <c r="G4" s="138"/>
      <c r="H4" s="138"/>
      <c r="I4" s="138"/>
      <c r="J4" s="138"/>
      <c r="K4" s="313"/>
      <c r="L4" s="753" t="s">
        <v>100</v>
      </c>
      <c r="M4" s="754">
        <v>0</v>
      </c>
      <c r="N4" s="754">
        <v>129.705170025</v>
      </c>
    </row>
    <row r="5" spans="1:14" ht="10.5" customHeight="1">
      <c r="A5" s="689" t="s">
        <v>407</v>
      </c>
      <c r="B5" s="690">
        <v>776.24884166000004</v>
      </c>
      <c r="C5" s="691">
        <v>663.37696624500006</v>
      </c>
      <c r="D5" s="692">
        <f>IF(C5=0,"",B5/C5-1)</f>
        <v>0.17014741415262513</v>
      </c>
      <c r="E5" s="138"/>
      <c r="F5" s="138"/>
      <c r="G5" s="138"/>
      <c r="H5" s="138"/>
      <c r="I5" s="138"/>
      <c r="J5" s="138"/>
      <c r="K5" s="314"/>
      <c r="L5" s="753" t="s">
        <v>242</v>
      </c>
      <c r="M5" s="754">
        <v>0</v>
      </c>
      <c r="N5" s="754">
        <v>0.20006380000000001</v>
      </c>
    </row>
    <row r="6" spans="1:14" ht="10.5" customHeight="1">
      <c r="A6" s="693" t="s">
        <v>88</v>
      </c>
      <c r="B6" s="694">
        <v>643.22068201499997</v>
      </c>
      <c r="C6" s="694">
        <v>486.53379905999998</v>
      </c>
      <c r="D6" s="695">
        <f t="shared" ref="D6:D65" si="0">IF(C6=0,"",B6/C6-1)</f>
        <v>0.32204727247670029</v>
      </c>
      <c r="E6" s="339"/>
      <c r="F6" s="138"/>
      <c r="G6" s="138"/>
      <c r="H6" s="138"/>
      <c r="I6" s="138"/>
      <c r="J6" s="138"/>
      <c r="L6" s="754" t="s">
        <v>116</v>
      </c>
      <c r="M6" s="754">
        <v>2.1483507500000002E-2</v>
      </c>
      <c r="N6" s="754">
        <v>0.1051561325</v>
      </c>
    </row>
    <row r="7" spans="1:14" ht="10.5" customHeight="1">
      <c r="A7" s="689" t="s">
        <v>89</v>
      </c>
      <c r="B7" s="691">
        <v>627.16523831999996</v>
      </c>
      <c r="C7" s="691">
        <v>631.95832608000001</v>
      </c>
      <c r="D7" s="692">
        <f t="shared" si="0"/>
        <v>-7.5844997402459979E-3</v>
      </c>
      <c r="E7" s="138"/>
      <c r="F7" s="138"/>
      <c r="G7" s="138"/>
      <c r="H7" s="138"/>
      <c r="I7" s="138"/>
      <c r="J7" s="138"/>
      <c r="L7" s="753" t="s">
        <v>102</v>
      </c>
      <c r="M7" s="754">
        <v>7.1470162500000003E-2</v>
      </c>
      <c r="N7" s="754">
        <v>19.350334005000001</v>
      </c>
    </row>
    <row r="8" spans="1:14" ht="10.5" customHeight="1">
      <c r="A8" s="693" t="s">
        <v>235</v>
      </c>
      <c r="B8" s="694">
        <v>319.85137370500001</v>
      </c>
      <c r="C8" s="694">
        <v>336.79004070500002</v>
      </c>
      <c r="D8" s="695">
        <f t="shared" si="0"/>
        <v>-5.029444149993989E-2</v>
      </c>
      <c r="E8" s="138"/>
      <c r="F8" s="138"/>
      <c r="G8" s="138"/>
      <c r="H8" s="138"/>
      <c r="I8" s="138"/>
      <c r="J8" s="138"/>
      <c r="L8" s="753" t="s">
        <v>119</v>
      </c>
      <c r="M8" s="754">
        <v>9.4973550000000004E-2</v>
      </c>
      <c r="N8" s="754">
        <v>0</v>
      </c>
    </row>
    <row r="9" spans="1:14" ht="10.5" customHeight="1">
      <c r="A9" s="689" t="s">
        <v>87</v>
      </c>
      <c r="B9" s="691">
        <v>298.60253707749996</v>
      </c>
      <c r="C9" s="691">
        <v>608.22090282749991</v>
      </c>
      <c r="D9" s="692">
        <f t="shared" si="0"/>
        <v>-0.50905577942264857</v>
      </c>
      <c r="E9" s="138"/>
      <c r="F9" s="138"/>
      <c r="G9" s="138"/>
      <c r="H9" s="138"/>
      <c r="I9" s="138"/>
      <c r="J9" s="138"/>
      <c r="K9" s="313"/>
      <c r="L9" s="754" t="s">
        <v>573</v>
      </c>
      <c r="M9" s="754">
        <v>0.1918026025</v>
      </c>
      <c r="N9" s="754">
        <v>0.4659088475</v>
      </c>
    </row>
    <row r="10" spans="1:14" ht="10.5" customHeight="1">
      <c r="A10" s="693" t="s">
        <v>90</v>
      </c>
      <c r="B10" s="694">
        <v>268.61958958500003</v>
      </c>
      <c r="C10" s="694">
        <v>253.48836488750007</v>
      </c>
      <c r="D10" s="695">
        <f t="shared" si="0"/>
        <v>5.969198903553341E-2</v>
      </c>
      <c r="E10" s="138"/>
      <c r="F10" s="138"/>
      <c r="G10" s="138"/>
      <c r="H10" s="138"/>
      <c r="I10" s="138"/>
      <c r="J10" s="138"/>
      <c r="K10" s="314"/>
      <c r="L10" s="754" t="s">
        <v>241</v>
      </c>
      <c r="M10" s="754">
        <v>0.33336389</v>
      </c>
      <c r="N10" s="754">
        <v>1.610865E-3</v>
      </c>
    </row>
    <row r="11" spans="1:14" ht="10.5" customHeight="1">
      <c r="A11" s="689" t="s">
        <v>239</v>
      </c>
      <c r="B11" s="691">
        <v>246.13445468500001</v>
      </c>
      <c r="C11" s="691">
        <v>239.27404858999995</v>
      </c>
      <c r="D11" s="692">
        <f t="shared" si="0"/>
        <v>2.8671751639708587E-2</v>
      </c>
      <c r="E11" s="138"/>
      <c r="F11" s="138"/>
      <c r="G11" s="138"/>
      <c r="H11" s="138"/>
      <c r="I11" s="138"/>
      <c r="J11" s="138"/>
      <c r="K11" s="314"/>
      <c r="L11" s="754" t="s">
        <v>234</v>
      </c>
      <c r="M11" s="754">
        <v>0.38257469</v>
      </c>
      <c r="N11" s="754">
        <v>0.37828250250000001</v>
      </c>
    </row>
    <row r="12" spans="1:14" ht="10.5" customHeight="1">
      <c r="A12" s="693" t="s">
        <v>94</v>
      </c>
      <c r="B12" s="694">
        <v>137.38341464500002</v>
      </c>
      <c r="C12" s="694">
        <v>142.41563111249999</v>
      </c>
      <c r="D12" s="696">
        <f t="shared" si="0"/>
        <v>-3.5334720130017372E-2</v>
      </c>
      <c r="E12" s="138"/>
      <c r="F12" s="138"/>
      <c r="G12" s="138"/>
      <c r="H12" s="138"/>
      <c r="I12" s="138"/>
      <c r="J12" s="138"/>
      <c r="K12" s="314"/>
      <c r="L12" s="753" t="s">
        <v>409</v>
      </c>
      <c r="M12" s="754">
        <v>0.44014800000000004</v>
      </c>
      <c r="N12" s="754">
        <v>0.58029274999999991</v>
      </c>
    </row>
    <row r="13" spans="1:14" ht="10.5" customHeight="1">
      <c r="A13" s="689" t="s">
        <v>93</v>
      </c>
      <c r="B13" s="691">
        <v>124.25939812499999</v>
      </c>
      <c r="C13" s="691">
        <v>139.15979503</v>
      </c>
      <c r="D13" s="692">
        <f t="shared" si="0"/>
        <v>-0.10707400727191208</v>
      </c>
      <c r="E13" s="138"/>
      <c r="F13" s="138"/>
      <c r="G13" s="138"/>
      <c r="H13" s="138"/>
      <c r="I13" s="138"/>
      <c r="J13" s="138"/>
      <c r="K13" s="314"/>
      <c r="L13" s="753" t="s">
        <v>117</v>
      </c>
      <c r="M13" s="754">
        <v>0.54783606250000005</v>
      </c>
      <c r="N13" s="754">
        <v>5.3339749999999995E-3</v>
      </c>
    </row>
    <row r="14" spans="1:14" ht="10.5" customHeight="1">
      <c r="A14" s="693" t="s">
        <v>92</v>
      </c>
      <c r="B14" s="694">
        <v>121.60270070749999</v>
      </c>
      <c r="C14" s="694">
        <v>119.16723963499999</v>
      </c>
      <c r="D14" s="695">
        <f t="shared" si="0"/>
        <v>2.043733730813635E-2</v>
      </c>
      <c r="E14" s="138"/>
      <c r="F14" s="138"/>
      <c r="G14" s="138"/>
      <c r="H14" s="138"/>
      <c r="I14" s="138"/>
      <c r="J14" s="138"/>
      <c r="K14" s="314"/>
      <c r="L14" s="754" t="s">
        <v>567</v>
      </c>
      <c r="M14" s="754">
        <v>0.98530925499999999</v>
      </c>
      <c r="N14" s="754"/>
    </row>
    <row r="15" spans="1:14" ht="10.5" customHeight="1">
      <c r="A15" s="689" t="s">
        <v>237</v>
      </c>
      <c r="B15" s="691">
        <v>118.61519201500001</v>
      </c>
      <c r="C15" s="691">
        <v>58.898253132500002</v>
      </c>
      <c r="D15" s="692">
        <f t="shared" si="0"/>
        <v>1.0139000005341119</v>
      </c>
      <c r="E15" s="138"/>
      <c r="F15" s="138"/>
      <c r="G15" s="138"/>
      <c r="H15" s="138"/>
      <c r="I15" s="138"/>
      <c r="J15" s="138" t="s">
        <v>8</v>
      </c>
      <c r="K15" s="314"/>
      <c r="L15" s="754" t="s">
        <v>568</v>
      </c>
      <c r="M15" s="754">
        <v>1.19080147</v>
      </c>
      <c r="N15" s="754"/>
    </row>
    <row r="16" spans="1:14" ht="10.5" customHeight="1">
      <c r="A16" s="693" t="s">
        <v>91</v>
      </c>
      <c r="B16" s="694">
        <v>103.73442551000001</v>
      </c>
      <c r="C16" s="694">
        <v>92.857776629999989</v>
      </c>
      <c r="D16" s="695">
        <f t="shared" si="0"/>
        <v>0.11713234232754655</v>
      </c>
      <c r="E16" s="138"/>
      <c r="F16" s="138"/>
      <c r="G16" s="138"/>
      <c r="H16" s="138"/>
      <c r="I16" s="138"/>
      <c r="J16" s="138"/>
      <c r="K16" s="314"/>
      <c r="L16" s="754" t="s">
        <v>115</v>
      </c>
      <c r="M16" s="754">
        <v>1.8515024325000002</v>
      </c>
      <c r="N16" s="754">
        <v>1.9829955400000001</v>
      </c>
    </row>
    <row r="17" spans="1:14" ht="10.5" customHeight="1">
      <c r="A17" s="689" t="s">
        <v>98</v>
      </c>
      <c r="B17" s="691">
        <v>95.151321380000013</v>
      </c>
      <c r="C17" s="691">
        <v>70.671639060000004</v>
      </c>
      <c r="D17" s="692">
        <f t="shared" si="0"/>
        <v>0.34638622572793065</v>
      </c>
      <c r="E17" s="138"/>
      <c r="F17" s="138"/>
      <c r="G17" s="138"/>
      <c r="H17" s="138"/>
      <c r="I17" s="138"/>
      <c r="J17" s="138"/>
      <c r="K17" s="315"/>
      <c r="L17" s="754" t="s">
        <v>112</v>
      </c>
      <c r="M17" s="754">
        <v>1.8618538750000002</v>
      </c>
      <c r="N17" s="754">
        <v>2.4092336474999998</v>
      </c>
    </row>
    <row r="18" spans="1:14" ht="10.5" customHeight="1">
      <c r="A18" s="693" t="s">
        <v>95</v>
      </c>
      <c r="B18" s="694">
        <v>78.913463842499993</v>
      </c>
      <c r="C18" s="694">
        <v>80.038945152499991</v>
      </c>
      <c r="D18" s="695">
        <f t="shared" si="0"/>
        <v>-1.4061670951005079E-2</v>
      </c>
      <c r="E18" s="138"/>
      <c r="F18" s="138"/>
      <c r="G18" s="138"/>
      <c r="H18" s="138"/>
      <c r="I18" s="138"/>
      <c r="J18" s="138"/>
      <c r="K18" s="314"/>
      <c r="L18" s="753" t="s">
        <v>114</v>
      </c>
      <c r="M18" s="754">
        <v>2.3660000000000001</v>
      </c>
      <c r="N18" s="754">
        <v>2.4491999999999998</v>
      </c>
    </row>
    <row r="19" spans="1:14" ht="10.5" customHeight="1">
      <c r="A19" s="689" t="s">
        <v>425</v>
      </c>
      <c r="B19" s="691">
        <v>66.189807239999993</v>
      </c>
      <c r="C19" s="691">
        <v>63.607033157499998</v>
      </c>
      <c r="D19" s="692">
        <f t="shared" si="0"/>
        <v>4.0605165094002693E-2</v>
      </c>
      <c r="E19" s="138"/>
      <c r="F19" s="138"/>
      <c r="G19" s="138"/>
      <c r="H19" s="138"/>
      <c r="I19" s="138"/>
      <c r="J19" s="138"/>
      <c r="K19" s="314"/>
      <c r="L19" s="754" t="s">
        <v>113</v>
      </c>
      <c r="M19" s="754">
        <v>2.5933447125000004</v>
      </c>
      <c r="N19" s="754">
        <v>2.5218682500000003</v>
      </c>
    </row>
    <row r="20" spans="1:14" ht="10.5" customHeight="1">
      <c r="A20" s="693" t="s">
        <v>96</v>
      </c>
      <c r="B20" s="694">
        <v>52.232765660000005</v>
      </c>
      <c r="C20" s="694">
        <v>54.747452270000004</v>
      </c>
      <c r="D20" s="695">
        <f t="shared" si="0"/>
        <v>-4.5932486457967547E-2</v>
      </c>
      <c r="E20" s="138"/>
      <c r="F20" s="138"/>
      <c r="G20" s="138"/>
      <c r="H20" s="138"/>
      <c r="I20" s="138"/>
      <c r="J20" s="138"/>
      <c r="K20" s="314"/>
      <c r="L20" s="753" t="s">
        <v>566</v>
      </c>
      <c r="M20" s="754">
        <v>3.4559144824999999</v>
      </c>
      <c r="N20" s="754">
        <v>3.123374095</v>
      </c>
    </row>
    <row r="21" spans="1:14" ht="10.5" customHeight="1">
      <c r="A21" s="689" t="s">
        <v>574</v>
      </c>
      <c r="B21" s="691">
        <v>51.880037360000003</v>
      </c>
      <c r="C21" s="691">
        <v>49.805953695000007</v>
      </c>
      <c r="D21" s="692">
        <f t="shared" si="0"/>
        <v>4.1643287822600517E-2</v>
      </c>
      <c r="E21" s="138"/>
      <c r="F21" s="138"/>
      <c r="G21" s="138"/>
      <c r="H21" s="138"/>
      <c r="I21" s="138"/>
      <c r="J21" s="138"/>
      <c r="K21" s="315"/>
      <c r="L21" s="754" t="s">
        <v>565</v>
      </c>
      <c r="M21" s="754">
        <v>3.5188223999999999</v>
      </c>
      <c r="N21" s="754">
        <v>3.3398883000000001</v>
      </c>
    </row>
    <row r="22" spans="1:14" ht="10.5" customHeight="1">
      <c r="A22" s="693" t="s">
        <v>108</v>
      </c>
      <c r="B22" s="694">
        <v>46.359127045000001</v>
      </c>
      <c r="C22" s="694">
        <v>49.1408929125</v>
      </c>
      <c r="D22" s="695">
        <f t="shared" si="0"/>
        <v>-5.6607963401340666E-2</v>
      </c>
      <c r="E22" s="138"/>
      <c r="F22" s="138"/>
      <c r="G22" s="138"/>
      <c r="H22" s="138"/>
      <c r="I22" s="138"/>
      <c r="J22" s="138"/>
      <c r="K22" s="314"/>
      <c r="L22" s="753" t="s">
        <v>426</v>
      </c>
      <c r="M22" s="754">
        <v>4.0068069375000004</v>
      </c>
      <c r="N22" s="754">
        <v>5.3216757449999994</v>
      </c>
    </row>
    <row r="23" spans="1:14" ht="10.5" customHeight="1">
      <c r="A23" s="689" t="s">
        <v>99</v>
      </c>
      <c r="B23" s="691">
        <v>45.996032740000004</v>
      </c>
      <c r="C23" s="691">
        <v>25.691734072500001</v>
      </c>
      <c r="D23" s="692">
        <f t="shared" si="0"/>
        <v>0.79030471863841156</v>
      </c>
      <c r="E23" s="138"/>
      <c r="F23" s="138"/>
      <c r="G23" s="138"/>
      <c r="H23" s="138"/>
      <c r="I23" s="138"/>
      <c r="J23" s="138"/>
      <c r="K23" s="314"/>
      <c r="L23" s="753" t="s">
        <v>105</v>
      </c>
      <c r="M23" s="754">
        <v>4.4965459074999998</v>
      </c>
      <c r="N23" s="754">
        <v>7.2127218224999998</v>
      </c>
    </row>
    <row r="24" spans="1:14" ht="10.5" customHeight="1">
      <c r="A24" s="693" t="s">
        <v>97</v>
      </c>
      <c r="B24" s="694">
        <v>40.922340307500001</v>
      </c>
      <c r="C24" s="694">
        <v>39.322002495</v>
      </c>
      <c r="D24" s="695">
        <f t="shared" si="0"/>
        <v>4.0698278596149606E-2</v>
      </c>
      <c r="E24" s="138"/>
      <c r="F24" s="138"/>
      <c r="G24" s="138"/>
      <c r="H24" s="138"/>
      <c r="I24" s="138"/>
      <c r="J24" s="138"/>
      <c r="K24" s="314"/>
      <c r="L24" s="753" t="s">
        <v>110</v>
      </c>
      <c r="M24" s="754">
        <v>4.5176643775000001</v>
      </c>
      <c r="N24" s="754">
        <v>3.7095652875000003</v>
      </c>
    </row>
    <row r="25" spans="1:14" ht="10.5" customHeight="1">
      <c r="A25" s="689" t="s">
        <v>236</v>
      </c>
      <c r="B25" s="691">
        <v>39.350211767499999</v>
      </c>
      <c r="C25" s="691">
        <v>28.523541332499999</v>
      </c>
      <c r="D25" s="692">
        <f t="shared" si="0"/>
        <v>0.37956964420347017</v>
      </c>
      <c r="E25" s="138"/>
      <c r="F25" s="138"/>
      <c r="G25" s="138"/>
      <c r="H25" s="138"/>
      <c r="I25" s="138"/>
      <c r="J25" s="138"/>
      <c r="K25" s="314"/>
      <c r="L25" s="754" t="s">
        <v>107</v>
      </c>
      <c r="M25" s="754">
        <v>5.4691903625</v>
      </c>
      <c r="N25" s="754">
        <v>4.0081182850000001</v>
      </c>
    </row>
    <row r="26" spans="1:14" ht="10.5" customHeight="1">
      <c r="A26" s="693" t="s">
        <v>111</v>
      </c>
      <c r="B26" s="694">
        <v>17.661952214999999</v>
      </c>
      <c r="C26" s="694">
        <v>16.63233804</v>
      </c>
      <c r="D26" s="695">
        <f t="shared" si="0"/>
        <v>6.1904355991552418E-2</v>
      </c>
      <c r="E26" s="138"/>
      <c r="F26" s="138"/>
      <c r="G26" s="138"/>
      <c r="H26" s="138"/>
      <c r="I26" s="138"/>
      <c r="J26" s="138"/>
      <c r="K26" s="314"/>
      <c r="L26" s="753" t="s">
        <v>109</v>
      </c>
      <c r="M26" s="754">
        <v>5.4851325825000004</v>
      </c>
      <c r="N26" s="754">
        <v>4.1824157624999998</v>
      </c>
    </row>
    <row r="27" spans="1:14" ht="10.5" customHeight="1">
      <c r="A27" s="697" t="s">
        <v>449</v>
      </c>
      <c r="B27" s="691">
        <v>17.588986509999998</v>
      </c>
      <c r="C27" s="691">
        <v>13.868277039999999</v>
      </c>
      <c r="D27" s="692">
        <f t="shared" si="0"/>
        <v>0.26828923731970677</v>
      </c>
      <c r="E27" s="138"/>
      <c r="F27" s="138"/>
      <c r="G27" s="138"/>
      <c r="H27" s="138"/>
      <c r="I27" s="138"/>
      <c r="J27" s="138"/>
      <c r="K27" s="314"/>
      <c r="L27" s="753" t="s">
        <v>448</v>
      </c>
      <c r="M27" s="754">
        <v>5.5585937599999999</v>
      </c>
      <c r="N27" s="754">
        <v>6.1118906275000002</v>
      </c>
    </row>
    <row r="28" spans="1:14" ht="10.5" customHeight="1">
      <c r="A28" s="698" t="s">
        <v>240</v>
      </c>
      <c r="B28" s="694">
        <v>16.229013415000001</v>
      </c>
      <c r="C28" s="694">
        <v>8.7758588350000011</v>
      </c>
      <c r="D28" s="695">
        <f t="shared" si="0"/>
        <v>0.84927922384932009</v>
      </c>
      <c r="E28" s="138"/>
      <c r="F28" s="138"/>
      <c r="G28" s="138"/>
      <c r="H28" s="138"/>
      <c r="I28" s="138"/>
      <c r="J28" s="138"/>
      <c r="K28" s="314"/>
      <c r="L28" s="753" t="s">
        <v>464</v>
      </c>
      <c r="M28" s="754">
        <v>7.6662428975000001</v>
      </c>
      <c r="N28" s="754"/>
    </row>
    <row r="29" spans="1:14" ht="10.5" customHeight="1">
      <c r="A29" s="699" t="s">
        <v>118</v>
      </c>
      <c r="B29" s="691">
        <v>14.7377346675</v>
      </c>
      <c r="C29" s="691">
        <v>13.416161424999999</v>
      </c>
      <c r="D29" s="692">
        <f t="shared" si="0"/>
        <v>9.8506062996331467E-2</v>
      </c>
      <c r="E29" s="138"/>
      <c r="F29" s="138"/>
      <c r="G29" s="138"/>
      <c r="H29" s="138"/>
      <c r="I29" s="138"/>
      <c r="J29" s="138"/>
      <c r="K29" s="314"/>
      <c r="L29" s="754" t="s">
        <v>408</v>
      </c>
      <c r="M29" s="754">
        <v>7.7931528624999995</v>
      </c>
      <c r="N29" s="754">
        <v>5.0390937000000005</v>
      </c>
    </row>
    <row r="30" spans="1:14" ht="10.5" customHeight="1">
      <c r="A30" s="698" t="s">
        <v>399</v>
      </c>
      <c r="B30" s="694">
        <v>14.708457537500001</v>
      </c>
      <c r="C30" s="694">
        <v>14.664494017499999</v>
      </c>
      <c r="D30" s="695">
        <f t="shared" si="0"/>
        <v>2.9979568301188309E-3</v>
      </c>
      <c r="E30" s="138"/>
      <c r="F30" s="138"/>
      <c r="G30" s="138"/>
      <c r="H30" s="138"/>
      <c r="I30" s="138"/>
      <c r="J30" s="138"/>
      <c r="K30" s="314"/>
      <c r="L30" s="754" t="s">
        <v>106</v>
      </c>
      <c r="M30" s="754">
        <v>8.8415323050000012</v>
      </c>
      <c r="N30" s="754">
        <v>7.5617096699999999</v>
      </c>
    </row>
    <row r="31" spans="1:14" ht="14.25" customHeight="1">
      <c r="A31" s="699" t="s">
        <v>439</v>
      </c>
      <c r="B31" s="691">
        <v>14.5984904125</v>
      </c>
      <c r="C31" s="691">
        <v>12.499723555000001</v>
      </c>
      <c r="D31" s="692">
        <f t="shared" si="0"/>
        <v>0.16790506192118726</v>
      </c>
      <c r="E31" s="138"/>
      <c r="F31" s="138"/>
      <c r="G31" s="138"/>
      <c r="H31" s="138"/>
      <c r="I31" s="138"/>
      <c r="J31" s="138"/>
      <c r="K31" s="314"/>
      <c r="L31" s="754" t="s">
        <v>418</v>
      </c>
      <c r="M31" s="754">
        <v>8.8754785550000008</v>
      </c>
      <c r="N31" s="754">
        <v>7.7106316375000006</v>
      </c>
    </row>
    <row r="32" spans="1:14">
      <c r="A32" s="700" t="s">
        <v>415</v>
      </c>
      <c r="B32" s="694">
        <v>13.7000935225</v>
      </c>
      <c r="C32" s="694">
        <v>8.3610140850000008</v>
      </c>
      <c r="D32" s="695">
        <f t="shared" si="0"/>
        <v>0.63856840608348264</v>
      </c>
      <c r="E32" s="138"/>
      <c r="F32" s="138"/>
      <c r="G32" s="138"/>
      <c r="H32" s="138"/>
      <c r="I32" s="138"/>
      <c r="J32" s="138"/>
      <c r="K32" s="314"/>
      <c r="L32" s="753" t="s">
        <v>103</v>
      </c>
      <c r="M32" s="754">
        <v>11.76186826</v>
      </c>
      <c r="N32" s="754">
        <v>14.402719490000001</v>
      </c>
    </row>
    <row r="33" spans="1:14">
      <c r="A33" s="701" t="s">
        <v>104</v>
      </c>
      <c r="B33" s="691">
        <v>13.499859320000001</v>
      </c>
      <c r="C33" s="691">
        <v>9.6373180749999996</v>
      </c>
      <c r="D33" s="692">
        <f>IF(C33=0,"",B33/C33-1)</f>
        <v>0.40079005538063051</v>
      </c>
      <c r="E33" s="138"/>
      <c r="F33" s="138"/>
      <c r="G33" s="138"/>
      <c r="H33" s="138"/>
      <c r="I33" s="138"/>
      <c r="J33" s="138"/>
      <c r="K33" s="316"/>
      <c r="L33" s="753" t="s">
        <v>238</v>
      </c>
      <c r="M33" s="754">
        <v>11.941666740000001</v>
      </c>
      <c r="N33" s="754">
        <v>14.1152501175</v>
      </c>
    </row>
    <row r="34" spans="1:14">
      <c r="A34" s="700" t="s">
        <v>576</v>
      </c>
      <c r="B34" s="694">
        <v>13.2886087575</v>
      </c>
      <c r="C34" s="694">
        <v>14.034885325000001</v>
      </c>
      <c r="D34" s="695">
        <f t="shared" si="0"/>
        <v>-5.3172972220205894E-2</v>
      </c>
      <c r="E34" s="138"/>
      <c r="F34" s="138"/>
      <c r="G34" s="138"/>
      <c r="H34" s="138"/>
      <c r="I34" s="138"/>
      <c r="J34" s="138"/>
      <c r="K34" s="316"/>
      <c r="L34" s="753" t="s">
        <v>101</v>
      </c>
      <c r="M34" s="754">
        <v>12.671376562500001</v>
      </c>
      <c r="N34" s="754">
        <v>12.247144702499998</v>
      </c>
    </row>
    <row r="35" spans="1:14" ht="12.6" customHeight="1">
      <c r="A35" s="701" t="s">
        <v>101</v>
      </c>
      <c r="B35" s="691">
        <v>12.671376562500001</v>
      </c>
      <c r="C35" s="691">
        <v>12.247144702499998</v>
      </c>
      <c r="D35" s="692">
        <f t="shared" si="0"/>
        <v>3.463924615126035E-2</v>
      </c>
      <c r="E35" s="138"/>
      <c r="F35" s="138"/>
      <c r="G35" s="138"/>
      <c r="H35" s="138"/>
      <c r="I35" s="138"/>
      <c r="J35" s="138"/>
      <c r="K35" s="315"/>
      <c r="L35" s="753" t="s">
        <v>576</v>
      </c>
      <c r="M35" s="754">
        <v>13.2886087575</v>
      </c>
      <c r="N35" s="754">
        <v>14.034885325000001</v>
      </c>
    </row>
    <row r="36" spans="1:14" ht="13.95" customHeight="1">
      <c r="A36" s="700" t="s">
        <v>238</v>
      </c>
      <c r="B36" s="694">
        <v>11.941666740000001</v>
      </c>
      <c r="C36" s="694">
        <v>14.1152501175</v>
      </c>
      <c r="D36" s="695">
        <f t="shared" si="0"/>
        <v>-0.1539883005548166</v>
      </c>
      <c r="E36" s="138"/>
      <c r="F36" s="138"/>
      <c r="G36" s="138"/>
      <c r="H36" s="138"/>
      <c r="I36" s="138"/>
      <c r="J36" s="138"/>
      <c r="K36" s="315"/>
      <c r="L36" s="754" t="s">
        <v>104</v>
      </c>
      <c r="M36" s="754">
        <v>13.499859320000001</v>
      </c>
      <c r="N36" s="754">
        <v>9.6373180749999996</v>
      </c>
    </row>
    <row r="37" spans="1:14" ht="10.5" customHeight="1">
      <c r="A37" s="701" t="s">
        <v>103</v>
      </c>
      <c r="B37" s="691">
        <v>11.76186826</v>
      </c>
      <c r="C37" s="691">
        <v>14.402719490000001</v>
      </c>
      <c r="D37" s="692">
        <f t="shared" si="0"/>
        <v>-0.1833578187670446</v>
      </c>
      <c r="E37" s="138"/>
      <c r="F37" s="138"/>
      <c r="G37" s="138"/>
      <c r="H37" s="138"/>
      <c r="I37" s="138"/>
      <c r="J37" s="138"/>
      <c r="K37" s="315"/>
      <c r="L37" s="753" t="s">
        <v>415</v>
      </c>
      <c r="M37" s="754">
        <v>13.7000935225</v>
      </c>
      <c r="N37" s="754">
        <v>8.3610140850000008</v>
      </c>
    </row>
    <row r="38" spans="1:14" ht="10.5" customHeight="1">
      <c r="A38" s="700" t="s">
        <v>418</v>
      </c>
      <c r="B38" s="694">
        <v>8.8754785550000008</v>
      </c>
      <c r="C38" s="694">
        <v>7.7106316375000006</v>
      </c>
      <c r="D38" s="695">
        <f t="shared" si="0"/>
        <v>0.15107023292811261</v>
      </c>
      <c r="E38" s="138"/>
      <c r="F38" s="138"/>
      <c r="G38" s="138"/>
      <c r="H38" s="138"/>
      <c r="I38" s="138"/>
      <c r="J38" s="138"/>
      <c r="K38" s="316"/>
      <c r="L38" s="754" t="s">
        <v>439</v>
      </c>
      <c r="M38" s="754">
        <v>14.5984904125</v>
      </c>
      <c r="N38" s="754">
        <v>12.499723555000001</v>
      </c>
    </row>
    <row r="39" spans="1:14" ht="10.5" customHeight="1">
      <c r="A39" s="701" t="s">
        <v>106</v>
      </c>
      <c r="B39" s="691">
        <v>8.8415323050000012</v>
      </c>
      <c r="C39" s="691">
        <v>7.5617096699999999</v>
      </c>
      <c r="D39" s="692">
        <f t="shared" si="0"/>
        <v>0.16925043288523955</v>
      </c>
      <c r="E39" s="138"/>
      <c r="F39" s="138"/>
      <c r="G39" s="138"/>
      <c r="H39" s="138"/>
      <c r="I39" s="138"/>
      <c r="J39" s="138"/>
      <c r="K39" s="316"/>
      <c r="L39" s="753" t="s">
        <v>399</v>
      </c>
      <c r="M39" s="754">
        <v>14.708457537500001</v>
      </c>
      <c r="N39" s="754">
        <v>14.664494017499999</v>
      </c>
    </row>
    <row r="40" spans="1:14" ht="10.5" customHeight="1">
      <c r="A40" s="698" t="s">
        <v>408</v>
      </c>
      <c r="B40" s="694">
        <v>7.7931528624999995</v>
      </c>
      <c r="C40" s="694">
        <v>5.0390937000000005</v>
      </c>
      <c r="D40" s="695">
        <f t="shared" si="0"/>
        <v>0.54653858936975097</v>
      </c>
      <c r="E40" s="138"/>
      <c r="F40" s="138"/>
      <c r="G40" s="138"/>
      <c r="H40" s="138"/>
      <c r="I40" s="138"/>
      <c r="J40" s="138"/>
      <c r="K40" s="316"/>
      <c r="L40" s="754" t="s">
        <v>118</v>
      </c>
      <c r="M40" s="754">
        <v>14.7377346675</v>
      </c>
      <c r="N40" s="754">
        <v>13.416161424999999</v>
      </c>
    </row>
    <row r="41" spans="1:14" ht="10.5" customHeight="1">
      <c r="A41" s="699" t="s">
        <v>464</v>
      </c>
      <c r="B41" s="691">
        <v>7.6662428975000001</v>
      </c>
      <c r="C41" s="691"/>
      <c r="D41" s="692" t="str">
        <f t="shared" si="0"/>
        <v/>
      </c>
      <c r="E41" s="138"/>
      <c r="F41" s="138"/>
      <c r="G41" s="138"/>
      <c r="H41" s="138"/>
      <c r="I41" s="138"/>
      <c r="J41" s="138"/>
      <c r="L41" s="753" t="s">
        <v>240</v>
      </c>
      <c r="M41" s="754">
        <v>16.229013415000001</v>
      </c>
      <c r="N41" s="754">
        <v>8.7758588350000011</v>
      </c>
    </row>
    <row r="42" spans="1:14" ht="10.5" customHeight="1">
      <c r="A42" s="698" t="s">
        <v>448</v>
      </c>
      <c r="B42" s="694">
        <v>5.5585937599999999</v>
      </c>
      <c r="C42" s="694">
        <v>6.1118906275000002</v>
      </c>
      <c r="D42" s="695">
        <f t="shared" si="0"/>
        <v>-9.0527939916084543E-2</v>
      </c>
      <c r="E42" s="138"/>
      <c r="F42" s="138"/>
      <c r="G42" s="138"/>
      <c r="H42" s="138"/>
      <c r="I42" s="138"/>
      <c r="J42" s="138"/>
      <c r="L42" s="753" t="s">
        <v>449</v>
      </c>
      <c r="M42" s="754">
        <v>17.588986509999998</v>
      </c>
      <c r="N42" s="754">
        <v>13.868277039999999</v>
      </c>
    </row>
    <row r="43" spans="1:14" ht="10.5" customHeight="1">
      <c r="A43" s="699" t="s">
        <v>109</v>
      </c>
      <c r="B43" s="691">
        <v>5.4851325825000004</v>
      </c>
      <c r="C43" s="691">
        <v>4.1824157624999998</v>
      </c>
      <c r="D43" s="692">
        <f t="shared" si="0"/>
        <v>0.31147472991095304</v>
      </c>
      <c r="E43" s="138"/>
      <c r="F43" s="138"/>
      <c r="G43" s="138"/>
      <c r="H43" s="138"/>
      <c r="I43" s="138"/>
      <c r="J43" s="138"/>
      <c r="L43" s="755" t="s">
        <v>111</v>
      </c>
      <c r="M43" s="754">
        <v>17.661952214999999</v>
      </c>
      <c r="N43" s="754">
        <v>16.63233804</v>
      </c>
    </row>
    <row r="44" spans="1:14" ht="10.5" customHeight="1">
      <c r="A44" s="698" t="s">
        <v>107</v>
      </c>
      <c r="B44" s="694">
        <v>5.4691903625</v>
      </c>
      <c r="C44" s="694">
        <v>4.0081182850000001</v>
      </c>
      <c r="D44" s="695">
        <f t="shared" si="0"/>
        <v>0.36452818345404681</v>
      </c>
      <c r="E44" s="138"/>
      <c r="F44" s="138"/>
      <c r="G44" s="138"/>
      <c r="H44" s="138"/>
      <c r="I44" s="138"/>
      <c r="J44" s="138"/>
      <c r="L44" s="753" t="s">
        <v>236</v>
      </c>
      <c r="M44" s="754">
        <v>39.350211767499999</v>
      </c>
      <c r="N44" s="754">
        <v>28.523541332499999</v>
      </c>
    </row>
    <row r="45" spans="1:14" ht="10.5" customHeight="1">
      <c r="A45" s="699" t="s">
        <v>110</v>
      </c>
      <c r="B45" s="691">
        <v>4.5176643775000001</v>
      </c>
      <c r="C45" s="691">
        <v>3.7095652875000003</v>
      </c>
      <c r="D45" s="692">
        <f t="shared" si="0"/>
        <v>0.21784199154629369</v>
      </c>
      <c r="E45" s="138"/>
      <c r="F45" s="138"/>
      <c r="G45" s="138"/>
      <c r="H45" s="138"/>
      <c r="I45" s="138"/>
      <c r="J45" s="138"/>
      <c r="L45" s="753" t="s">
        <v>97</v>
      </c>
      <c r="M45" s="754">
        <v>40.922340307500001</v>
      </c>
      <c r="N45" s="754">
        <v>39.322002495</v>
      </c>
    </row>
    <row r="46" spans="1:14" ht="10.5" customHeight="1">
      <c r="A46" s="698" t="s">
        <v>105</v>
      </c>
      <c r="B46" s="694">
        <v>4.4965459074999998</v>
      </c>
      <c r="C46" s="694">
        <v>7.2127218224999998</v>
      </c>
      <c r="D46" s="695">
        <f t="shared" si="0"/>
        <v>-0.37658126596909947</v>
      </c>
      <c r="E46" s="138"/>
      <c r="F46" s="138"/>
      <c r="G46" s="138"/>
      <c r="H46" s="138"/>
      <c r="I46" s="138"/>
      <c r="J46" s="138"/>
      <c r="L46" s="753" t="s">
        <v>99</v>
      </c>
      <c r="M46" s="754">
        <v>45.996032740000004</v>
      </c>
      <c r="N46" s="754">
        <v>25.691734072500001</v>
      </c>
    </row>
    <row r="47" spans="1:14" ht="13.95" customHeight="1">
      <c r="A47" s="701" t="s">
        <v>426</v>
      </c>
      <c r="B47" s="691">
        <v>4.0068069375000004</v>
      </c>
      <c r="C47" s="691">
        <v>5.3216757449999994</v>
      </c>
      <c r="D47" s="692">
        <f t="shared" si="0"/>
        <v>-0.24707796387921399</v>
      </c>
      <c r="E47" s="138"/>
      <c r="F47" s="138"/>
      <c r="G47" s="138"/>
      <c r="H47" s="138"/>
      <c r="I47" s="138"/>
      <c r="J47" s="138"/>
      <c r="L47" s="754" t="s">
        <v>108</v>
      </c>
      <c r="M47" s="754">
        <v>46.359127045000001</v>
      </c>
      <c r="N47" s="754">
        <v>49.1408929125</v>
      </c>
    </row>
    <row r="48" spans="1:14" ht="10.5" customHeight="1">
      <c r="A48" s="698" t="s">
        <v>565</v>
      </c>
      <c r="B48" s="694">
        <v>3.5188223999999999</v>
      </c>
      <c r="C48" s="694">
        <v>3.3398883000000001</v>
      </c>
      <c r="D48" s="695">
        <f t="shared" si="0"/>
        <v>5.357487554299345E-2</v>
      </c>
      <c r="E48" s="138"/>
      <c r="F48" s="138"/>
      <c r="G48" s="138"/>
      <c r="H48" s="138"/>
      <c r="I48" s="138"/>
      <c r="J48" s="138"/>
      <c r="L48" s="756" t="s">
        <v>574</v>
      </c>
      <c r="M48" s="754">
        <v>51.880037360000003</v>
      </c>
      <c r="N48" s="754">
        <v>49.805953695000007</v>
      </c>
    </row>
    <row r="49" spans="1:14" ht="10.5" customHeight="1">
      <c r="A49" s="699" t="s">
        <v>566</v>
      </c>
      <c r="B49" s="691">
        <v>3.4559144824999999</v>
      </c>
      <c r="C49" s="691">
        <v>3.123374095</v>
      </c>
      <c r="D49" s="692">
        <f t="shared" si="0"/>
        <v>0.10646831835877157</v>
      </c>
      <c r="E49" s="138"/>
      <c r="F49" s="138"/>
      <c r="G49" s="138"/>
      <c r="H49" s="138"/>
      <c r="I49" s="138"/>
      <c r="J49" s="138"/>
      <c r="L49" s="753" t="s">
        <v>96</v>
      </c>
      <c r="M49" s="754">
        <v>52.232765660000005</v>
      </c>
      <c r="N49" s="754">
        <v>54.747452270000004</v>
      </c>
    </row>
    <row r="50" spans="1:14" ht="12" customHeight="1">
      <c r="A50" s="700" t="s">
        <v>113</v>
      </c>
      <c r="B50" s="694">
        <v>2.5933447125000004</v>
      </c>
      <c r="C50" s="694">
        <v>2.5218682500000003</v>
      </c>
      <c r="D50" s="695">
        <f t="shared" si="0"/>
        <v>2.8342663221998299E-2</v>
      </c>
      <c r="E50" s="138"/>
      <c r="F50" s="138"/>
      <c r="G50" s="138"/>
      <c r="H50" s="138"/>
      <c r="I50" s="138"/>
      <c r="J50" s="138"/>
      <c r="L50" s="753" t="s">
        <v>425</v>
      </c>
      <c r="M50" s="754">
        <v>66.189807239999993</v>
      </c>
      <c r="N50" s="754">
        <v>63.607033157499998</v>
      </c>
    </row>
    <row r="51" spans="1:14" ht="10.5" customHeight="1">
      <c r="A51" s="699" t="s">
        <v>114</v>
      </c>
      <c r="B51" s="691">
        <v>2.3660000000000001</v>
      </c>
      <c r="C51" s="691">
        <v>2.4491999999999998</v>
      </c>
      <c r="D51" s="692">
        <f t="shared" si="0"/>
        <v>-3.397027600849245E-2</v>
      </c>
      <c r="E51" s="138"/>
      <c r="F51" s="138"/>
      <c r="G51" s="138"/>
      <c r="H51" s="138"/>
      <c r="I51" s="138"/>
      <c r="J51" s="138"/>
      <c r="L51" s="753" t="s">
        <v>95</v>
      </c>
      <c r="M51" s="754">
        <v>78.913463842499993</v>
      </c>
      <c r="N51" s="754">
        <v>80.038945152499991</v>
      </c>
    </row>
    <row r="52" spans="1:14" ht="10.5" customHeight="1">
      <c r="A52" s="698" t="s">
        <v>112</v>
      </c>
      <c r="B52" s="694">
        <v>1.8618538750000002</v>
      </c>
      <c r="C52" s="694">
        <v>2.4092336474999998</v>
      </c>
      <c r="D52" s="695">
        <f t="shared" si="0"/>
        <v>-0.227200783563687</v>
      </c>
      <c r="E52" s="138"/>
      <c r="F52" s="138"/>
      <c r="G52" s="138"/>
      <c r="H52" s="138"/>
      <c r="I52" s="138"/>
      <c r="J52" s="138"/>
      <c r="L52" s="753" t="s">
        <v>98</v>
      </c>
      <c r="M52" s="754">
        <v>95.151321380000013</v>
      </c>
      <c r="N52" s="754">
        <v>70.671639060000004</v>
      </c>
    </row>
    <row r="53" spans="1:14" ht="10.5" customHeight="1">
      <c r="A53" s="699" t="s">
        <v>115</v>
      </c>
      <c r="B53" s="691">
        <v>1.8515024325000002</v>
      </c>
      <c r="C53" s="691">
        <v>1.9829955400000001</v>
      </c>
      <c r="D53" s="692">
        <f t="shared" si="0"/>
        <v>-6.6310339507874017E-2</v>
      </c>
      <c r="E53" s="138"/>
      <c r="F53" s="138"/>
      <c r="G53" s="138"/>
      <c r="H53" s="138"/>
      <c r="I53" s="138"/>
      <c r="J53" s="138"/>
      <c r="L53" s="753" t="s">
        <v>91</v>
      </c>
      <c r="M53" s="754">
        <v>103.73442551000001</v>
      </c>
      <c r="N53" s="754">
        <v>92.857776629999989</v>
      </c>
    </row>
    <row r="54" spans="1:14" ht="10.5" customHeight="1">
      <c r="A54" s="698" t="s">
        <v>568</v>
      </c>
      <c r="B54" s="694">
        <v>1.19080147</v>
      </c>
      <c r="C54" s="694"/>
      <c r="D54" s="695" t="str">
        <f t="shared" si="0"/>
        <v/>
      </c>
      <c r="E54" s="138"/>
      <c r="F54" s="138"/>
      <c r="G54" s="138"/>
      <c r="H54" s="138"/>
      <c r="I54" s="138"/>
      <c r="J54" s="138"/>
      <c r="L54" s="753" t="s">
        <v>237</v>
      </c>
      <c r="M54" s="754">
        <v>118.61519201500001</v>
      </c>
      <c r="N54" s="754">
        <v>58.898253132500002</v>
      </c>
    </row>
    <row r="55" spans="1:14" ht="10.5" customHeight="1">
      <c r="A55" s="701" t="s">
        <v>567</v>
      </c>
      <c r="B55" s="691">
        <v>0.98530925499999999</v>
      </c>
      <c r="C55" s="691"/>
      <c r="D55" s="692" t="str">
        <f t="shared" si="0"/>
        <v/>
      </c>
      <c r="E55" s="138"/>
      <c r="F55" s="138"/>
      <c r="G55" s="138"/>
      <c r="H55" s="138"/>
      <c r="I55" s="138"/>
      <c r="J55" s="138"/>
      <c r="L55" s="754" t="s">
        <v>92</v>
      </c>
      <c r="M55" s="754">
        <v>121.60270070749999</v>
      </c>
      <c r="N55" s="754">
        <v>119.16723963499999</v>
      </c>
    </row>
    <row r="56" spans="1:14" ht="10.5" customHeight="1">
      <c r="A56" s="698" t="s">
        <v>117</v>
      </c>
      <c r="B56" s="694">
        <v>0.54783606250000005</v>
      </c>
      <c r="C56" s="694">
        <v>5.3339749999999995E-3</v>
      </c>
      <c r="D56" s="695">
        <f t="shared" si="0"/>
        <v>101.70690479426696</v>
      </c>
      <c r="E56" s="138"/>
      <c r="F56" s="138"/>
      <c r="G56" s="138"/>
      <c r="H56" s="138"/>
      <c r="I56" s="138"/>
      <c r="J56" s="138"/>
      <c r="L56" s="753" t="s">
        <v>93</v>
      </c>
      <c r="M56" s="754">
        <v>124.25939812499999</v>
      </c>
      <c r="N56" s="754">
        <v>139.15979503</v>
      </c>
    </row>
    <row r="57" spans="1:14" ht="10.5" customHeight="1">
      <c r="A57" s="699" t="s">
        <v>409</v>
      </c>
      <c r="B57" s="691">
        <v>0.44014800000000004</v>
      </c>
      <c r="C57" s="691">
        <v>0.58029274999999991</v>
      </c>
      <c r="D57" s="692">
        <f>IF(C57=0,"",B57/C57-1)</f>
        <v>-0.24150698074377097</v>
      </c>
      <c r="E57" s="138"/>
      <c r="F57" s="138"/>
      <c r="G57" s="138"/>
      <c r="H57" s="138"/>
      <c r="I57" s="138"/>
      <c r="J57" s="138"/>
      <c r="L57" s="753" t="s">
        <v>94</v>
      </c>
      <c r="M57" s="754">
        <v>137.38341464500002</v>
      </c>
      <c r="N57" s="754">
        <v>142.41563111249999</v>
      </c>
    </row>
    <row r="58" spans="1:14" ht="10.5" customHeight="1">
      <c r="A58" s="698" t="s">
        <v>234</v>
      </c>
      <c r="B58" s="694">
        <v>0.38257469</v>
      </c>
      <c r="C58" s="694">
        <v>0.37828250250000001</v>
      </c>
      <c r="D58" s="695">
        <f t="shared" si="0"/>
        <v>1.1346513443349027E-2</v>
      </c>
      <c r="E58" s="138"/>
      <c r="F58" s="138"/>
      <c r="G58" s="138"/>
      <c r="H58" s="138"/>
      <c r="I58" s="138"/>
      <c r="J58" s="138"/>
      <c r="L58" s="754" t="s">
        <v>239</v>
      </c>
      <c r="M58" s="754">
        <v>246.13445468500001</v>
      </c>
      <c r="N58" s="754">
        <v>239.27404858999995</v>
      </c>
    </row>
    <row r="59" spans="1:14" ht="10.5" customHeight="1">
      <c r="A59" s="699" t="s">
        <v>241</v>
      </c>
      <c r="B59" s="702">
        <v>0.33336389</v>
      </c>
      <c r="C59" s="702">
        <v>1.610865E-3</v>
      </c>
      <c r="D59" s="703">
        <f t="shared" si="0"/>
        <v>205.94713088930482</v>
      </c>
      <c r="E59" s="138"/>
      <c r="F59" s="138"/>
      <c r="G59" s="138"/>
      <c r="H59" s="138"/>
      <c r="I59" s="138"/>
      <c r="J59" s="138"/>
      <c r="L59" s="753" t="s">
        <v>90</v>
      </c>
      <c r="M59" s="754">
        <v>268.61958958500003</v>
      </c>
      <c r="N59" s="754">
        <v>253.48836488750007</v>
      </c>
    </row>
    <row r="60" spans="1:14" ht="10.5" customHeight="1">
      <c r="A60" s="704" t="s">
        <v>573</v>
      </c>
      <c r="B60" s="694">
        <v>0.1918026025</v>
      </c>
      <c r="C60" s="694">
        <v>0.4659088475</v>
      </c>
      <c r="D60" s="695">
        <f t="shared" si="0"/>
        <v>-0.58832590638880278</v>
      </c>
      <c r="E60" s="138"/>
      <c r="F60" s="138"/>
      <c r="G60" s="138"/>
      <c r="H60" s="138"/>
      <c r="I60" s="138"/>
      <c r="J60" s="138"/>
      <c r="L60" s="753" t="s">
        <v>87</v>
      </c>
      <c r="M60" s="754">
        <v>298.60253707749996</v>
      </c>
      <c r="N60" s="754">
        <v>608.22090282749991</v>
      </c>
    </row>
    <row r="61" spans="1:14" s="598" customFormat="1" ht="10.5" customHeight="1">
      <c r="A61" s="699" t="s">
        <v>119</v>
      </c>
      <c r="B61" s="702">
        <v>9.4973550000000004E-2</v>
      </c>
      <c r="C61" s="702">
        <v>0</v>
      </c>
      <c r="D61" s="703" t="str">
        <f t="shared" si="0"/>
        <v/>
      </c>
      <c r="E61" s="138"/>
      <c r="F61" s="138"/>
      <c r="G61" s="138"/>
      <c r="H61" s="138"/>
      <c r="I61" s="138"/>
      <c r="J61" s="138"/>
      <c r="L61" s="753" t="s">
        <v>235</v>
      </c>
      <c r="M61" s="754">
        <v>319.85137370500001</v>
      </c>
      <c r="N61" s="754">
        <v>336.79004070500002</v>
      </c>
    </row>
    <row r="62" spans="1:14" s="598" customFormat="1" ht="10.5" customHeight="1">
      <c r="A62" s="704" t="s">
        <v>102</v>
      </c>
      <c r="B62" s="694">
        <v>7.1470162500000003E-2</v>
      </c>
      <c r="C62" s="694">
        <v>19.350334005000001</v>
      </c>
      <c r="D62" s="695"/>
      <c r="E62" s="138"/>
      <c r="F62" s="138"/>
      <c r="G62" s="138"/>
      <c r="H62" s="138"/>
      <c r="I62" s="138"/>
      <c r="J62" s="138"/>
      <c r="L62" s="753" t="s">
        <v>89</v>
      </c>
      <c r="M62" s="754">
        <v>627.16523831999996</v>
      </c>
      <c r="N62" s="754">
        <v>631.95832608000001</v>
      </c>
    </row>
    <row r="63" spans="1:14" s="598" customFormat="1" ht="10.5" customHeight="1">
      <c r="A63" s="699" t="s">
        <v>116</v>
      </c>
      <c r="B63" s="702">
        <v>2.1483507500000002E-2</v>
      </c>
      <c r="C63" s="702">
        <v>0.1051561325</v>
      </c>
      <c r="D63" s="703"/>
      <c r="E63" s="138"/>
      <c r="F63" s="138"/>
      <c r="G63" s="138"/>
      <c r="H63" s="138"/>
      <c r="I63" s="138"/>
      <c r="J63" s="138"/>
      <c r="L63" s="753" t="s">
        <v>88</v>
      </c>
      <c r="M63" s="754">
        <v>643.22068201499997</v>
      </c>
      <c r="N63" s="754">
        <v>486.53379905999998</v>
      </c>
    </row>
    <row r="64" spans="1:14" s="598" customFormat="1" ht="10.5" customHeight="1">
      <c r="A64" s="704" t="s">
        <v>242</v>
      </c>
      <c r="B64" s="694">
        <v>0</v>
      </c>
      <c r="C64" s="694">
        <v>0.20006380000000001</v>
      </c>
      <c r="D64" s="695">
        <f t="shared" si="0"/>
        <v>-1</v>
      </c>
      <c r="E64" s="138"/>
      <c r="F64" s="138"/>
      <c r="G64" s="138"/>
      <c r="H64" s="138"/>
      <c r="I64" s="138"/>
      <c r="J64" s="138"/>
      <c r="L64" s="753" t="s">
        <v>407</v>
      </c>
      <c r="M64" s="754">
        <v>776.24884166000004</v>
      </c>
      <c r="N64" s="754">
        <v>663.37696624500006</v>
      </c>
    </row>
    <row r="65" spans="1:14" s="598" customFormat="1" ht="10.5" customHeight="1">
      <c r="A65" s="705" t="s">
        <v>100</v>
      </c>
      <c r="B65" s="706">
        <v>0</v>
      </c>
      <c r="C65" s="706">
        <v>129.705170025</v>
      </c>
      <c r="D65" s="707">
        <f t="shared" si="0"/>
        <v>-1</v>
      </c>
      <c r="E65" s="138"/>
      <c r="F65" s="138"/>
      <c r="G65" s="138"/>
      <c r="H65" s="138"/>
      <c r="I65" s="138"/>
      <c r="J65" s="138"/>
      <c r="L65" s="753"/>
      <c r="M65" s="754"/>
      <c r="N65" s="754"/>
    </row>
    <row r="66" spans="1:14" ht="10.5" customHeight="1">
      <c r="A66" s="708" t="s">
        <v>42</v>
      </c>
      <c r="B66" s="709">
        <f>+SUM(B5:B65)</f>
        <v>4557.4386049525001</v>
      </c>
      <c r="C66" s="709">
        <f>+SUM(C5:C65)</f>
        <v>4603.8220580624975</v>
      </c>
      <c r="D66" s="710">
        <f>IF(C66=0,"",B66/C66-1)</f>
        <v>-1.0074988243467753E-2</v>
      </c>
      <c r="E66" s="138"/>
      <c r="F66" s="138"/>
      <c r="G66" s="138"/>
      <c r="H66" s="138"/>
      <c r="I66" s="138"/>
      <c r="J66" s="138"/>
      <c r="L66" s="753"/>
      <c r="M66" s="754"/>
      <c r="N66" s="754"/>
    </row>
    <row r="67" spans="1:14" ht="40.5" customHeight="1">
      <c r="A67" s="863" t="str">
        <f>"Cuadro N° 6: Participación de las empresas generadoras del COES en la producción de energía eléctrica (GWh) en "&amp;'1. Resumen'!Q4</f>
        <v>Cuadro N° 6: Participación de las empresas generadoras del COES en la producción de energía eléctrica (GWh) en enero</v>
      </c>
      <c r="B67" s="863"/>
      <c r="C67" s="863"/>
      <c r="D67" s="440"/>
      <c r="E67" s="862" t="str">
        <f>"Gráfico N° 10: Comparación de producción energética (GWh) de las empresas generadoras del COES en "&amp;'1. Resumen'!Q4</f>
        <v>Gráfico N° 10: Comparación de producción energética (GWh) de las empresas generadoras del COES en enero</v>
      </c>
      <c r="F67" s="862"/>
      <c r="G67" s="862"/>
      <c r="H67" s="862"/>
      <c r="I67" s="862"/>
      <c r="J67" s="862"/>
    </row>
    <row r="68" spans="1:14">
      <c r="A68" s="856"/>
      <c r="B68" s="856"/>
      <c r="C68" s="856"/>
      <c r="D68" s="856"/>
      <c r="E68" s="856"/>
      <c r="F68" s="856"/>
      <c r="G68" s="856"/>
      <c r="H68" s="856"/>
      <c r="I68" s="856"/>
      <c r="J68" s="856"/>
    </row>
    <row r="69" spans="1:14">
      <c r="A69" s="857"/>
      <c r="B69" s="857"/>
      <c r="C69" s="857"/>
      <c r="D69" s="857"/>
      <c r="E69" s="857"/>
      <c r="F69" s="857"/>
      <c r="G69" s="857"/>
      <c r="H69" s="857"/>
      <c r="I69" s="857"/>
      <c r="J69" s="857"/>
    </row>
    <row r="70" spans="1:14">
      <c r="A70" s="856"/>
      <c r="B70" s="856"/>
      <c r="C70" s="856"/>
      <c r="D70" s="856"/>
      <c r="E70" s="856"/>
      <c r="F70" s="856"/>
      <c r="G70" s="856"/>
      <c r="H70" s="856"/>
      <c r="I70" s="856"/>
      <c r="J70" s="856"/>
    </row>
    <row r="71" spans="1:14">
      <c r="A71" s="857"/>
      <c r="B71" s="857"/>
      <c r="C71" s="857"/>
      <c r="D71" s="857"/>
      <c r="E71" s="857"/>
      <c r="F71" s="857"/>
      <c r="G71" s="857"/>
      <c r="H71" s="857"/>
      <c r="I71" s="857"/>
      <c r="J71" s="857"/>
    </row>
  </sheetData>
  <mergeCells count="10">
    <mergeCell ref="A68:J68"/>
    <mergeCell ref="A69:J69"/>
    <mergeCell ref="A70:J70"/>
    <mergeCell ref="A71:J71"/>
    <mergeCell ref="A1:I1"/>
    <mergeCell ref="A3:A4"/>
    <mergeCell ref="B3:D3"/>
    <mergeCell ref="G3:I3"/>
    <mergeCell ref="E67:J67"/>
    <mergeCell ref="A67:C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Mensual-Enero 2021
INFSGI-MES-01-2021
09/02/2021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2021-02-09T22:20:16Z</cp:lastPrinted>
  <dcterms:created xsi:type="dcterms:W3CDTF">2018-02-13T14:18:17Z</dcterms:created>
  <dcterms:modified xsi:type="dcterms:W3CDTF">2022-02-28T22:34:20Z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