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USER\Desktop\3. Marzo 2021\"/>
    </mc:Choice>
  </mc:AlternateContent>
  <xr:revisionPtr revIDLastSave="0" documentId="13_ncr:1_{DCA22674-3CB8-4B8A-BB62-57ED4191ADC5}" xr6:coauthVersionLast="46" xr6:coauthVersionMax="46" xr10:uidLastSave="{00000000-0000-0000-0000-000000000000}"/>
  <bookViews>
    <workbookView xWindow="828" yWindow="-108" windowWidth="22320" windowHeight="13176"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Contraportada" sheetId="59" r:id="rId30"/>
  </sheets>
  <definedNames>
    <definedName name="_xlnm._FilterDatabase" localSheetId="7" hidden="1">'6. FP RER'!$T$53:$V$54</definedName>
    <definedName name="_xlnm._FilterDatabase" localSheetId="8" hidden="1">'7. Generacion empresa'!$L$3:$N$60</definedName>
    <definedName name="_xlnm._FilterDatabase" localSheetId="10" hidden="1">'9. Pot. Empresa'!$L$6:$N$63</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generación'!$A$1:$J$41</definedName>
    <definedName name="_xlnm.Print_Area" localSheetId="21">'20. ANEXOI-3'!$A$1:$G$60</definedName>
    <definedName name="_xlnm.Print_Area" localSheetId="22">'21. ANEXOII-1'!$A$1:$F$81</definedName>
    <definedName name="_xlnm.Print_Area" localSheetId="24">'23. ANEXOII-3'!$A$1:$F$57</definedName>
    <definedName name="_xlnm.Print_Area" localSheetId="26">'25.ANEXO III -1'!$A$1:$F$16</definedName>
    <definedName name="_xlnm.Print_Area" localSheetId="27">'26.ANEXO III-2'!$A$1:$F$17</definedName>
    <definedName name="_xlnm.Print_Area" localSheetId="28">'27.ANEXO III-3'!$A$1:$F$17</definedName>
    <definedName name="_xlnm.Print_Area" localSheetId="6">'5. RER'!$A$1:$K$61</definedName>
    <definedName name="_xlnm.Print_Area" localSheetId="7">'6. FP RER'!$A$1:$K$64</definedName>
    <definedName name="_xlnm.Print_Area" localSheetId="8">'7. Generacion empresa'!$A$1:$J$65</definedName>
    <definedName name="_xlnm.Print_Area" localSheetId="9">'8. Max Potencia'!$A$1:$K$62</definedName>
    <definedName name="_xlnm.Print_Area" localSheetId="10">'9. Pot. Empresa'!$A$1:$J$67</definedName>
    <definedName name="_xlnm.Print_Area" localSheetId="1">Índice!$A$1:$L$45</definedName>
    <definedName name="_xlnm.Print_Area" localSheetId="0">'Portada '!$A$1:$L$71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1" l="1"/>
  <c r="G13" i="21"/>
  <c r="H13" i="21"/>
  <c r="G14" i="21"/>
  <c r="H14" i="21"/>
  <c r="G7" i="21"/>
  <c r="G9" i="21"/>
  <c r="H9" i="21"/>
  <c r="G10" i="21"/>
  <c r="H10" i="21"/>
  <c r="I8" i="22" l="1"/>
  <c r="I9" i="22"/>
  <c r="I10" i="22"/>
  <c r="I11" i="22"/>
  <c r="I12" i="22"/>
  <c r="J20" i="12" l="1"/>
  <c r="G12" i="7"/>
  <c r="E12" i="7"/>
  <c r="D21" i="6" l="1"/>
  <c r="J13" i="22" l="1"/>
  <c r="F81" i="36" l="1"/>
  <c r="F80" i="36"/>
  <c r="F79" i="36"/>
  <c r="F78" i="36"/>
  <c r="F76" i="36"/>
  <c r="F75" i="36"/>
  <c r="I14" i="6" l="1"/>
  <c r="H14" i="6"/>
  <c r="F16" i="21" l="1"/>
  <c r="D16" i="21"/>
  <c r="H11" i="21"/>
  <c r="E49" i="46" l="1"/>
  <c r="D49" i="46"/>
  <c r="C49" i="46"/>
  <c r="F10" i="8" l="1"/>
  <c r="I10" i="8"/>
  <c r="K10" i="8"/>
  <c r="H19" i="8" l="1"/>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I7" i="22" l="1"/>
  <c r="I13" i="22" l="1"/>
  <c r="G46" i="38"/>
  <c r="E16" i="21" l="1"/>
  <c r="C13" i="22" l="1"/>
  <c r="D13" i="22"/>
  <c r="E13" i="22"/>
  <c r="F13" i="22"/>
  <c r="G13" i="22"/>
  <c r="H13" i="22"/>
  <c r="B13" i="22"/>
  <c r="E26" i="6" l="1"/>
  <c r="G16" i="21" l="1"/>
  <c r="B16" i="7" l="1"/>
  <c r="C16" i="7"/>
  <c r="D16" i="7"/>
  <c r="E16" i="7"/>
  <c r="E5" i="36" l="1"/>
  <c r="E4" i="36"/>
  <c r="F46" i="38"/>
  <c r="C66" i="13" l="1"/>
  <c r="C64" i="11"/>
  <c r="B64" i="11"/>
  <c r="B66" i="13"/>
  <c r="D63" i="11"/>
  <c r="D12" i="7" l="1"/>
  <c r="F46" i="46" l="1"/>
  <c r="D5" i="11"/>
  <c r="D2" i="46" l="1"/>
  <c r="C2" i="46"/>
  <c r="D2" i="45"/>
  <c r="C2" i="45"/>
  <c r="D57" i="11" l="1"/>
  <c r="D33" i="11"/>
  <c r="C47" i="46" l="1"/>
  <c r="D47" i="46"/>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H16" i="21" l="1"/>
  <c r="F44" i="46"/>
  <c r="F43" i="46"/>
  <c r="F42" i="46"/>
  <c r="F41" i="46"/>
  <c r="F40" i="46"/>
  <c r="F39" i="46"/>
  <c r="F33" i="46"/>
  <c r="F32" i="46"/>
  <c r="F31" i="46"/>
  <c r="F30" i="46"/>
  <c r="F29" i="46"/>
  <c r="F28" i="46"/>
  <c r="F27" i="46"/>
  <c r="F26" i="46"/>
  <c r="F25" i="46"/>
  <c r="F24" i="46"/>
  <c r="F23" i="46"/>
  <c r="F22" i="46"/>
  <c r="F21" i="46"/>
  <c r="F20" i="46"/>
  <c r="F8" i="46"/>
  <c r="F7" i="46"/>
  <c r="F6" i="46"/>
  <c r="F5" i="46"/>
  <c r="D65" i="13" l="1"/>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1" i="11"/>
  <c r="D60" i="11"/>
  <c r="D59" i="11"/>
  <c r="D58" i="11"/>
  <c r="D56" i="11"/>
  <c r="D55" i="11"/>
  <c r="D54" i="11"/>
  <c r="D53" i="11"/>
  <c r="D52" i="11"/>
  <c r="D51" i="11"/>
  <c r="D50" i="11"/>
  <c r="D49" i="11"/>
  <c r="D48" i="11"/>
  <c r="D47" i="11"/>
  <c r="D46" i="11"/>
  <c r="D45" i="11"/>
  <c r="D44" i="11"/>
  <c r="D43" i="11"/>
  <c r="D42" i="11"/>
  <c r="D41" i="11"/>
  <c r="D40" i="11"/>
  <c r="D39" i="11"/>
  <c r="D38" i="11"/>
  <c r="D37" i="11"/>
  <c r="D36" i="11"/>
  <c r="D35" i="11"/>
  <c r="D34"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9" i="46" l="1"/>
  <c r="E4" i="45" l="1"/>
  <c r="E4" i="46" s="1"/>
  <c r="B14" i="12" l="1"/>
  <c r="F14" i="8"/>
  <c r="A64" i="10" l="1"/>
  <c r="A43" i="10"/>
  <c r="N14" i="18" l="1"/>
  <c r="J11" i="9" l="1"/>
  <c r="H11" i="9"/>
  <c r="G11" i="9"/>
  <c r="D6" i="16" l="1"/>
  <c r="C28" i="14" l="1"/>
  <c r="A38" i="22" l="1"/>
  <c r="F6" i="36" l="1"/>
  <c r="A65" i="11" l="1"/>
  <c r="F22" i="8" l="1"/>
  <c r="B19" i="8"/>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7"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4" i="22" l="1"/>
  <c r="B58" i="18"/>
  <c r="B40" i="18"/>
  <c r="B21" i="18"/>
  <c r="A58" i="12"/>
  <c r="F67" i="13"/>
  <c r="B18" i="12" l="1"/>
  <c r="B20" i="12" s="1"/>
  <c r="C18" i="12"/>
  <c r="D18" i="12"/>
  <c r="D20" i="12" s="1"/>
  <c r="E18" i="12"/>
  <c r="E20" i="12" s="1"/>
  <c r="G18" i="12"/>
  <c r="G20" i="12" s="1"/>
  <c r="H18" i="12"/>
  <c r="H20" i="12" s="1"/>
  <c r="J18" i="12"/>
  <c r="F23" i="6" l="1"/>
  <c r="F25" i="6"/>
  <c r="F11" i="14" l="1"/>
  <c r="F24" i="6" l="1"/>
  <c r="F22" i="6"/>
  <c r="A58" i="7" l="1"/>
  <c r="E21" i="6"/>
  <c r="E65" i="11" l="1"/>
  <c r="C45" i="10"/>
  <c r="D3" i="36" l="1"/>
  <c r="C3" i="36"/>
  <c r="F2" i="37"/>
  <c r="F3" i="23"/>
  <c r="C2" i="23"/>
  <c r="C1" i="37" s="1"/>
  <c r="C1" i="38" s="1"/>
  <c r="E17" i="22"/>
  <c r="A17" i="22"/>
  <c r="A14" i="22"/>
  <c r="A17" i="21"/>
  <c r="F6" i="21"/>
  <c r="E6" i="21"/>
  <c r="D6" i="21"/>
  <c r="B47" i="18"/>
  <c r="B28" i="18"/>
  <c r="B10" i="18"/>
  <c r="C31" i="16"/>
  <c r="E6" i="16"/>
  <c r="A67" i="13"/>
  <c r="B3" i="13"/>
  <c r="B4" i="11"/>
  <c r="C4" i="11" s="1"/>
  <c r="B3" i="11"/>
  <c r="G6" i="7"/>
  <c r="G4" i="8" s="1"/>
  <c r="G4" i="9" s="1"/>
  <c r="D7" i="7"/>
  <c r="E7" i="7" s="1"/>
  <c r="A41" i="6"/>
  <c r="B27"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6" i="6"/>
  <c r="C5" i="9" l="1"/>
  <c r="F39" i="9"/>
  <c r="F26"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4" i="11"/>
</calcChain>
</file>

<file path=xl/sharedStrings.xml><?xml version="1.0" encoding="utf-8"?>
<sst xmlns="http://schemas.openxmlformats.org/spreadsheetml/2006/main" count="1676" uniqueCount="795">
  <si>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</si>
  <si>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</si>
  <si>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</si>
  <si>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</si>
  <si>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</si>
  <si>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</si>
  <si>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</si>
  <si>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</si>
  <si>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</si>
  <si>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</si>
  <si>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</si>
  <si>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</si>
  <si>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</si>
  <si>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</si>
  <si>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</si>
  <si>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</si>
  <si>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</si>
  <si>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</si>
  <si>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</si>
  <si>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</si>
  <si>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</si>
  <si>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</si>
  <si>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</si>
  <si>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</si>
  <si>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</si>
  <si>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</si>
  <si>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</si>
  <si>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</si>
  <si>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</si>
  <si>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</si>
  <si>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</si>
  <si>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</si>
  <si>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</si>
  <si>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</si>
  <si>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</si>
  <si>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</si>
  <si>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</si>
  <si>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</si>
  <si>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</si>
  <si>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</si>
  <si>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</si>
  <si>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</si>
  <si>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</si>
  <si>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</si>
  <si>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</si>
  <si>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</si>
  <si>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</si>
  <si>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</si>
  <si>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</si>
  <si>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</si>
  <si>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</si>
  <si>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</si>
  <si>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</si>
  <si>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</si>
  <si>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</si>
  <si>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</si>
  <si>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</si>
  <si>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</si>
  <si>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</si>
  <si>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</si>
  <si>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</si>
  <si>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</si>
  <si>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</si>
  <si>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</si>
  <si>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</si>
  <si>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</si>
  <si>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</si>
  <si>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</si>
  <si>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</si>
  <si>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</si>
  <si>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</si>
  <si>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</si>
  <si>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</si>
  <si>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</si>
  <si>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</si>
  <si>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</si>
  <si>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</si>
  <si>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</si>
  <si>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</si>
  <si>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</si>
  <si>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</si>
  <si>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</si>
  <si>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</si>
  <si>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</si>
  <si>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</si>
  <si>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</si>
  <si>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</si>
  <si>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</si>
  <si>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</si>
  <si>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</si>
  <si>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</si>
  <si>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</si>
  <si>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</si>
  <si>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</si>
  <si>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</si>
  <si>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</si>
  <si>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</si>
  <si>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</si>
  <si>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</si>
  <si>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</si>
  <si>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</si>
  <si>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</si>
  <si>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</si>
  <si>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</si>
  <si>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</si>
  <si>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</si>
  <si>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</si>
  <si>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</si>
  <si>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</si>
  <si>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</si>
  <si>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</si>
  <si>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</si>
  <si>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</si>
  <si>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</si>
  <si>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</si>
  <si>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</si>
  <si>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</si>
  <si>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</si>
  <si>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</si>
  <si>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</si>
  <si>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</si>
  <si>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</si>
  <si>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</si>
  <si>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</si>
  <si>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</si>
  <si>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</si>
  <si>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</si>
  <si>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</si>
  <si>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</si>
  <si>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</si>
  <si>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</si>
  <si>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</si>
  <si>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</si>
  <si>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</si>
  <si>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</si>
  <si>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</si>
  <si>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</si>
  <si>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</si>
  <si>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</si>
  <si>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</si>
  <si>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</si>
  <si>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</si>
  <si>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</si>
  <si>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</si>
  <si>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</si>
  <si>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</si>
  <si>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</si>
  <si>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</si>
  <si>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</si>
  <si>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</si>
  <si>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</si>
  <si>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</si>
  <si>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</si>
  <si>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</si>
  <si>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</si>
  <si>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</si>
  <si>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</si>
  <si>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</si>
  <si>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</si>
  <si>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</si>
  <si>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</si>
  <si>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</si>
  <si>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</si>
  <si>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</si>
  <si>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</si>
  <si>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</si>
  <si>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</si>
  <si>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</si>
  <si>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</si>
  <si>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</si>
  <si>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</si>
  <si>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</si>
  <si>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</si>
  <si>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</si>
  <si>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</si>
  <si>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</si>
  <si>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</si>
  <si>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</si>
  <si>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</si>
  <si>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</si>
  <si>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</si>
  <si>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</si>
  <si>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</si>
  <si>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</si>
  <si>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</si>
  <si>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</si>
  <si>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</si>
  <si>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</si>
  <si>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</si>
  <si>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</si>
  <si>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</si>
  <si>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</si>
  <si>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</si>
  <si>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</si>
  <si>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</si>
  <si>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</si>
  <si>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</si>
  <si>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</si>
  <si>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</si>
  <si>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</si>
  <si>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</si>
  <si>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</si>
  <si>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</si>
  <si>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</si>
  <si>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</si>
  <si>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</si>
  <si>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</si>
  <si>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</si>
  <si>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</si>
  <si>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</si>
  <si>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</si>
  <si>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</si>
  <si>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</si>
  <si>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</si>
  <si>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</si>
  <si>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</si>
  <si>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</si>
  <si>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</si>
  <si>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</si>
  <si>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</si>
  <si>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</si>
  <si>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</si>
  <si>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</si>
  <si>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</si>
  <si>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</si>
  <si>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</si>
  <si>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</si>
  <si>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</si>
  <si>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</si>
  <si>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</si>
  <si>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</si>
  <si>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</si>
  <si>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</si>
  <si>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</si>
  <si>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</si>
  <si>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</si>
  <si>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</si>
  <si>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</si>
  <si>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</si>
  <si>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</si>
  <si>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</si>
  <si>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</si>
  <si>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</si>
  <si>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</si>
  <si>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</si>
  <si>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</si>
  <si>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</si>
  <si>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</si>
  <si>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</si>
  <si>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</si>
  <si>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</si>
  <si>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</si>
  <si>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</si>
  <si>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</si>
  <si>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</si>
  <si>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</si>
  <si>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</si>
  <si>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</si>
  <si>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</si>
  <si>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</si>
  <si>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</si>
  <si>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</si>
  <si>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</si>
  <si>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</si>
  <si>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</si>
  <si>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</si>
  <si>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</si>
  <si>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</si>
  <si>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</si>
  <si>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</si>
  <si>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</si>
  <si>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</si>
  <si>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</si>
  <si>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</si>
  <si>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</si>
  <si>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</si>
  <si>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</si>
  <si>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</si>
  <si>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</si>
  <si>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</si>
  <si>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</si>
  <si>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</si>
  <si>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</si>
  <si>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</si>
  <si>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</si>
  <si>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</si>
  <si>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</si>
  <si>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</si>
  <si>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</si>
  <si>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</si>
  <si>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</si>
  <si>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</si>
  <si>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</si>
  <si>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</si>
  <si>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</si>
  <si>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</si>
  <si>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</si>
  <si>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</si>
  <si>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</si>
  <si>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</si>
  <si>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</si>
  <si>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</si>
  <si>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</si>
  <si>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</si>
  <si>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</si>
  <si>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</si>
  <si>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</si>
  <si>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</si>
  <si>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</si>
  <si>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</si>
  <si>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</si>
  <si>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</si>
  <si>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</si>
  <si>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</si>
  <si>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</si>
  <si>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</si>
  <si>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</si>
  <si>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</si>
  <si>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</si>
  <si>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</si>
  <si>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</si>
  <si>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</si>
  <si>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</si>
  <si>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</si>
  <si>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</si>
  <si>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</si>
  <si>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</si>
  <si>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</si>
  <si>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</si>
  <si>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</si>
  <si>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</si>
  <si>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</si>
  <si>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</si>
  <si>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</si>
  <si>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</si>
  <si>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</si>
  <si>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</si>
  <si>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</si>
  <si>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</si>
  <si>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</si>
  <si>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</si>
  <si>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</si>
  <si>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</si>
  <si>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</si>
  <si>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</si>
  <si>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</si>
  <si>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</si>
  <si>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</si>
  <si>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</si>
  <si>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</si>
  <si>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</si>
  <si>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</si>
  <si>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</si>
  <si>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</si>
  <si>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</si>
  <si>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</si>
  <si>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</si>
  <si>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</si>
  <si>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</si>
  <si>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</si>
  <si>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</si>
  <si>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</si>
  <si>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</si>
  <si>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</si>
  <si>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</si>
  <si>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</si>
  <si>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</si>
  <si>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</si>
  <si>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</si>
  <si>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</si>
  <si>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</si>
  <si>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</si>
  <si>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</si>
  <si>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</si>
  <si>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</si>
  <si>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</si>
  <si>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</si>
  <si>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</si>
  <si>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</si>
  <si>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</si>
  <si>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</si>
  <si>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</si>
  <si>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</si>
  <si>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</si>
  <si>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</si>
  <si>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</si>
  <si>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</si>
  <si>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</si>
  <si>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</si>
  <si>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</si>
  <si>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</si>
  <si>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</si>
  <si>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</si>
  <si>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</si>
  <si>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</si>
  <si>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</si>
  <si>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</si>
  <si>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</si>
  <si>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</si>
  <si>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</si>
  <si>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</si>
  <si>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</si>
  <si>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</si>
  <si>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</si>
  <si>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</si>
  <si>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</si>
  <si>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</si>
  <si>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</si>
  <si>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</si>
  <si>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</si>
  <si>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</si>
  <si>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</si>
  <si>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</si>
  <si>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</si>
  <si>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</si>
  <si>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</si>
  <si>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</si>
  <si>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</si>
  <si>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</si>
  <si>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</si>
  <si>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</si>
  <si>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</si>
  <si>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</si>
  <si>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</si>
  <si>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</si>
  <si>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</si>
  <si>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</si>
  <si>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</si>
  <si>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</si>
  <si>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</si>
  <si>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</si>
  <si>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</si>
  <si>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</si>
  <si>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</si>
  <si>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</si>
  <si>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</si>
  <si>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</si>
  <si>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</si>
  <si>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</si>
  <si>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</si>
  <si>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</si>
  <si>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</si>
  <si>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</si>
  <si>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</si>
  <si>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</si>
  <si>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</si>
  <si>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</si>
  <si>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</si>
  <si>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</si>
  <si>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</si>
  <si>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</si>
  <si>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</si>
  <si>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</si>
  <si>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</si>
  <si>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</si>
  <si>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</si>
  <si>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</si>
  <si>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</si>
  <si>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</si>
  <si>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</si>
  <si>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</si>
  <si>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</si>
  <si>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</si>
  <si>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</si>
  <si>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</si>
  <si>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</si>
  <si>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</si>
  <si>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</si>
  <si>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</si>
  <si>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</si>
  <si>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</si>
  <si>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</si>
  <si>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</si>
  <si>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</si>
  <si>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</si>
  <si>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</si>
  <si>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</si>
  <si>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</si>
  <si>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TRANSFORMADOR 3D</t>
  </si>
  <si>
    <t>20:45</t>
  </si>
  <si>
    <t>L-2205  L-2206</t>
  </si>
  <si>
    <t>POMACOCHA - SAN JUAN</t>
  </si>
  <si>
    <t>T62-161  T6-261</t>
  </si>
  <si>
    <t>C.H. MANTA I</t>
  </si>
  <si>
    <t>ELECTRO SUR ESTE</t>
  </si>
  <si>
    <t>HIDRANDINA</t>
  </si>
  <si>
    <t>ELECTRO PUNO</t>
  </si>
  <si>
    <t>TRANSMANTARO</t>
  </si>
  <si>
    <t>L-6627  L-6628</t>
  </si>
  <si>
    <t>MARCONA - SAN NICOLÁS</t>
  </si>
  <si>
    <t>T-30  T3-261  T4-261</t>
  </si>
  <si>
    <t>INDEPENDENCIA</t>
  </si>
  <si>
    <t>20:30</t>
  </si>
  <si>
    <t>CONENHUA</t>
  </si>
  <si>
    <t>LINEA DE TRANSMISION</t>
  </si>
  <si>
    <t>L-2110</t>
  </si>
  <si>
    <t>L-2259</t>
  </si>
  <si>
    <t>HUANZA-CARABAYLLO</t>
  </si>
  <si>
    <t>CARHUAMAYO - OROYA NUEVA</t>
  </si>
  <si>
    <t>Total AGROAURORA</t>
  </si>
  <si>
    <t>Total AGUA AZUL</t>
  </si>
  <si>
    <t>Total AIPSA</t>
  </si>
  <si>
    <t>Total ANDEAN POWER</t>
  </si>
  <si>
    <t>Total BIOENERGIA</t>
  </si>
  <si>
    <t>Total CELEPSA</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</si>
  <si>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</si>
  <si>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</si>
  <si>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</si>
  <si>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</si>
  <si>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</si>
  <si>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</si>
  <si>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</si>
  <si>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</si>
  <si>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</si>
  <si>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</si>
  <si>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</si>
  <si>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ENEL GENERACION PERU</t>
  </si>
  <si>
    <t>Total ENEL GENERACION PIURA</t>
  </si>
  <si>
    <t>Total ENEL GREEN POWER PERU</t>
  </si>
  <si>
    <t>Total ENERGÍA EÓLICA</t>
  </si>
  <si>
    <t>Total ENGIE</t>
  </si>
  <si>
    <t>Total FENIX POWER</t>
  </si>
  <si>
    <t>Total GENERACIÓN ANDINA</t>
  </si>
  <si>
    <t>Total GEPSA</t>
  </si>
  <si>
    <t>Total HIDROCAÑETE</t>
  </si>
  <si>
    <t>Total HIDROELECTRICA HUANCHOR</t>
  </si>
  <si>
    <t>Total HUAURA POWER</t>
  </si>
  <si>
    <t>Total HYDRO PATAPO</t>
  </si>
  <si>
    <t>Total INLAND</t>
  </si>
  <si>
    <t>Total INVERSION DE ENERGÍA RENOVABLES</t>
  </si>
  <si>
    <t>Total IYEPSA</t>
  </si>
  <si>
    <t>Total KALLPA</t>
  </si>
  <si>
    <t>Total MAJA ENERGIA</t>
  </si>
  <si>
    <t>Total MOQUEGUA FV</t>
  </si>
  <si>
    <t>Total ORAZUL ENERGY PERÚ</t>
  </si>
  <si>
    <t>Total P.E. MARCONA</t>
  </si>
  <si>
    <t>Total P.E. TRES HERMANAS</t>
  </si>
  <si>
    <t>Total PANAMERICANA SOLAR</t>
  </si>
  <si>
    <t>Total PETRAMAS</t>
  </si>
  <si>
    <t>Total PLANTA  ETEN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</si>
  <si>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</si>
  <si>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</si>
  <si>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</si>
  <si>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</si>
  <si>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</si>
  <si>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</si>
  <si>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</si>
  <si>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</si>
  <si>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</si>
  <si>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</si>
  <si>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</si>
  <si>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</si>
  <si>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</si>
  <si>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MAJES</t>
  </si>
  <si>
    <t>REPARTICION</t>
  </si>
  <si>
    <t>GR PAINO</t>
  </si>
  <si>
    <t>GR TARUCA</t>
  </si>
  <si>
    <t>Total GR PAINO</t>
  </si>
  <si>
    <t>Total GR TARUCA</t>
  </si>
  <si>
    <t>Total MAJES</t>
  </si>
  <si>
    <t>Total REPARTICION</t>
  </si>
  <si>
    <t>ATRIA</t>
  </si>
  <si>
    <t>EMGE JUNÍN</t>
  </si>
  <si>
    <t>Total EMGE JUNÍN</t>
  </si>
  <si>
    <t>CELEPSA RENOVABLES</t>
  </si>
  <si>
    <t>Total ATRIA</t>
  </si>
  <si>
    <t>Total CELEPSA RENOVABLES</t>
  </si>
  <si>
    <t>15:00</t>
  </si>
  <si>
    <t>STATKRAFT S.A</t>
  </si>
  <si>
    <t>ISA PERU</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</si>
  <si>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</si>
  <si>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</si>
  <si>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</si>
  <si>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</si>
  <si>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</si>
  <si>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</si>
  <si>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</si>
  <si>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</si>
  <si>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</si>
  <si>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</si>
  <si>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</si>
  <si>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C.E. DUNA  (2)</t>
  </si>
  <si>
    <t>12:45</t>
  </si>
  <si>
    <t>14:45</t>
  </si>
  <si>
    <t>COMPAÑIA TRANSMISORA SUR ANDINO S.A.C.</t>
  </si>
  <si>
    <t xml:space="preserve">ELECTRO DUNAS </t>
  </si>
  <si>
    <t>L-1010</t>
  </si>
  <si>
    <t>AZÁNGARO - SAN GABÁN II</t>
  </si>
  <si>
    <t>SUR</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</si>
  <si>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</si>
  <si>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</si>
  <si>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</si>
  <si>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</si>
  <si>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</si>
  <si>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</si>
  <si>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</si>
  <si>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</si>
  <si>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22.01.2021</t>
  </si>
  <si>
    <t>2.3. POTENCIA INSTALADA EN EL SEIN</t>
  </si>
  <si>
    <t>Aerogenerador</t>
  </si>
  <si>
    <t>2.3.  SUSPENSIÓN DE OPERACIÓN COMERCIAL EN EL SEIN</t>
  </si>
  <si>
    <t>ELECTROCENTRO</t>
  </si>
  <si>
    <t>Suspensión de Operación Comercial</t>
  </si>
  <si>
    <t>1.1. Producción de energía eléctrica en marzo 2021 en comparación al mismo mes del año anterior</t>
  </si>
  <si>
    <t>marzo</t>
  </si>
  <si>
    <t>El total de la producción de energía eléctrica de la empresas generadoras integrantes del COES en el mes de marzo 2021 fue de 4 619,30  GWh, lo que representa un incremento de 620,25 GWh (15,51%) en comparación con el año 2020.</t>
  </si>
  <si>
    <t>La producción de electricidad con centrales hidroeléctricas durante el mes de marzo 2021 fue de 3 150,05 GWh (1,31% mayor al registrado durante marzo del año 2020).</t>
  </si>
  <si>
    <t>La producción de electricidad con centrales termoeléctricas durante el mes de marzo 2021 fue de 1 269,66 GWh, 81,55% mayor al registrado durante marzo del año 2020. La participación del gas natural de Camisea fue de 25,36%, mientras que las del gas que proviene de los yacimientos de Aguaytía y Malacas fue del 1,41%, la producción con diesel, residual, carbón, biogás y bagazo tuvieron una intervención del 0,03%, 0,01%, 0,15%, 0,17%, 0,35% respectivamente.</t>
  </si>
  <si>
    <t>La producción de energía eléctrica con centrales eólicas fue de 135,84 GWh y con centrales solares fue de 63,76 GWh, los cuales tuvieron una participación de 2,94% y 1,38% respectivamente.</t>
  </si>
  <si>
    <t xml:space="preserve">          No se presentaron inicios de operación comercial en marzo de 2021.</t>
  </si>
  <si>
    <t>C.E. HUAMBOS</t>
  </si>
  <si>
    <t>C.E. DUNA</t>
  </si>
  <si>
    <t>01/03/2021</t>
  </si>
  <si>
    <t>15:30</t>
  </si>
  <si>
    <t>02/03/2021</t>
  </si>
  <si>
    <t>17:15</t>
  </si>
  <si>
    <t>03/03/2021</t>
  </si>
  <si>
    <t>04/03/2021</t>
  </si>
  <si>
    <t>05/03/2021</t>
  </si>
  <si>
    <t>06/03/2021</t>
  </si>
  <si>
    <t>19:15</t>
  </si>
  <si>
    <t>07/03/2021</t>
  </si>
  <si>
    <t>08/03/2021</t>
  </si>
  <si>
    <t>09/03/2021</t>
  </si>
  <si>
    <t>10/03/2021</t>
  </si>
  <si>
    <t>11/03/2021</t>
  </si>
  <si>
    <t>11:15</t>
  </si>
  <si>
    <t>12/03/2021</t>
  </si>
  <si>
    <t>13/03/2021</t>
  </si>
  <si>
    <t>21:00</t>
  </si>
  <si>
    <t>14/03/2021</t>
  </si>
  <si>
    <t>15/03/2021</t>
  </si>
  <si>
    <t>14:30</t>
  </si>
  <si>
    <t>16/03/2021</t>
  </si>
  <si>
    <t>18:45</t>
  </si>
  <si>
    <t>17/03/2021</t>
  </si>
  <si>
    <t>18/03/2021</t>
  </si>
  <si>
    <t>19/03/2021</t>
  </si>
  <si>
    <t>19:00</t>
  </si>
  <si>
    <t>20/03/2021</t>
  </si>
  <si>
    <t>21/03/2021</t>
  </si>
  <si>
    <t>22/03/2021</t>
  </si>
  <si>
    <t>12:15</t>
  </si>
  <si>
    <t>23/03/2021</t>
  </si>
  <si>
    <t>24/03/2021</t>
  </si>
  <si>
    <t>25/03/2021</t>
  </si>
  <si>
    <t>21:45</t>
  </si>
  <si>
    <t>26/03/2021</t>
  </si>
  <si>
    <t>15:15</t>
  </si>
  <si>
    <t>27/03/2021</t>
  </si>
  <si>
    <t>28/03/2021</t>
  </si>
  <si>
    <t>29/03/2021</t>
  </si>
  <si>
    <t>30/03/2021</t>
  </si>
  <si>
    <t>31/03/2021</t>
  </si>
  <si>
    <t xml:space="preserve"> S.E. TALARA - TRAFO T20-21</t>
  </si>
  <si>
    <t xml:space="preserve"> 02/03/2021 10:47</t>
  </si>
  <si>
    <t>Desconectó el transformador T20 de 220/13.8 kV en la S.E. Talara por alarma de bajo nivel de aceite y disparo de la protección 86, debido a probable humedad en el circuito de disparo por lluvias en la zona de falla, según lo informado por REP, titular del transformador. Como consecuencia se interrumpió 16.6 MW en la barra de 13.8 kV de la S.E. Talara. A las 12:32 h se energizó en transformador desde el lado de 220 kV y a las 12:40 h se cerró en el lado de 13.8 kV y se coordinó recuperar la carga interrumpida.</t>
  </si>
  <si>
    <t>ELECTRONOROESTE S.A.</t>
  </si>
  <si>
    <t xml:space="preserve"> L. PIURA OESTE - SULLANA - LINEA L-6698</t>
  </si>
  <si>
    <t xml:space="preserve"> 03/03/2021 00:30</t>
  </si>
  <si>
    <t>Desconectó la línea L-6698 (Piura Oeste - Sullana) de 60 kV, por falla debido a descargas atmosféricas en la zona de Sullana, según informó Enosa, titular de la línea. Como consecuencia se interrumpió el suministro eléctrico en las SS.EE Sullana, Poechos, La Huaca con un total de 30.40 MW. Así mismo, desconectaron las C.H. Poechos (3.5 MW), C.H. Curumuy (11.9 MW) y C.T. Tablazo (13.86 MW).</t>
  </si>
  <si>
    <t xml:space="preserve"> 03/03/2021 08:31</t>
  </si>
  <si>
    <t>Desconectó la línea L-6698 (Piura Oeste - Sullana) de 60 kV por falla cuya causa no ha sido informada por Electronoroeste, titular de la línea. Como consecuencia se interrumpió la carga de las SS.EE. Sullana, Poechos y Quiroz con un total de 21.66 MW. La línea quedó fuera de servicio para su inspección. A las 10:28 h se culminó los trabajos correctivos en la línea y se procedió a conectar la línea, y recuperar la carga interrumpida.</t>
  </si>
  <si>
    <t xml:space="preserve"> S.E. AUCAYACU - BARRA BARRA22.9</t>
  </si>
  <si>
    <t xml:space="preserve"> 03/03/2021 09:34</t>
  </si>
  <si>
    <t>Desconectó la barra de 22,9 kV del transformador T28-162 en la S.E. Aucayacu, por falla monofásica en la fase “R" de la barra de 22,9 kV, debido al contacto de un ave con la fase “R” del Cut Out del transformador de servicios auxiliares el cual se conecta a la barra de 22,9 kV, según informó REP titular del equipo. Como consecuencia se interrumpió 1,77 MW. A las 10:08 h entró en servicio el transformador T65-121 de la S.E. Aucayacu y se coordinó recuperar la carga interrumpida.</t>
  </si>
  <si>
    <t xml:space="preserve"> L. SAN GABÁN II - MAZUCO - LINEA L-1014</t>
  </si>
  <si>
    <t xml:space="preserve"> 03/03/2021 13:46</t>
  </si>
  <si>
    <t>Desconectó la línea L-1014 (San Gabán - Mazuko) de 138 kV debido a falla monofásica en la fase "T" a 55.21 km de la S.E. San Gabán, debido a causas no identificadas por Electro Sur Este, titular de la línea. Como consecuencia desconectó la línea L-1015 (Mazuko - Puerto Maldonado) de 138 kV y se interrumpió el suministro eléctrico de 18.19 MWen las subestaciones Puerto Maldonado y Mazuko. Asimismo, se produjo la desconexión de la C.H. Angel III cuando generaba 20 MW.</t>
  </si>
  <si>
    <t xml:space="preserve"> L. AGUAS CALIENTES - CAJABAMBA - LINEA L-6634</t>
  </si>
  <si>
    <t xml:space="preserve"> 04/03/2021 17:27</t>
  </si>
  <si>
    <t>Desconectó la línea L-6634 (Aguas Calientes – Cajabamba) de 60 kV por falla bifásica a tierra entre las fases "R" y "S" originado por descargas atmosféricas en la zona, según lo informado por Hidrandina, titular de la línea. Como consecuencia se interrumpió el suministro de las SS.EE. Cajabamba, Huamachuco y al usuario libre Minera Poderosa con un total de 17.40 MW. A las 17:32 h, se conectó la línea L-6634 y se normalizó el suministro interrumpido.</t>
  </si>
  <si>
    <t xml:space="preserve"> S.E. AGUAYTÍA - TRAFO3D T110-212</t>
  </si>
  <si>
    <t xml:space="preserve"> 04/03/2021 18:54</t>
  </si>
  <si>
    <t>Desconectó el autotransformador T110-212 de 220/138/22.9 kV de la S.E. Aguaytía por falla monofásica en la fase "T" en el lado 22,9 kV del autotransformador T110-212, la falla fue despejada poractuación de la protección diferencial (87T), desconectando el autotransformador T110-212, la causa de la falla no fue informada por ISA Perú, titular del equipo; cabe señalar que en el instante de la falla, se registró arranque de la protección de sobrecorriente (50/51) en la línea L-1051 de la S.E. Aguaytía 22,9 kV, sin embargo, el interruptor asociado a la línea -1051 no abrió. Como consecuencia se interrumpieron 3,06 MW de la carga de Aguaytía (L-1051). A las 20:06 h se energizó el AT110-212. A las 20:10 se energiza la línea L-1051 en coordinación con Electro Ucayali recuperando la carga interrumpida.</t>
  </si>
  <si>
    <t xml:space="preserve"> L. PUNO - BELLAVISTA - LINEA L-6028</t>
  </si>
  <si>
    <t xml:space="preserve"> 04/03/2021 23:20</t>
  </si>
  <si>
    <t>Desconectó la línea L-6028 (Puno - Bellavista) de 60 kV, por actuación de la protección de sobrecorriente (50/51), debido a falla ocasionada por descargas atmosféricas en la zona, según lo informado por Electro Puno, titular de la línea. Como consecuencia se interrumpió la carga de la S.E. Bellavista 6.3 MW en total. A las 23:24 h entró en servicio la línea y se recuperó la carga interrumpida.</t>
  </si>
  <si>
    <t xml:space="preserve">ENEL DISTRIBUCION PERU </t>
  </si>
  <si>
    <t xml:space="preserve"> S.E. BARSI - SSEE S.E.</t>
  </si>
  <si>
    <t xml:space="preserve"> 06/03/2021 04:07</t>
  </si>
  <si>
    <t>Desconectó la S.E. Barsi 220 kV por actuación de la protección diferencial de barra, debido a causas que se encuentran en investigación por parte de Enel Distribución Perú, titular de la subestación. Como consecuencia se interrumpió los suministros de dicha subestación con un total de 119.6 MW. A las 04:45 h, el CC-ENEL declaró disponible la barra "B" de la S.E. Barsi 220 kV. A las 04:56 h, el CC-ENEL informó que se iniciará con la recuperación de suministros. A las 05:10 h, se energizó la barra "B" de la S.E. Barsi 220 kV a través de la línea L-2006 (Barsi - Chavarria). A las 05:11 h se conectó la línea L-2005 (Barsi - Chavarria). A las 05:11 h, se conectó el transformador TR-1 de la S.E. Barsi 220/60 kV y a las 05:12 h, se procedió con la recuperación de suministros interrumpidos y a las 05:18 h se recuperó el 100%. A las 05:13 h y 05:38 horas se energizaron los transformadores TR2 y TR-3 de la S.E. Barsi respectivamente.</t>
  </si>
  <si>
    <t xml:space="preserve"> L. ARES - HUANCARAMA - LINEA L-6017</t>
  </si>
  <si>
    <t xml:space="preserve"> 06/03/2021 13:39</t>
  </si>
  <si>
    <t>Desconectó la línea L-6017 (Ares – Huancarama) de 66 kV por falla monofásica en la fase "T" a 2.94 km desde la S.E. Ares, cuya causa se encuentra en investigación por Conenhua, titular de la línea. Como consecuencia desconectó la C.H. Huancarama (0.158 MW) y se interrumpió el suministro de Cotahuasi (0.153 MW) y Orcopampa (0.183 MW) de SEAL, y de la minera Buenaventura en Orcopampa (3.6 MW). A las 13:52 h, se conectó la línea L-6017 y se procedió a normalizar el suministro interrumpido.</t>
  </si>
  <si>
    <t>COMPAÑIA TRANSMISORA ANDINA S.A.</t>
  </si>
  <si>
    <t xml:space="preserve"> L. TRUJILLO NORTE - ALTO CHICAMA - LINEA L-1136</t>
  </si>
  <si>
    <t xml:space="preserve"> 07/03/2021 14:25</t>
  </si>
  <si>
    <t>Desconectó la línea en 138 kV L-1136 (Trujillo Norte - Alto Chicama) por falla monofásica en la "R" a 54 km desde la S.E. Trujillo Norte, cuya causa no fue informada por la Compañía Transmisora Andina, titular de la línea. Como consecuencia se interrumpió la carga de la S.E. Alto Chicama de la minera Barrick con un total de 11.55 MW. A las 14:43 h, se puso en servicio la línea y se coordinó recuperar la carga interrumpida.</t>
  </si>
  <si>
    <t xml:space="preserve"> S.E. ICA-NORTE - TRAFO TR1 60/10</t>
  </si>
  <si>
    <t xml:space="preserve"> 09/03/2021 06:55</t>
  </si>
  <si>
    <t>Desconectó el transformador T1 de 60/22.9/10 kV, 40/25 MVA de la S.E. Ica Norte, debido a la actuación de la protección diferencial por acoplamiento de una señal externa en el circuito de corriente del devanada de 22.9kV, según lo informado por Electrodunas, titular del equipo. Como consecuencia se interrumpió el suministro de la S.E. Ica Norte con 14.26 MW. A las 07:40 h, se conectó el transformador y se procedió a normalizar el suministro interrumpido.</t>
  </si>
  <si>
    <t xml:space="preserve"> 09/03/2021 14:17</t>
  </si>
  <si>
    <t>Desconectó la línea L-6017 (Ares – Huancarama) de 66 kV por fallamonofásica a tierra en la fase "T" a 1.67 km de la S.E. Ares, debido a descargas atmosféricas en la zona, informado por Conenhua, titular de la línea. Como consecuencia desconectó la C.H. Huancarama cuando generaba 3.53 MW y se interrumpió el suministro de SEAL en la S.E. Orcopampa y Cotahuasi con un total de 0.34 MW y de la minera Buenaventura en la S.E. Orcopampa (3.5 MW) y en la S.E. Chipmo (6,53 MW). A las 14:25 h, se conectó la línea L-6017 y se procedió a normalizar el suministro interrumpido</t>
  </si>
  <si>
    <t>MINERA HORIZONTE</t>
  </si>
  <si>
    <t xml:space="preserve"> L. TAYABAMBA - LLACUABAMBA - LINEA L-1134</t>
  </si>
  <si>
    <t xml:space="preserve"> 10/03/2021 09:11</t>
  </si>
  <si>
    <t>Desconectó la línea en 138 kV L-1134 (Tayabamba - Llacuabamba) de 138 kV por falla en la fase "R" debido a presencia de nieve en la zona, según informó Consorcio Minero Horizonte, titular de la línea. Como consecuencia desconectó la C.H. Pias I cuando generaba 9.8 MW y se interrumpió el suministro de la S.E. Llacuabamba en 21,36 MW. A las 09:41 h, se conectó la línea y se procedió a recuperar la carga interrumpida.</t>
  </si>
  <si>
    <t>ELECTRONORTE S.A.</t>
  </si>
  <si>
    <t xml:space="preserve"> S.E. CARHUAQUERO - TRAFO3D 2TPB011</t>
  </si>
  <si>
    <t xml:space="preserve"> 11/03/2021 12:52</t>
  </si>
  <si>
    <t>Desconectó el transformador 2TPB011 220/138/22.9 kV de la S.E. Carhuaquero por falla cuya causa no fue informada por Electronorte, titular del equipo. Como consecuencia se interrumpió una carga de aproximadamente 27 MW en las SS.EE. Cutervo, Carhuaquero, Bagua Jaén y San Ignacio. Asi mismo desconectaron las CCC.HH. Las Pizarras(18.11 MW) y las C.E. Duna y Huambos (6.133). A las 13:41 h, se energizó el transformador en el lado de 220 kV. A las 13:45 h, se energizó la barra de 22.9 kV y se coordinó recuperar la carga. A las 13:52 h, se puso en servicio la línea en 138 kV L-1130 (Carhuaquero - Espina Colorada). A las 13:55 h, se puso en servicio la línea en 138 kV L-1141 (Espina Colorada - Las Pizarras) y se coordinó sincronizar la C.H. Las Pizarras. A las 13:57 h, se puso en servicio la línea en 138 kV L-1334 (Espina Colorada - Duna Huambos). A las 14:00 h, se puso en servicio la línea en 138 kV L-1135 (Duna Huambos - Cutervo) y se coordinó recuperar la carga de Cutervo. A las 14:03 h, se puso en servicio la línea en 138 kV L-1138 (Cutervo - Nueva Jaén) y se coordinó recuperar la carga de Nueva Jaén. A las 14:46 la C.H. Carhuaquero sincronizó con el SEIN.</t>
  </si>
  <si>
    <t>UNION ANDINA DE CEMENTO</t>
  </si>
  <si>
    <t xml:space="preserve"> L. CARIPA - CONDORCOCHA - LINEA L-1706</t>
  </si>
  <si>
    <t xml:space="preserve"> 12/03/2021 17:17</t>
  </si>
  <si>
    <t>Desconectó la línea L-1706 (Caripa - Condorcocha) de 138 kV por falla debido a descargas atmosféricas, según lo informado por Unacem, titular de la línea. Como consecuencia, se interrumpió la carga en la S.E. Planta Condorcocha (31.84 MW) y la S.E. Ninatambo (0.46 MW) de Electrocentro. Así mismo, desconectó la C.H. Huasahuasi I (19.69 MW). A las 17:31 h entró en servicio la línea L-1706 y se coordinó recuperar la carga interrumpida y poner en servicio la C.H. Huasahuasi I.</t>
  </si>
  <si>
    <t xml:space="preserve"> 12/03/2021 17:43</t>
  </si>
  <si>
    <t>Desconectó nuevamente la línea L-1706 (Caripa - Condorcocha) de 138 kV por falla debido a descargas atmosféricas, según lo informado por Unacem, titular de la línea. Como consecuencia se interrumpió la carga en la S.E. Planta Condorcocha (31.84 MW) y en la S.E. Ninatambo (2.70 MW) de Electrocentro cuando se encontraban en proceso de restablecimiento.A las 17:57 h entró en servicio la línea L-1706 y se coordinó recuperar la carga interrumpida y poner en servicio la CC.HH. Huasahuasi I y Carpapata.</t>
  </si>
  <si>
    <t xml:space="preserve"> L. AZÁNGARO - ANTAUTA - LINEA L-6021</t>
  </si>
  <si>
    <t xml:space="preserve"> 12/03/2021 18:47</t>
  </si>
  <si>
    <t>Se produjo la desconexión de la línea L-6021 (Azángaro - Antauta) de 60 kV por falla, debido a descargas atmosféricas, según lo informado por Electropuno, titular de la línea. Como consecuencia se interrumpió el suministro de la S.E. Antauta con 2.2 MW. A las 18:48 h, se conectó la línea con lo cual se inició el restablecimiento del suministro interrumpido.</t>
  </si>
  <si>
    <t xml:space="preserve"> 12/03/2021 19:32</t>
  </si>
  <si>
    <t>Se produjo la desconexión de la línea L-6021 (Azángaro - Antauta) de 60 kV por falla, debido a descargas atmosféricas en la zona, según lo informado por Eletropuno, titular de la línea. Como consecuencia se interrumpió el suministro de la S.E. Antauta con 2.29 MW. A las 19:35 h, se conectó la línea con lo cual se inició el restablecimiento del suministro interrumpido.</t>
  </si>
  <si>
    <t xml:space="preserve"> L. OROYA NUEVA - Der. PACHACAYO - LINEA L-6601 A</t>
  </si>
  <si>
    <t xml:space="preserve"> 13/03/2021 14:09</t>
  </si>
  <si>
    <t>Desconectó la línea L-6601 (Oroya Nueva - Canchayllo) de 69 kV por sobrecarga del transformador de la S.E. Oroya Nueva de 50/72,5 kV y 12,5 MVA, según lo informado por Statkraft, titular de la línea. Como consecuencia se interrumpió el suministro en las subestaciones Azulcocha, Pachacayo y Chumpe con un total de 13,39 MW. A las 14:12 h la línea entró en servicio y se procedió a recuperar la carga interrumpida.</t>
  </si>
  <si>
    <t xml:space="preserve"> L. MARCONA - SAN NICOLÁS - LINEA L-6628</t>
  </si>
  <si>
    <t xml:space="preserve"> 14/03/2021 00:45</t>
  </si>
  <si>
    <t>A las 22:45 h del 13.03.2021, se produjo la desconexión de la línea L-6627 (Marcona - San Nicolás) de 60 kV por falla monofásica en la fase "R" debido a caída de monoposte, según lo informado por Red de Energía del Perú, titular de la línea. Como consecuencia, la línea paralela L-6628 se sobrecargó y a las 00:45 h, el CCO-COES coordinó rechazo manual de carga de 5 MW del usuario libre Shougang Hierro en la S.E San Nicolás. A las 07:54 h, la unidad TV2 de la C.T. San Nicolás sincronizó con el SEIN. A las 08:20 h, se coordinó con Shougang Hierro recuperar la carga interrumpida</t>
  </si>
  <si>
    <t>EMPRESA DE GENERACION ELECTRICA SANTA ANA</t>
  </si>
  <si>
    <t xml:space="preserve"> C.H. RENOVANDES H1 - CH CENTRAL</t>
  </si>
  <si>
    <t xml:space="preserve"> 15/03/2021 02:58</t>
  </si>
  <si>
    <t>Desconectó la línea L-6089 (La Virgen - Puntayacu) de 60 kV, por falla monofásica en la fase "R" en la línea de 60 kV (Puntayacu - San Vicente) de titularidad de la Minera San Ignacio de Morococha; la falla se debió a descargas atmosféricas en la zona, según lo informado por EGESA titular de la línea L-6089. Como consecuencia desconectó la C.H. Renovandes H1 con 19.89 MW aproximadamente. Así mismo, se interrumpió la carga en la S.E. Chanchamayo con un total de 2.6 MW. A las 03:11 h la línea L-6089 se puso en servicio y se procedió a recuperar el suministro interrumpido. A las 03:25 h el G1 de la C.H. Renovandes sincronizó con el SEIN.</t>
  </si>
  <si>
    <t xml:space="preserve"> L. AZÁNGARO - PUTINA - LINEA L-6024</t>
  </si>
  <si>
    <t xml:space="preserve"> 16/03/2021 15:54</t>
  </si>
  <si>
    <t>Desconectó la línea L-6024 / L-6025 (Azángaro – Putina – Ananea) de 60 kV por falla, debido a descarga atmosférica en la zona de Ananea. Como consecuencia se interrumpió el suministro de Ananea y Huancané en total 11.08 MW. A las 15:57 h, se conectaron las líneas L-6024 / L-6025 y se procedió a normalizar el suministro interrumpido.</t>
  </si>
  <si>
    <t>MINERA ARES</t>
  </si>
  <si>
    <t xml:space="preserve"> L. CALLALLI - CAYLLOMA - LINEA L-6015</t>
  </si>
  <si>
    <t xml:space="preserve"> 16/03/2021 16:28</t>
  </si>
  <si>
    <t>Desconectó la línea L-6015 (Callalli – Caylloma) de 66 kV por falla cuya causa no fue informada por minera Ares, titular de la línea. Como consecuencia se interrumpió el suministro de San Antonio (0.05 MW) de SEAL, asimismo, desconectaron las CC.HH. Huayllacho (0.22 MW) y San Antonio (0.55 MW). A las 16:34 h, se energizó la línea y se procedió a normalizar la carga interrumpida. A las 18:15 h la C.H. San Ignacio sincronizó con el SEIN. A las 10:18 del día 17.03.2021 la C.H. Huayllacho sincronizó con el SEIN.</t>
  </si>
  <si>
    <t xml:space="preserve"> L. HUALLANCA - LA PAMPA - LINEA L-6682</t>
  </si>
  <si>
    <t xml:space="preserve"> 17/03/2021 05:24</t>
  </si>
  <si>
    <t>Desconectó la línea L-6682 (Huallanca - La Pampa) de 66 kV por falla monofásica en la fase "R" debido a caída de conductor entre las estructuras N° 48 y 49, ubicada a una distancia de 14,6 km desde la S.E. Huallanca, según lo informado por Hidrandina, titular de la línea. Como consecuencia se interrumpió el suministro en las SS.EE. La Pampa y Pallasca con un total de 1,06 MW; así mismo, desconectó la C.H. Manta cuando generaba 7,01 MW con el grupo G2. A las 15:26 h se puso en servicio la línea L-6682 y se procedió a recuperar los suministros interrumpidos. A las 15:50 h, el grupo G2 de la C.H. Manta sincronizó con el SEIN.</t>
  </si>
  <si>
    <t xml:space="preserve"> 17/03/2021 16:11</t>
  </si>
  <si>
    <t>Desconectó la línea L-6017 (Ares – Huancarama) de 66 kV por falla en la fase "S" a 26.31 km de la S.E. Ares, por causa que se investiga por Conenhua, titular de la línea. Como consecuencia se interrumpió el suministro de SEAL en la S.E. Cotahuasi y Orcapampa con un total de 1,0 MW y de la minera Buenaventura en la S.E. Orcopampa con 3.435 MW. A las 16:19 h, se energizó la línea L-6017 y a las 17:00 h SEAL normalizó el suministro interrumpido.</t>
  </si>
  <si>
    <t xml:space="preserve"> L. DUNA - CUTERVO - LINEA L-1135</t>
  </si>
  <si>
    <t xml:space="preserve"> 17/03/2021 16:49</t>
  </si>
  <si>
    <t>Desconectó la línea en 138 kV L-1135 (Duna Huambos - Cutervo) por falla monofásica en la fase "S", ubicada a 7,2 km de la S.E. Duna Huambos, cuya causa no fue informada por Electronorte, titular de la línea. Como consecuencia se interrumpió el suministro de las SS.EE. Cutervo, Bagua, Jaen y San Ignacio con un total de 20.2 MW aproximadamente. Asimismo, desconectó el grupo G1 de la C.H. Pizarras cuando generaba 9.21 MW y las Centrales Eólicas Duna (2.75 MW) y Huambos (2.25 MW).</t>
  </si>
  <si>
    <t xml:space="preserve"> L. HUALLANCA - CARAZ - LINEA L-6678</t>
  </si>
  <si>
    <t xml:space="preserve"> 18/03/2021 05:59</t>
  </si>
  <si>
    <t>Desconectó la línea L-6678 (Huallanca - Santa Cruz) de 66 kV, por falla monofásica a tierra en la fase “S”, por causas que investiga Hidrandina, titular de la línea. Como consecuencia se interrumpió la carga de la SE Caraz y SE Carhuaz con un total de 3,06 MW, asimismo, desconectó la CH Santa Cruz con 13,2 MW. A las 06:27 h se conectó la línea y se recuperó la carga interrumpida. A las 07:10 h la CH Santa Cruz sincronizó con el SEIN.</t>
  </si>
  <si>
    <t xml:space="preserve">SINERSA </t>
  </si>
  <si>
    <t xml:space="preserve"> L. POECHOS - SULLANA - LINEA L-6668</t>
  </si>
  <si>
    <t xml:space="preserve"> 18/03/2021 14:49</t>
  </si>
  <si>
    <t>Desconectó la línea L-6668 (Sullana – Poechos) de 60 kV por falla monofásica en la fase "S" a 2,9 km desde la S.E. Sullana, debido al impacto de ave de rapiña en la estructura Nro. 189, según lo informado por SINERSA, titular de la línea. Como consecuencia desconectó las CC.HH Poechos I (15,65 MW) y Poechos II (7,3 MW), y se interrumpió lo suministros de las SS.EE. Quiroz y Poechos con un total de 6,21 MW.A las 15:00 h, se conectó la línea L-6668 y se procedió a normalizar el suministro interrumpido.</t>
  </si>
  <si>
    <t xml:space="preserve"> L. GUADALUPE - CHEPÉN - LINEA L-6645</t>
  </si>
  <si>
    <t xml:space="preserve"> 19/03/2021 12:32</t>
  </si>
  <si>
    <t>Desconectó la línea L-6645 (Guadalupe - Chepén) de 60 kV por falla en la fase R, debido a contacto de ave con el conductor cercano a la estructura N°29 a 5.63 km desde la S.E. Guadalupe. Como consecuencia el usuario libre Cementos Pacasmayo (CNP) disminuyó su carga de 11.84 MW a 10.29 MW y se interrumpió el suministro de Chepén con un total de 10.03 MW. A las 12:33 h, se conectó la línea L-6645 y se procedió a normalizar el suministro interrumpido. A las 12:35 h, el usuario libre CNP inició la recuperación de su carga.</t>
  </si>
  <si>
    <t xml:space="preserve"> L. AZÁNGARO - SAN RAFAEL - LINEA L-1009</t>
  </si>
  <si>
    <t xml:space="preserve"> 20/03/2021 13:46</t>
  </si>
  <si>
    <t xml:space="preserve">Desconectaron las líneas en 138 kV L-1009 (Azángaro - San Rafael) por falla monofásica en la fase "R" debido a causas que se investigan por San Gabán, titular de la línea. Asimismo, desconectó la línea L-1051 (San Rafael - El Ángel) por falla cuya causa no fue informada por San Gabán, titular de las línea. Como consecuencia quedó fuera de servicio la SS.EE. San Rafael y se interrumpió un total de 24.609 MW de Minsur y 3.190 MW de Electro Sur Este en la S.E. Puerto Maldonado. Adicionalmente salieron de servicio las CC.HH. Ángel I, II y III con 60 MW. A las 13:51 h, se coordinó con Gepsa poner en servicio sus centrales. A las 14:03 h, se puso en servicio la línea L-1009 y se coordinó recuperar la carga de San Rafael. A las 14:04 h se recuperó la carga interrumpida de Electro Sur Este. A las 14:13 h, se puso en servicio la línea L-1051. A las 15:47 h , 16:06 h y 14:29 h la C.H. Ángel I, II y III respectivamente, sincronizaron con el SEIN, </t>
  </si>
  <si>
    <t>CONELSUR LT SAC</t>
  </si>
  <si>
    <t xml:space="preserve"> L. ARES - TALTA - LINEA L-1047</t>
  </si>
  <si>
    <t xml:space="preserve"> 22/03/2021 06:51</t>
  </si>
  <si>
    <t>Desconectó la línea en 138 kV L-1047 (Talta - Ares) por falla bifásica entre las fases "R" y "S" a 17.09 km desde la S.E. Ares, debido a probable acercamiento de fases por efecto galopín, informada por Conelsur, titular de la línea. Como consecuencia se interrumpió el suministro de las SS.EE. Ares, Arcata, y en las SS.EE. Orcopampa y Cotahuasi de SEAL con un total de 0.58 MW. Asimismo, desconectó la C.H. Misapuquio cuando generaba 3.86 MW. A las 07:25 h, la línea L-1047 se energizó y se procedió a normalizar los suministros interrumpidos.</t>
  </si>
  <si>
    <t xml:space="preserve"> 23/03/2021 13:30</t>
  </si>
  <si>
    <t>Desconectó la línea L-6668 (Sullana – Poechos) de 60 kV por falla monofásica en la fase "S" a 3 km de la S.E. Sullana, debido al impacto de una ave con la línea en la estructura N° 188, según lo informado por SINERSA, titular de la línea. Como consecuencia desconectaron las CC.HH Poechos I y II cuando generaban 15.8 MW y 7.92 MW, respectivamente. Así mismo, se interrumpió el suministro de Electro Nor Oeste con un total de 6.7 MW. A las 13:49 h, se conectó la línea L-6668 y se inició las maniobras para restablecer el suministro interrumpido.</t>
  </si>
  <si>
    <t xml:space="preserve"> L. TALTA - TAMBOMAYO - LINEA L-1048</t>
  </si>
  <si>
    <t xml:space="preserve"> 23/03/2021 16:35</t>
  </si>
  <si>
    <t>Desconectó la línea L-1048 (Talta – Tambomayo) de 138 kV por falla bifásica a tierra entre las fases "R" y "S", ubicada a 13,3 km desde la S.E. Tambomayo, debido a descargas atmosféricas en la zona, según lo informado por Conenhua, titular de la línea. Como consecuencia se interrumpió el suministro de la S.E. Tambomayo con un total de 7,3 MW. A las 16:39 h, se energizó la línea y se procedió a normalizar el suministro interrumpido.</t>
  </si>
  <si>
    <t xml:space="preserve"> 25/03/2021 18:31</t>
  </si>
  <si>
    <t>Desconectó la línea L-6015 (Callalli - Caylloma) de 66 kV, por falla, debido a causa que investiga MINERA ARES, titular de la línea. Como consecuencia se interrumpió la carga de la S.E. Caylloma en 4.07 MW, así mismo desconectaron las centrales hidroeléctricas Huayllacho, San Ignacio y San Antonio cuando generaban un total de 1.19 MW. A las 18:44 h, se conectó la línea L-6015 y se inició el restablecimiento. A las 19:10 h y 19:36 h sincronizaron con el SEIN las CCHH San Antonio y San Ignacio respectivamente. Asimismo, a las 09:22 h del 26.03.2021 sincronizó con el SEIN la C.H Huayllacho.</t>
  </si>
  <si>
    <t xml:space="preserve"> L. PUNO - POMATA - ILAVE - LINEA L-6027</t>
  </si>
  <si>
    <t xml:space="preserve"> 28/03/2021 00:10</t>
  </si>
  <si>
    <t>Desconectó la línea L-6027 (Puno - Pomata) de 60 kV por falla debido a descarga atmosférica en la zona, informada por Electro Puno, titular de la línea. Como consecuencia se interrumpió el suministro de las SS.EE. Pomata e Ilave con un total de 3,13 MW. A las 00:14 h, se conectó la línea y se procedió a recuperar la carga interrumpida</t>
  </si>
  <si>
    <t xml:space="preserve"> L. INGENIO - CAUDALOSA - LINEA L-6644</t>
  </si>
  <si>
    <t xml:space="preserve"> 28/03/2021 07:10</t>
  </si>
  <si>
    <t>Desconectó la línea L-6644 (Ingenio - Caudalosa) de 60 kV, por falla bifásica a tierra entre las fases "S" y "T" a una distancia de 26.26 km de la S.E. Ingenio, debido a intensa nevada en la zona, según lo informado por COMPAÑIA TRANSMISORA SUR ANDINO S.A.C, titular de la línea. Como consecuencia se interrumpió el suministro de la S.E. Caudalosa con un total de 4.47 MW, afectando 0.54 MW de la empresa Electrodunas. A las 07:41 h, se conectó la línea L-6644 y se inició la recuperación del suministro interrumpido.</t>
  </si>
  <si>
    <t xml:space="preserve"> L. COLCABAMBA - POROMA - LINEA L-5031</t>
  </si>
  <si>
    <t xml:space="preserve"> 29/03/2021 16:29</t>
  </si>
  <si>
    <t>Recierre exitoso de la línea L-5031 (Colcabamba - Poroma) de 500 kV por falla monofásica en la fase "R”, debido a descargas atmosféricas en la zona, según lo informado por Transmantaro, titular de la línea. Como consecuencia el cliente libre Cerro Verde redujo carga en Planta concentradora 2 (C2) de la S.E. San José en 43.4 MW. A las 16:32 h se coordinó con el cliente libre Cerro Verde recuperar la carga interrumpida.</t>
  </si>
  <si>
    <t xml:space="preserve"> L. OXAPAMPA - VILLA RICA - LINEA L-6080</t>
  </si>
  <si>
    <t xml:space="preserve"> 30/03/2021 00:48</t>
  </si>
  <si>
    <t>Desconectó la línea L-6080 (Oxapampa - Villa Rica) de 60 kV en la S.E. Villa Rica, por falla debido a descargas atmosféricas, según lo informado por Electrocentro, titular de la línea. Como consecuencia, se interrumpió el suministro de las subestaciones Villa Rica, Pichanaki, Puerto Bermudez, Ciudad Constitución, Satipo y Chalhumayo con un total de 8.69 MW. A la 01:35 h, se energizó la línea L-6080 y se procedió a restablecer el suministro interrumpido.</t>
  </si>
  <si>
    <t xml:space="preserve"> 30/03/2021 14:10</t>
  </si>
  <si>
    <t>Desconectó la línea L-6024 (Azángaro-Putina-Ananea) de 60 kV por falla debido a descargas atmosféricas, según lo informado por Electro Puno, titular de la línea. Como consecuencia se interrumpió el suministro en las SS.EE Ananea y Huancané con un total de 11,6 MW. A las 14:10 h, se energizó la línea L-6024 y se procedió a recuperar los suministros interrumpidos.</t>
  </si>
  <si>
    <t xml:space="preserve"> L. HUANCAVELICA - MOLLEPATA - LINEA L-2145</t>
  </si>
  <si>
    <t xml:space="preserve"> 31/03/2021 16:45</t>
  </si>
  <si>
    <t>Desconectó la línea L-2145 (Huancavelica - Mollepata) de 220 kV, por falla bifásica a tierra entre fases S y T, debido a probable descarga atmosférica, según lo informado por Transmantaro, titular de la línea. Como consecuencia, se interrumpió la carga de S.E. Mollepata con 23.24 MW. A las 16:52 h se conectó la línea y se procedió a recuperar los suministros interrumpidos.</t>
  </si>
  <si>
    <t xml:space="preserve"> L. MOROCOCHA - CARLOS FRANCISCO - LINEA L-6532</t>
  </si>
  <si>
    <t xml:space="preserve"> 31/03/2021 17:47</t>
  </si>
  <si>
    <t>Desconectó la línea L-6532 (Morococha - Carlos Francisco) de 50 kV, por falla originada por descargas atmosféricas, según lo informado por Statkraft, titular de la línea. Como consecuencia, se interrumpió el suministro de la S.E. Casapalca Norte con un total de 0,40 MW. A las 17:48 h, se conectó la línea y se recuperó la carga interrumpida.</t>
  </si>
  <si>
    <t>CENTRAL HIDROELÉCTRICA</t>
  </si>
  <si>
    <t>SUBESTACION</t>
  </si>
  <si>
    <t>TRANSFORMADOR 2D</t>
  </si>
  <si>
    <t>L-2222  L-2223</t>
  </si>
  <si>
    <t>L-2003  L-2004</t>
  </si>
  <si>
    <t>PACHACHACA - CALLAHUANCA (REP)</t>
  </si>
  <si>
    <t>SANTA ROSA N. - CHAVARRÍA</t>
  </si>
  <si>
    <t>VOLUMEN ÚTIL
31-03-2021</t>
  </si>
  <si>
    <t>VOLUMEN ÚTIL
31-03-2020</t>
  </si>
  <si>
    <r>
      <t>GR TARUCA</t>
    </r>
    <r>
      <rPr>
        <vertAlign val="superscript"/>
        <sz val="6"/>
        <color theme="1"/>
        <rFont val="Arial"/>
        <family val="2"/>
      </rPr>
      <t xml:space="preserve"> (1)</t>
    </r>
  </si>
  <si>
    <r>
      <t>GR PAINO</t>
    </r>
    <r>
      <rPr>
        <vertAlign val="superscript"/>
        <sz val="6"/>
        <color theme="1"/>
        <rFont val="Arial"/>
        <family val="2"/>
      </rPr>
      <t xml:space="preserve"> (2)</t>
    </r>
  </si>
  <si>
    <t>(1) El 23 de Marzo se deja sin efecto la Operación Comercial de la C.E. Huambos, propiedad de GR PAINO S.A.C.</t>
  </si>
  <si>
    <t>(2) El 23 de Marzo se deja sin efecto la Operación Comercial de la C.E. Dunas, propiedad de GR TARUCA S.A.C.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</si>
</sst>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4" tint="-0.249977111117893"/>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5"/>
      <color theme="1"/>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sz val="8"/>
      <name val="Calibri"/>
      <family val="2"/>
    </font>
    <font>
      <b/>
      <sz val="10"/>
      <color theme="0" tint="-0.34998626667073579"/>
      <name val="Arial"/>
      <family val="2"/>
    </font>
    <font>
      <sz val="10"/>
      <color theme="0" tint="-0.34998626667073579"/>
      <name val="Arial"/>
      <family val="2"/>
    </font>
    <font>
      <i/>
      <sz val="8"/>
      <color theme="0" tint="-0.34998626667073579"/>
      <name val="Arial"/>
      <family val="2"/>
    </font>
    <font>
      <vertAlign val="superscript"/>
      <sz val="6"/>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5">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hair">
        <color theme="4"/>
      </left>
      <right style="hair">
        <color theme="4"/>
      </right>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2"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3" fillId="0" borderId="0" xfId="0" applyFont="1" applyAlignment="1">
      <alignment vertical="center"/>
    </xf>
    <xf numFmtId="0" fontId="43" fillId="0" borderId="0" xfId="0" applyFont="1"/>
    <xf numFmtId="0" fontId="44"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48"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49" fillId="0" borderId="0" xfId="0" applyFont="1"/>
    <xf numFmtId="0" fontId="50" fillId="0" borderId="0" xfId="0" applyFont="1"/>
    <xf numFmtId="0" fontId="30" fillId="0" borderId="86" xfId="0" applyFont="1" applyBorder="1"/>
    <xf numFmtId="43" fontId="30" fillId="0" borderId="86" xfId="1" applyFont="1" applyBorder="1"/>
    <xf numFmtId="0" fontId="46" fillId="0" borderId="0" xfId="0" applyFont="1" applyAlignment="1">
      <alignment vertical="center"/>
    </xf>
    <xf numFmtId="0" fontId="46" fillId="0" borderId="0" xfId="0" applyFont="1" applyAlignment="1">
      <alignment horizontal="center"/>
    </xf>
    <xf numFmtId="0" fontId="46" fillId="0" borderId="0" xfId="0" applyFont="1" applyAlignment="1">
      <alignment vertical="center" wrapText="1"/>
    </xf>
    <xf numFmtId="0" fontId="46" fillId="0" borderId="0" xfId="0" applyFont="1" applyAlignment="1">
      <alignment horizontal="left" vertical="center" wrapText="1"/>
    </xf>
    <xf numFmtId="49" fontId="47" fillId="0" borderId="0" xfId="0" applyNumberFormat="1" applyFont="1" applyAlignment="1">
      <alignment horizontal="right"/>
    </xf>
    <xf numFmtId="1" fontId="47" fillId="0" borderId="0" xfId="0" applyNumberFormat="1" applyFont="1" applyAlignment="1">
      <alignment horizontal="right"/>
    </xf>
    <xf numFmtId="49" fontId="47" fillId="0" borderId="0" xfId="0" applyNumberFormat="1" applyFont="1" applyAlignment="1">
      <alignment horizontal="center"/>
    </xf>
    <xf numFmtId="1" fontId="47" fillId="0" borderId="0" xfId="0" applyNumberFormat="1" applyFont="1" applyAlignment="1">
      <alignment horizontal="center"/>
    </xf>
    <xf numFmtId="165" fontId="47" fillId="0" borderId="0" xfId="0" applyNumberFormat="1" applyFont="1" applyAlignment="1">
      <alignment horizontal="center"/>
    </xf>
    <xf numFmtId="0" fontId="30" fillId="0" borderId="0" xfId="0" applyFont="1" applyAlignment="1">
      <alignment horizontal="center"/>
    </xf>
    <xf numFmtId="0" fontId="47" fillId="0" borderId="0" xfId="0" applyFont="1" applyAlignment="1">
      <alignment vertical="center"/>
    </xf>
    <xf numFmtId="0" fontId="47"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7"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7"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7"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7" fillId="2" borderId="34" xfId="0" applyNumberFormat="1" applyFont="1" applyFill="1" applyBorder="1" applyAlignment="1">
      <alignment horizontal="center" vertical="center"/>
    </xf>
    <xf numFmtId="170" fontId="51" fillId="5" borderId="23" xfId="0" applyNumberFormat="1" applyFont="1" applyFill="1" applyBorder="1" applyAlignment="1">
      <alignment horizontal="center" vertical="center"/>
    </xf>
    <xf numFmtId="170" fontId="51" fillId="5" borderId="40" xfId="0" applyNumberFormat="1" applyFont="1" applyFill="1" applyBorder="1" applyAlignment="1">
      <alignment horizontal="center" vertical="center"/>
    </xf>
    <xf numFmtId="0" fontId="53"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2"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1" fillId="4" borderId="87" xfId="0" applyFont="1" applyFill="1" applyBorder="1"/>
    <xf numFmtId="43" fontId="51"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0" fontId="0" fillId="2" borderId="0" xfId="0" applyFill="1" applyAlignment="1">
      <alignment horizontal="right"/>
    </xf>
    <xf numFmtId="0" fontId="0" fillId="2" borderId="0" xfId="0" applyFill="1"/>
    <xf numFmtId="0" fontId="51"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5" fillId="0" borderId="0" xfId="0" applyFont="1"/>
    <xf numFmtId="0" fontId="56" fillId="0" borderId="0" xfId="0" applyFont="1" applyAlignment="1">
      <alignment vertical="center"/>
    </xf>
    <xf numFmtId="49" fontId="55" fillId="0" borderId="0" xfId="0" applyNumberFormat="1" applyFont="1" applyAlignment="1">
      <alignment horizontal="center"/>
    </xf>
    <xf numFmtId="1" fontId="55" fillId="0" borderId="0" xfId="0" applyNumberFormat="1" applyFont="1" applyAlignment="1">
      <alignment horizontal="center"/>
    </xf>
    <xf numFmtId="49" fontId="55" fillId="0" borderId="0" xfId="0" applyNumberFormat="1" applyFont="1" applyAlignment="1">
      <alignment horizontal="left"/>
    </xf>
    <xf numFmtId="1" fontId="55" fillId="0" borderId="0" xfId="0" applyNumberFormat="1" applyFont="1" applyAlignment="1">
      <alignment horizontal="left"/>
    </xf>
    <xf numFmtId="165" fontId="55" fillId="0" borderId="0" xfId="0" applyNumberFormat="1" applyFont="1" applyAlignment="1">
      <alignment horizontal="center"/>
    </xf>
    <xf numFmtId="10" fontId="5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2"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2" fillId="8" borderId="120" xfId="2" applyNumberFormat="1" applyFont="1" applyFill="1" applyBorder="1" applyAlignment="1">
      <alignment vertical="center"/>
    </xf>
    <xf numFmtId="0" fontId="52"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7" fillId="2" borderId="0" xfId="0" applyFont="1" applyFill="1" applyAlignment="1">
      <alignment horizontal="left" vertical="center" wrapText="1"/>
    </xf>
    <xf numFmtId="0" fontId="51" fillId="0" borderId="30" xfId="0" applyFont="1" applyBorder="1"/>
    <xf numFmtId="0" fontId="51" fillId="4" borderId="133" xfId="0" applyFont="1" applyFill="1" applyBorder="1"/>
    <xf numFmtId="43" fontId="30" fillId="0" borderId="31" xfId="1" applyFont="1" applyBorder="1"/>
    <xf numFmtId="43" fontId="51" fillId="4" borderId="134" xfId="1" applyFont="1" applyFill="1" applyBorder="1"/>
    <xf numFmtId="0" fontId="51" fillId="0" borderId="30" xfId="0" applyFont="1" applyBorder="1" applyAlignment="1">
      <alignment wrapText="1"/>
    </xf>
    <xf numFmtId="43" fontId="30" fillId="0" borderId="136" xfId="1" applyFont="1" applyBorder="1"/>
    <xf numFmtId="0" fontId="51"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6" fillId="4" borderId="141" xfId="0" applyFont="1" applyFill="1" applyBorder="1" applyAlignment="1">
      <alignment horizontal="center" vertical="center"/>
    </xf>
    <xf numFmtId="4" fontId="46" fillId="4" borderId="142" xfId="0" applyNumberFormat="1" applyFont="1" applyFill="1" applyBorder="1" applyAlignment="1">
      <alignment horizontal="center" vertical="center"/>
    </xf>
    <xf numFmtId="0" fontId="30" fillId="0" borderId="0" xfId="0" applyFont="1" applyAlignment="1">
      <alignment vertical="center"/>
    </xf>
    <xf numFmtId="0" fontId="58" fillId="0" borderId="0" xfId="0" applyFont="1"/>
    <xf numFmtId="0" fontId="58" fillId="0" borderId="0" xfId="0" applyFont="1" applyAlignment="1">
      <alignment horizontal="right"/>
    </xf>
    <xf numFmtId="0" fontId="59" fillId="4" borderId="140" xfId="0" applyFont="1" applyFill="1" applyBorder="1" applyAlignment="1">
      <alignment vertical="center"/>
    </xf>
    <xf numFmtId="0" fontId="59" fillId="0" borderId="140" xfId="0" applyFont="1" applyFill="1" applyBorder="1" applyAlignment="1">
      <alignment vertical="center" wrapText="1"/>
    </xf>
    <xf numFmtId="0" fontId="47" fillId="0" borderId="141" xfId="0" applyFont="1" applyFill="1" applyBorder="1" applyAlignment="1">
      <alignment horizontal="center" vertical="center"/>
    </xf>
    <xf numFmtId="0" fontId="46" fillId="0" borderId="141" xfId="0" applyFont="1" applyFill="1" applyBorder="1" applyAlignment="1">
      <alignment horizontal="center" vertical="center"/>
    </xf>
    <xf numFmtId="4" fontId="47"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51" fillId="4" borderId="133" xfId="0" applyFont="1" applyFill="1" applyBorder="1" applyAlignment="1">
      <alignment wrapText="1"/>
    </xf>
    <xf numFmtId="0" fontId="60" fillId="0" borderId="0" xfId="0" applyFont="1" applyAlignment="1">
      <alignment vertical="center"/>
    </xf>
    <xf numFmtId="49" fontId="49" fillId="0" borderId="0" xfId="0" applyNumberFormat="1" applyFont="1" applyAlignment="1">
      <alignment horizontal="right"/>
    </xf>
    <xf numFmtId="1" fontId="49" fillId="0" borderId="0" xfId="0" applyNumberFormat="1" applyFont="1" applyAlignment="1">
      <alignment horizontal="right"/>
    </xf>
    <xf numFmtId="0" fontId="49"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1" fontId="49" fillId="0" borderId="0" xfId="0" applyNumberFormat="1" applyFont="1"/>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1" fillId="0" borderId="0" xfId="0" applyFont="1"/>
    <xf numFmtId="0" fontId="62" fillId="0" borderId="0" xfId="0" applyFont="1" applyAlignment="1">
      <alignment vertical="center"/>
    </xf>
    <xf numFmtId="0" fontId="62" fillId="0" borderId="0" xfId="0" applyFont="1"/>
    <xf numFmtId="0" fontId="45"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5"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5"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7" fillId="0" borderId="78" xfId="1" applyFont="1" applyBorder="1" applyAlignment="1">
      <alignment vertical="center" wrapText="1"/>
    </xf>
    <xf numFmtId="0" fontId="47"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9" fillId="0" borderId="143" xfId="0" applyFont="1" applyFill="1" applyBorder="1" applyAlignment="1">
      <alignment vertical="center" wrapText="1"/>
    </xf>
    <xf numFmtId="0" fontId="47" fillId="0" borderId="144" xfId="0" applyFont="1" applyFill="1" applyBorder="1" applyAlignment="1">
      <alignment horizontal="center" vertical="center"/>
    </xf>
    <xf numFmtId="4" fontId="47"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4" fillId="0" borderId="0" xfId="0" applyFont="1" applyAlignment="1">
      <alignment horizontal="center" vertical="center" wrapText="1"/>
    </xf>
    <xf numFmtId="174" fontId="0" fillId="0" borderId="0" xfId="0" applyNumberFormat="1" applyFont="1"/>
    <xf numFmtId="0" fontId="47" fillId="2" borderId="0" xfId="0" applyFont="1" applyFill="1" applyAlignment="1">
      <alignment vertical="center"/>
    </xf>
    <xf numFmtId="43" fontId="47" fillId="2" borderId="46" xfId="1" applyFont="1" applyFill="1" applyBorder="1" applyAlignment="1">
      <alignment vertical="center"/>
    </xf>
    <xf numFmtId="43" fontId="47" fillId="2" borderId="46" xfId="0" applyNumberFormat="1" applyFont="1" applyFill="1" applyBorder="1" applyAlignment="1">
      <alignment vertical="center"/>
    </xf>
    <xf numFmtId="167" fontId="46" fillId="2" borderId="47" xfId="2" applyNumberFormat="1" applyFont="1" applyFill="1" applyBorder="1" applyAlignment="1">
      <alignment vertical="center"/>
    </xf>
    <xf numFmtId="0" fontId="47" fillId="4" borderId="0" xfId="0" applyFont="1" applyFill="1" applyAlignment="1">
      <alignment vertical="center"/>
    </xf>
    <xf numFmtId="43" fontId="47" fillId="4" borderId="46" xfId="0" applyNumberFormat="1" applyFont="1" applyFill="1" applyBorder="1" applyAlignment="1">
      <alignment vertical="center"/>
    </xf>
    <xf numFmtId="167" fontId="46" fillId="4" borderId="47" xfId="2" applyNumberFormat="1" applyFont="1" applyFill="1" applyBorder="1" applyAlignment="1">
      <alignment vertical="center"/>
    </xf>
    <xf numFmtId="167" fontId="51" fillId="4" borderId="47" xfId="2" applyNumberFormat="1" applyFont="1" applyFill="1" applyBorder="1" applyAlignment="1">
      <alignment vertical="center"/>
    </xf>
    <xf numFmtId="0" fontId="47" fillId="2" borderId="48" xfId="0" applyFont="1" applyFill="1" applyBorder="1" applyAlignment="1">
      <alignment vertical="center"/>
    </xf>
    <xf numFmtId="0" fontId="47" fillId="4" borderId="49" xfId="0" applyFont="1" applyFill="1" applyBorder="1" applyAlignment="1">
      <alignment vertical="center"/>
    </xf>
    <xf numFmtId="0" fontId="47" fillId="2" borderId="49" xfId="0" applyFont="1" applyFill="1" applyBorder="1" applyAlignment="1">
      <alignment vertical="center"/>
    </xf>
    <xf numFmtId="0" fontId="47" fillId="4" borderId="49" xfId="0" applyFont="1" applyFill="1" applyBorder="1" applyAlignment="1">
      <alignment vertical="center" wrapText="1"/>
    </xf>
    <xf numFmtId="0" fontId="47" fillId="2" borderId="49" xfId="0" applyFont="1" applyFill="1" applyBorder="1" applyAlignment="1">
      <alignment vertical="center" wrapText="1"/>
    </xf>
    <xf numFmtId="43" fontId="47" fillId="2" borderId="50" xfId="0" applyNumberFormat="1" applyFont="1" applyFill="1" applyBorder="1" applyAlignment="1">
      <alignment vertical="center"/>
    </xf>
    <xf numFmtId="167" fontId="46" fillId="2" borderId="51" xfId="2" applyNumberFormat="1" applyFont="1" applyFill="1" applyBorder="1" applyAlignment="1">
      <alignment vertical="center"/>
    </xf>
    <xf numFmtId="0" fontId="47" fillId="4" borderId="52" xfId="0" applyFont="1" applyFill="1" applyBorder="1" applyAlignment="1">
      <alignment vertical="center"/>
    </xf>
    <xf numFmtId="0" fontId="47" fillId="2" borderId="0" xfId="0" applyFont="1" applyFill="1" applyBorder="1" applyAlignment="1">
      <alignment vertical="center"/>
    </xf>
    <xf numFmtId="43" fontId="47" fillId="2" borderId="0" xfId="0" applyNumberFormat="1" applyFont="1" applyFill="1" applyBorder="1" applyAlignment="1">
      <alignment vertical="center"/>
    </xf>
    <xf numFmtId="167" fontId="46" fillId="2" borderId="0" xfId="2" applyNumberFormat="1"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7" fillId="2" borderId="61" xfId="0" applyFont="1" applyFill="1" applyBorder="1" applyAlignment="1">
      <alignment vertical="center"/>
    </xf>
    <xf numFmtId="170" fontId="47" fillId="2" borderId="61" xfId="0" applyNumberFormat="1" applyFont="1" applyFill="1" applyBorder="1" applyAlignment="1">
      <alignment vertical="center"/>
    </xf>
    <xf numFmtId="167" fontId="46" fillId="2" borderId="61" xfId="2" applyNumberFormat="1" applyFont="1" applyFill="1" applyBorder="1" applyAlignment="1">
      <alignment vertical="center"/>
    </xf>
    <xf numFmtId="0" fontId="47" fillId="4" borderId="62" xfId="0" applyFont="1" applyFill="1" applyBorder="1" applyAlignment="1">
      <alignment vertical="center"/>
    </xf>
    <xf numFmtId="170" fontId="47" fillId="4" borderId="62" xfId="0" applyNumberFormat="1" applyFont="1" applyFill="1" applyBorder="1" applyAlignment="1">
      <alignment vertical="center"/>
    </xf>
    <xf numFmtId="167" fontId="46" fillId="4" borderId="62" xfId="2" applyNumberFormat="1" applyFont="1" applyFill="1" applyBorder="1" applyAlignment="1">
      <alignment vertical="center"/>
    </xf>
    <xf numFmtId="0" fontId="47" fillId="2" borderId="62" xfId="0" applyFont="1" applyFill="1" applyBorder="1" applyAlignment="1">
      <alignment vertical="center"/>
    </xf>
    <xf numFmtId="170" fontId="47" fillId="2" borderId="62" xfId="0" applyNumberFormat="1" applyFont="1" applyFill="1" applyBorder="1" applyAlignment="1">
      <alignment vertical="center"/>
    </xf>
    <xf numFmtId="167" fontId="46" fillId="2" borderId="62" xfId="2" applyNumberFormat="1" applyFont="1" applyFill="1" applyBorder="1" applyAlignment="1">
      <alignment vertical="center"/>
    </xf>
    <xf numFmtId="0" fontId="47" fillId="2" borderId="63" xfId="0" applyFont="1" applyFill="1" applyBorder="1" applyAlignment="1">
      <alignment vertical="center"/>
    </xf>
    <xf numFmtId="170" fontId="47" fillId="2" borderId="63" xfId="0" applyNumberFormat="1" applyFont="1" applyFill="1" applyBorder="1" applyAlignment="1">
      <alignment vertical="center"/>
    </xf>
    <xf numFmtId="167" fontId="46" fillId="2" borderId="63" xfId="2" applyNumberFormat="1" applyFont="1" applyFill="1" applyBorder="1" applyAlignment="1">
      <alignment vertical="center"/>
    </xf>
    <xf numFmtId="0" fontId="47" fillId="4" borderId="64" xfId="0" applyFont="1" applyFill="1" applyBorder="1" applyAlignment="1">
      <alignment vertical="center"/>
    </xf>
    <xf numFmtId="170" fontId="47" fillId="4" borderId="64" xfId="0" applyNumberFormat="1" applyFont="1" applyFill="1" applyBorder="1" applyAlignment="1">
      <alignment vertical="center"/>
    </xf>
    <xf numFmtId="167" fontId="46" fillId="4" borderId="64" xfId="2" applyNumberFormat="1" applyFont="1" applyFill="1" applyBorder="1" applyAlignment="1">
      <alignment vertical="center"/>
    </xf>
    <xf numFmtId="0" fontId="47" fillId="2" borderId="64" xfId="0" applyFont="1" applyFill="1" applyBorder="1" applyAlignment="1">
      <alignment vertical="center"/>
    </xf>
    <xf numFmtId="170" fontId="47" fillId="2" borderId="64" xfId="0" applyNumberFormat="1" applyFont="1" applyFill="1" applyBorder="1" applyAlignment="1">
      <alignment vertical="center"/>
    </xf>
    <xf numFmtId="167" fontId="46" fillId="2" borderId="64" xfId="2" applyNumberFormat="1" applyFont="1" applyFill="1" applyBorder="1" applyAlignment="1">
      <alignment vertical="center"/>
    </xf>
    <xf numFmtId="0" fontId="47" fillId="2" borderId="64" xfId="0" applyFont="1" applyFill="1" applyBorder="1" applyAlignment="1">
      <alignment vertical="center" wrapText="1"/>
    </xf>
    <xf numFmtId="0" fontId="47" fillId="4" borderId="64" xfId="0" applyFont="1" applyFill="1" applyBorder="1" applyAlignment="1">
      <alignment vertical="center" wrapText="1"/>
    </xf>
    <xf numFmtId="2" fontId="47" fillId="4" borderId="64" xfId="0" applyNumberFormat="1" applyFont="1" applyFill="1" applyBorder="1" applyAlignment="1">
      <alignment vertical="center" wrapText="1"/>
    </xf>
    <xf numFmtId="0" fontId="47" fillId="0" borderId="62" xfId="0" applyFont="1" applyBorder="1" applyAlignment="1">
      <alignment vertical="center"/>
    </xf>
    <xf numFmtId="166" fontId="47" fillId="0" borderId="62" xfId="0" applyNumberFormat="1" applyFont="1" applyBorder="1" applyAlignment="1">
      <alignment vertical="center"/>
    </xf>
    <xf numFmtId="0" fontId="47" fillId="4" borderId="94" xfId="0" applyFont="1" applyFill="1" applyBorder="1" applyAlignment="1">
      <alignment vertical="center"/>
    </xf>
    <xf numFmtId="170" fontId="47" fillId="4" borderId="94" xfId="0" applyNumberFormat="1" applyFont="1" applyFill="1" applyBorder="1" applyAlignment="1">
      <alignment vertical="center"/>
    </xf>
    <xf numFmtId="167" fontId="46"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64" fillId="0" borderId="0" xfId="0" applyNumberFormat="1" applyFont="1" applyAlignment="1">
      <alignment vertical="center"/>
    </xf>
    <xf numFmtId="2" fontId="41" fillId="0" borderId="0" xfId="0" applyNumberFormat="1" applyFont="1" applyAlignment="1">
      <alignment vertical="center"/>
    </xf>
    <xf numFmtId="0" fontId="65" fillId="0" borderId="0" xfId="0" applyFont="1" applyAlignment="1">
      <alignment vertical="center"/>
    </xf>
    <xf numFmtId="49" fontId="66" fillId="0" borderId="0" xfId="0" applyNumberFormat="1" applyFont="1" applyAlignment="1">
      <alignment horizontal="center"/>
    </xf>
    <xf numFmtId="0" fontId="66" fillId="0" borderId="0" xfId="0" applyFont="1"/>
    <xf numFmtId="49" fontId="66" fillId="0" borderId="0" xfId="0" applyNumberFormat="1" applyFont="1" applyAlignment="1">
      <alignment horizontal="right"/>
    </xf>
    <xf numFmtId="0" fontId="66" fillId="0" borderId="0" xfId="0" applyFont="1" applyAlignment="1">
      <alignment horizontal="right"/>
    </xf>
    <xf numFmtId="165" fontId="66" fillId="0" borderId="0" xfId="0" applyNumberFormat="1" applyFont="1" applyAlignment="1">
      <alignment horizontal="right"/>
    </xf>
    <xf numFmtId="1" fontId="66"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1"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7" fillId="6" borderId="0" xfId="3" applyFont="1" applyFill="1"/>
    <xf numFmtId="172" fontId="67" fillId="6" borderId="0" xfId="3" applyNumberFormat="1" applyFont="1" applyFill="1"/>
    <xf numFmtId="1" fontId="68" fillId="0" borderId="0" xfId="3" applyNumberFormat="1" applyFont="1" applyAlignment="1">
      <alignment horizontal="center"/>
    </xf>
    <xf numFmtId="172" fontId="68" fillId="0" borderId="0" xfId="3" applyNumberFormat="1" applyFont="1" applyAlignment="1">
      <alignment horizontal="center"/>
    </xf>
    <xf numFmtId="2" fontId="69" fillId="0" borderId="0" xfId="3" applyNumberFormat="1" applyFont="1"/>
    <xf numFmtId="2" fontId="69"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8" fillId="7" borderId="0" xfId="3"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69" fillId="2" borderId="0" xfId="3" applyNumberFormat="1" applyFont="1" applyFill="1"/>
    <xf numFmtId="2" fontId="71" fillId="0" borderId="0" xfId="0" applyNumberFormat="1" applyFont="1"/>
    <xf numFmtId="2" fontId="72" fillId="0" borderId="0" xfId="4" applyNumberFormat="1" applyFont="1"/>
    <xf numFmtId="166" fontId="41" fillId="0" borderId="0" xfId="0" applyNumberFormat="1" applyFont="1" applyAlignment="1">
      <alignment vertical="center"/>
    </xf>
    <xf numFmtId="2" fontId="69"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62" fillId="0" borderId="0" xfId="0" applyNumberFormat="1" applyFont="1" applyAlignment="1">
      <alignment horizontal="center" vertical="center" wrapText="1"/>
    </xf>
    <xf numFmtId="2" fontId="62" fillId="0" borderId="0" xfId="0" quotePrefix="1" applyNumberFormat="1" applyFont="1" applyAlignment="1">
      <alignment horizontal="center" vertical="center" wrapText="1"/>
    </xf>
    <xf numFmtId="17" fontId="62" fillId="0" borderId="0" xfId="0" quotePrefix="1" applyNumberFormat="1" applyFont="1" applyAlignment="1">
      <alignment horizontal="center" vertical="center" wrapText="1"/>
    </xf>
    <xf numFmtId="0" fontId="62" fillId="0" borderId="0" xfId="0" quotePrefix="1" applyFont="1" applyAlignment="1">
      <alignment horizontal="center" vertical="center" wrapText="1"/>
    </xf>
    <xf numFmtId="0" fontId="62" fillId="0" borderId="0" xfId="0" applyFont="1" applyAlignment="1">
      <alignment horizontal="center"/>
    </xf>
    <xf numFmtId="2" fontId="62" fillId="0" borderId="0" xfId="0" applyNumberFormat="1" applyFont="1" applyAlignment="1">
      <alignment horizontal="left"/>
    </xf>
    <xf numFmtId="2" fontId="57" fillId="0" borderId="0" xfId="0" applyNumberFormat="1" applyFont="1" applyAlignment="1">
      <alignment horizontal="center"/>
    </xf>
    <xf numFmtId="2" fontId="62" fillId="0" borderId="0" xfId="0" applyNumberFormat="1" applyFont="1" applyAlignment="1">
      <alignment horizontal="center"/>
    </xf>
    <xf numFmtId="175" fontId="62" fillId="0" borderId="0" xfId="0" applyNumberFormat="1" applyFont="1"/>
    <xf numFmtId="175" fontId="62" fillId="0" borderId="0" xfId="0" applyNumberFormat="1" applyFont="1" applyAlignment="1">
      <alignment horizontal="center"/>
    </xf>
    <xf numFmtId="43" fontId="62" fillId="0" borderId="0" xfId="1" applyFont="1" applyAlignment="1">
      <alignment horizontal="left"/>
    </xf>
    <xf numFmtId="0" fontId="62"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7" fillId="5" borderId="24" xfId="2" applyNumberFormat="1" applyFont="1" applyFill="1" applyBorder="1" applyAlignment="1">
      <alignment horizontal="center" vertical="center"/>
    </xf>
    <xf numFmtId="176" fontId="47" fillId="2" borderId="25" xfId="2" applyNumberFormat="1" applyFont="1" applyFill="1" applyBorder="1" applyAlignment="1">
      <alignment horizontal="center" vertical="center"/>
    </xf>
    <xf numFmtId="176" fontId="47" fillId="5" borderId="25" xfId="2" applyNumberFormat="1" applyFont="1" applyFill="1" applyBorder="1" applyAlignment="1">
      <alignment horizontal="center" vertical="center"/>
    </xf>
    <xf numFmtId="176" fontId="47" fillId="2" borderId="26" xfId="2" applyNumberFormat="1" applyFont="1" applyFill="1" applyBorder="1" applyAlignment="1">
      <alignment horizontal="center" vertical="center"/>
    </xf>
    <xf numFmtId="176" fontId="46"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0" fontId="51" fillId="4" borderId="133" xfId="0" applyFont="1" applyFill="1" applyBorder="1" applyAlignment="1"/>
    <xf numFmtId="43" fontId="47" fillId="0" borderId="152" xfId="1" applyFont="1" applyBorder="1" applyAlignment="1">
      <alignment horizontal="center" vertical="center" wrapText="1"/>
    </xf>
    <xf numFmtId="175" fontId="49" fillId="0" borderId="0" xfId="0" applyNumberFormat="1" applyFont="1"/>
    <xf numFmtId="0" fontId="73" fillId="0" borderId="93" xfId="0" applyFont="1" applyBorder="1"/>
    <xf numFmtId="174" fontId="73" fillId="0" borderId="93" xfId="0" applyNumberFormat="1" applyFont="1" applyBorder="1"/>
    <xf numFmtId="174" fontId="73" fillId="11" borderId="93" xfId="0" applyNumberFormat="1" applyFont="1" applyFill="1" applyBorder="1"/>
    <xf numFmtId="1" fontId="8" fillId="0" borderId="0" xfId="0" applyNumberFormat="1" applyFont="1" applyAlignment="1">
      <alignment horizontal="center" vertical="center"/>
    </xf>
    <xf numFmtId="165" fontId="8" fillId="0" borderId="0" xfId="0" applyNumberFormat="1" applyFont="1" applyAlignment="1">
      <alignment horizontal="right" vertical="center"/>
    </xf>
    <xf numFmtId="166" fontId="8" fillId="0" borderId="0" xfId="0" applyNumberFormat="1" applyFont="1" applyAlignment="1">
      <alignment horizontal="right" vertical="center"/>
    </xf>
    <xf numFmtId="167" fontId="8" fillId="0" borderId="0" xfId="2" applyNumberFormat="1" applyFont="1" applyAlignment="1">
      <alignment horizontal="right" vertical="center"/>
    </xf>
    <xf numFmtId="0" fontId="0" fillId="0" borderId="0" xfId="0" applyFont="1" applyAlignment="1">
      <alignment horizontal="right"/>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74" fillId="0" borderId="0" xfId="0" applyFont="1" applyAlignment="1">
      <alignment vertical="center"/>
    </xf>
    <xf numFmtId="0" fontId="75" fillId="0" borderId="0" xfId="0" applyFont="1" applyAlignment="1">
      <alignment vertical="center"/>
    </xf>
    <xf numFmtId="0" fontId="75" fillId="0" borderId="0" xfId="0" applyFont="1" applyAlignment="1">
      <alignment horizontal="right" vertical="center"/>
    </xf>
    <xf numFmtId="14" fontId="74" fillId="0" borderId="0" xfId="0" applyNumberFormat="1" applyFont="1" applyAlignment="1">
      <alignment vertical="center"/>
    </xf>
    <xf numFmtId="0" fontId="74" fillId="0" borderId="0" xfId="0" applyFont="1" applyAlignment="1">
      <alignment horizontal="center" vertical="center"/>
    </xf>
    <xf numFmtId="0" fontId="75" fillId="0" borderId="0" xfId="0" applyFont="1" applyAlignment="1">
      <alignment horizontal="justify" vertical="center"/>
    </xf>
    <xf numFmtId="0" fontId="64" fillId="0" borderId="0" xfId="0" applyFont="1" applyAlignment="1">
      <alignment vertical="center"/>
    </xf>
    <xf numFmtId="17" fontId="64" fillId="0" borderId="0" xfId="0" applyNumberFormat="1" applyFont="1" applyAlignment="1">
      <alignment horizontal="center" vertical="center"/>
    </xf>
    <xf numFmtId="2" fontId="64" fillId="0" borderId="0" xfId="0" applyNumberFormat="1" applyFont="1" applyAlignment="1">
      <alignment horizontal="center" vertical="center"/>
    </xf>
    <xf numFmtId="0" fontId="64" fillId="0" borderId="0" xfId="0" quotePrefix="1" applyFont="1" applyAlignment="1">
      <alignment vertical="center" wrapText="1"/>
    </xf>
    <xf numFmtId="2" fontId="64" fillId="0" borderId="0" xfId="0" quotePrefix="1" applyNumberFormat="1" applyFont="1" applyAlignment="1">
      <alignment horizontal="center" vertical="center" wrapText="1"/>
    </xf>
    <xf numFmtId="2" fontId="75" fillId="0" borderId="0" xfId="0" applyNumberFormat="1" applyFont="1" applyAlignment="1">
      <alignment vertical="center"/>
    </xf>
    <xf numFmtId="0" fontId="76" fillId="0" borderId="0" xfId="0" applyFont="1" applyAlignment="1">
      <alignment vertic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30" fillId="0" borderId="0" xfId="0" applyFont="1" applyAlignment="1">
      <alignment horizontal="left" vertical="center"/>
    </xf>
    <xf numFmtId="0" fontId="12" fillId="0" borderId="0" xfId="0" applyFont="1" applyAlignment="1">
      <alignment horizontal="center" vertical="center"/>
    </xf>
    <xf numFmtId="0" fontId="63"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6" fillId="5" borderId="38" xfId="0" applyFont="1" applyFill="1" applyBorder="1" applyAlignment="1">
      <alignment horizontal="left" vertical="center"/>
    </xf>
    <xf numFmtId="0" fontId="46"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6" fillId="5" borderId="27" xfId="0" applyFont="1" applyFill="1" applyBorder="1" applyAlignment="1">
      <alignment horizontal="left" vertical="center"/>
    </xf>
    <xf numFmtId="0" fontId="46" fillId="5" borderId="29" xfId="0" applyFont="1" applyFill="1" applyBorder="1" applyAlignment="1">
      <alignment horizontal="left" vertical="center"/>
    </xf>
    <xf numFmtId="0" fontId="46" fillId="2" borderId="30" xfId="0" applyFont="1" applyFill="1" applyBorder="1" applyAlignment="1">
      <alignment horizontal="left" vertical="center"/>
    </xf>
    <xf numFmtId="0" fontId="46" fillId="2" borderId="31" xfId="0" applyFont="1" applyFill="1" applyBorder="1" applyAlignment="1">
      <alignment horizontal="left" vertical="center"/>
    </xf>
    <xf numFmtId="0" fontId="46" fillId="5" borderId="30" xfId="0" applyFont="1" applyFill="1" applyBorder="1" applyAlignment="1">
      <alignment horizontal="left" vertical="center"/>
    </xf>
    <xf numFmtId="0" fontId="46" fillId="5" borderId="31" xfId="0" applyFont="1" applyFill="1" applyBorder="1" applyAlignment="1">
      <alignment horizontal="left" vertical="center"/>
    </xf>
    <xf numFmtId="0" fontId="46" fillId="2" borderId="32" xfId="0" applyFont="1" applyFill="1" applyBorder="1" applyAlignment="1">
      <alignment horizontal="left" vertical="center"/>
    </xf>
    <xf numFmtId="0" fontId="46"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4" fillId="2" borderId="0" xfId="0" applyFont="1" applyFill="1" applyAlignment="1">
      <alignment horizontal="left" vertical="center"/>
    </xf>
    <xf numFmtId="43" fontId="47" fillId="0" borderId="152" xfId="1" applyFont="1" applyBorder="1" applyAlignment="1">
      <alignment horizontal="center" vertical="center" wrapText="1"/>
    </xf>
    <xf numFmtId="43" fontId="47" fillId="0" borderId="154" xfId="1" applyFont="1" applyBorder="1" applyAlignment="1">
      <alignment horizontal="center" vertical="center" wrapText="1"/>
    </xf>
    <xf numFmtId="43" fontId="47" fillId="0" borderId="153"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93" xfId="0" applyFont="1" applyFill="1" applyBorder="1" applyAlignment="1">
      <alignment horizontal="center" vertical="center"/>
    </xf>
    <xf numFmtId="174" fontId="39" fillId="8" borderId="93" xfId="0" applyNumberFormat="1" applyFont="1" applyFill="1" applyBorder="1" applyAlignment="1">
      <alignment horizontal="center"/>
    </xf>
  </cellXfs>
  <cellStyles count="12">
    <cellStyle name="Comma" xfId="11" xr:uid="{9BCC24FE-5DE2-45CE-B0FE-4BFB8519D0F5}"/>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3150.0460644324999</c:v>
                </c:pt>
                <c:pt idx="1">
                  <c:v>1236.8221164325</c:v>
                </c:pt>
                <c:pt idx="2">
                  <c:v>7.0483043074999996</c:v>
                </c:pt>
                <c:pt idx="3">
                  <c:v>1.6421098025000003</c:v>
                </c:pt>
                <c:pt idx="4">
                  <c:v>24.143106964999998</c:v>
                </c:pt>
                <c:pt idx="5">
                  <c:v>135.84444717</c:v>
                </c:pt>
                <c:pt idx="6">
                  <c:v>63.758781977499993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1236.8221164325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7.0483043074999996</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1.6421098025000003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24.143106964999998</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135.84444717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63.758781977499993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TACNA SOLAR</c:v>
                </c:pt>
                <c:pt idx="3">
                  <c:v>C.S. PANAMERICANA SOLAR</c:v>
                </c:pt>
                <c:pt idx="4">
                  <c:v>C.S. MOQUEGUA FV</c:v>
                </c:pt>
                <c:pt idx="5">
                  <c:v>C.S. REPARTICION</c:v>
                </c:pt>
                <c:pt idx="6">
                  <c:v>C.S. MAJES SOLAR</c:v>
                </c:pt>
              </c:strCache>
            </c:strRef>
          </c:cat>
          <c:val>
            <c:numRef>
              <c:f>'6. FP RER'!$O$43:$O$49</c:f>
              <c:numCache>
                <c:formatCode>0.00</c:formatCode>
                <c:ptCount val="7"/>
                <c:pt idx="0">
                  <c:v>34.162453659999997</c:v>
                </c:pt>
                <c:pt idx="1">
                  <c:v>8.0263996674999998</c:v>
                </c:pt>
                <c:pt idx="2">
                  <c:v>5.3466748125000008</c:v>
                </c:pt>
                <c:pt idx="3">
                  <c:v>5.0347205949999996</c:v>
                </c:pt>
                <c:pt idx="4">
                  <c:v>4.0455423274999998</c:v>
                </c:pt>
                <c:pt idx="5">
                  <c:v>3.5955658150000001</c:v>
                </c:pt>
                <c:pt idx="6">
                  <c:v>3.5474250999999999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TACNA SOLAR</c:v>
                </c:pt>
                <c:pt idx="3">
                  <c:v>C.S. PANAMERICANA SOLAR</c:v>
                </c:pt>
                <c:pt idx="4">
                  <c:v>C.S. MOQUEGUA FV</c:v>
                </c:pt>
                <c:pt idx="5">
                  <c:v>C.S. REPARTICION</c:v>
                </c:pt>
                <c:pt idx="6">
                  <c:v>C.S. MAJES SOLAR</c:v>
                </c:pt>
              </c:strCache>
            </c:strRef>
          </c:cat>
          <c:val>
            <c:numRef>
              <c:f>'6. FP RER'!$P$43:$P$49</c:f>
              <c:numCache>
                <c:formatCode>0.00</c:formatCode>
                <c:ptCount val="7"/>
                <c:pt idx="0">
                  <c:v>0.31781060648346615</c:v>
                </c:pt>
                <c:pt idx="1">
                  <c:v>0.24221310274140434</c:v>
                </c:pt>
                <c:pt idx="2">
                  <c:v>0.3593195438508065</c:v>
                </c:pt>
                <c:pt idx="3">
                  <c:v>0.33835487869623654</c:v>
                </c:pt>
                <c:pt idx="4">
                  <c:v>0.33984730573756716</c:v>
                </c:pt>
                <c:pt idx="5">
                  <c:v>0.2416374875672043</c:v>
                </c:pt>
                <c:pt idx="6">
                  <c:v>0.23840222446236559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DOÑA CATALINA</c:v>
                </c:pt>
                <c:pt idx="4">
                  <c:v>C.T. CALLAO</c:v>
                </c:pt>
              </c:strCache>
            </c:strRef>
          </c:cat>
          <c:val>
            <c:numRef>
              <c:f>'6. FP RER'!$O$50:$O$54</c:f>
              <c:numCache>
                <c:formatCode>0.00</c:formatCode>
                <c:ptCount val="5"/>
                <c:pt idx="0">
                  <c:v>9.5538229499999989</c:v>
                </c:pt>
                <c:pt idx="1">
                  <c:v>3.2844440000000001</c:v>
                </c:pt>
                <c:pt idx="2">
                  <c:v>1.9902840749999999</c:v>
                </c:pt>
                <c:pt idx="3">
                  <c:v>1.5725116000000001</c:v>
                </c:pt>
                <c:pt idx="4">
                  <c:v>1.2245743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DOÑA CATALINA</c:v>
                </c:pt>
              </c:strCache>
            </c:strRef>
          </c:cat>
          <c:val>
            <c:numRef>
              <c:f>'6. FP RER'!$P$50:$P$54</c:f>
              <c:numCache>
                <c:formatCode>0.00</c:formatCode>
                <c:ptCount val="5"/>
                <c:pt idx="0">
                  <c:v>1.0078572707141296</c:v>
                </c:pt>
                <c:pt idx="1">
                  <c:v>1.0356774824204584</c:v>
                </c:pt>
                <c:pt idx="2">
                  <c:v>0.90568202729872982</c:v>
                </c:pt>
                <c:pt idx="3">
                  <c:v>0.88066285842293912</c:v>
                </c:pt>
                <c:pt idx="4">
                  <c:v>0.68580549955197134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RER'!$S$6:$T$52</c:f>
              <c:multiLvlStrCache>
                <c:ptCount val="47"/>
                <c:lvl>
                  <c:pt idx="0">
                    <c:v>C.H. YARUCAYA</c:v>
                  </c:pt>
                  <c:pt idx="1">
                    <c:v>C.H. RUNATULLO III</c:v>
                  </c:pt>
                  <c:pt idx="2">
                    <c:v>C.H. RENOVANDES H1</c:v>
                  </c:pt>
                  <c:pt idx="3">
                    <c:v>C.H. RUCUY</c:v>
                  </c:pt>
                  <c:pt idx="4">
                    <c:v>C.H. ÁNGEL I</c:v>
                  </c:pt>
                  <c:pt idx="5">
                    <c:v>C.H. ÁNGEL II</c:v>
                  </c:pt>
                  <c:pt idx="6">
                    <c:v>C.H. CHANCAY</c:v>
                  </c:pt>
                  <c:pt idx="7">
                    <c:v>C.H. CARHUAQUERO IV</c:v>
                  </c:pt>
                  <c:pt idx="8">
                    <c:v>C.H. ÁNGEL III</c:v>
                  </c:pt>
                  <c:pt idx="9">
                    <c:v>C.H. POTRERO</c:v>
                  </c:pt>
                  <c:pt idx="10">
                    <c:v>C.H. LA JOYA</c:v>
                  </c:pt>
                  <c:pt idx="11">
                    <c:v>C.H. CAÑA BRAVA</c:v>
                  </c:pt>
                  <c:pt idx="12">
                    <c:v>C.H. HUASAHUASI I</c:v>
                  </c:pt>
                  <c:pt idx="13">
                    <c:v>C.H. EL CARMEN</c:v>
                  </c:pt>
                  <c:pt idx="14">
                    <c:v>C.H. HUASAHUASI II</c:v>
                  </c:pt>
                  <c:pt idx="15">
                    <c:v>C.H. 8 DE AGOSTO</c:v>
                  </c:pt>
                  <c:pt idx="16">
                    <c:v>C.H. YANAPAMPA</c:v>
                  </c:pt>
                  <c:pt idx="17">
                    <c:v>C.H. RUNATULLO II</c:v>
                  </c:pt>
                  <c:pt idx="18">
                    <c:v>C.H. ZAÑA</c:v>
                  </c:pt>
                  <c:pt idx="19">
                    <c:v>C.H. LAS PIZARRAS</c:v>
                  </c:pt>
                  <c:pt idx="20">
                    <c:v>C.H. SANTA CRUZ I</c:v>
                  </c:pt>
                  <c:pt idx="21">
                    <c:v>C.H. SANTA CRUZ II</c:v>
                  </c:pt>
                  <c:pt idx="22">
                    <c:v>C.H. IMPERIAL</c:v>
                  </c:pt>
                  <c:pt idx="23">
                    <c:v>C.H. CARHUAC</c:v>
                  </c:pt>
                  <c:pt idx="24">
                    <c:v>C.H. RONCADOR</c:v>
                  </c:pt>
                  <c:pt idx="25">
                    <c:v>C.H. CANCHAYLLO</c:v>
                  </c:pt>
                  <c:pt idx="26">
                    <c:v>C.H. POECHOS II</c:v>
                  </c:pt>
                  <c:pt idx="27">
                    <c:v>C.H. MANTA I</c:v>
                  </c:pt>
                  <c:pt idx="28">
                    <c:v>C.H. HER 1</c:v>
                  </c:pt>
                  <c:pt idx="29">
                    <c:v>C.H. PURMACANA</c:v>
                  </c:pt>
                  <c:pt idx="30">
                    <c:v>C.E. MARCONA</c:v>
                  </c:pt>
                  <c:pt idx="31">
                    <c:v>C.E. TRES HERMANAS</c:v>
                  </c:pt>
                  <c:pt idx="32">
                    <c:v>C.E. WAYRA I</c:v>
                  </c:pt>
                  <c:pt idx="33">
                    <c:v>C.E. CUPISNIQUE</c:v>
                  </c:pt>
                  <c:pt idx="34">
                    <c:v>C.E. TALARA</c:v>
                  </c:pt>
                  <c:pt idx="35">
                    <c:v>C.S. TACNA SOLAR</c:v>
                  </c:pt>
                  <c:pt idx="36">
                    <c:v>C.S. MOQUEGUA FV</c:v>
                  </c:pt>
                  <c:pt idx="37">
                    <c:v>C.S. PANAMERICANA SOLAR</c:v>
                  </c:pt>
                  <c:pt idx="38">
                    <c:v>C.S. RUBI</c:v>
                  </c:pt>
                  <c:pt idx="39">
                    <c:v>C.S. INTIPAMPA</c:v>
                  </c:pt>
                  <c:pt idx="40">
                    <c:v>C.S. REPARTICION</c:v>
                  </c:pt>
                  <c:pt idx="41">
                    <c:v>C.S. MAJES SOLAR</c:v>
                  </c:pt>
                  <c:pt idx="42">
                    <c:v>C.T. HUAYCOLORO</c:v>
                  </c:pt>
                  <c:pt idx="43">
                    <c:v>C.T. PARAMONGA</c:v>
                  </c:pt>
                  <c:pt idx="44">
                    <c:v>C.T. LA GRINGA</c:v>
                  </c:pt>
                  <c:pt idx="45">
                    <c:v>C.T. DOÑA CATALINA</c:v>
                  </c:pt>
                  <c:pt idx="46">
                    <c:v>C.T. CALLAO</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1</c:v>
                </c:pt>
                <c:pt idx="2">
                  <c:v>0.99894825789670083</c:v>
                </c:pt>
                <c:pt idx="3">
                  <c:v>0.98254712766203689</c:v>
                </c:pt>
                <c:pt idx="4">
                  <c:v>0.97714237064135057</c:v>
                </c:pt>
                <c:pt idx="5">
                  <c:v>0.97392434356169155</c:v>
                </c:pt>
                <c:pt idx="6">
                  <c:v>0.97118258663194446</c:v>
                </c:pt>
                <c:pt idx="7">
                  <c:v>0.96528545935497745</c:v>
                </c:pt>
                <c:pt idx="8">
                  <c:v>0.95520928624246759</c:v>
                </c:pt>
                <c:pt idx="9">
                  <c:v>0.94196715283593901</c:v>
                </c:pt>
                <c:pt idx="10">
                  <c:v>0.93644196733854579</c:v>
                </c:pt>
                <c:pt idx="11">
                  <c:v>0.93574089465347199</c:v>
                </c:pt>
                <c:pt idx="12">
                  <c:v>0.93023891603214914</c:v>
                </c:pt>
                <c:pt idx="13">
                  <c:v>0.92870608327821857</c:v>
                </c:pt>
                <c:pt idx="14">
                  <c:v>0.9270625490273342</c:v>
                </c:pt>
                <c:pt idx="15">
                  <c:v>0.90992863279727076</c:v>
                </c:pt>
                <c:pt idx="16">
                  <c:v>0.9075843243117615</c:v>
                </c:pt>
                <c:pt idx="17">
                  <c:v>0.89920131289544414</c:v>
                </c:pt>
                <c:pt idx="18">
                  <c:v>0.89702404741863095</c:v>
                </c:pt>
                <c:pt idx="19">
                  <c:v>0.89323100385764298</c:v>
                </c:pt>
                <c:pt idx="20">
                  <c:v>0.87002110430439772</c:v>
                </c:pt>
                <c:pt idx="21">
                  <c:v>0.85958669190388515</c:v>
                </c:pt>
                <c:pt idx="22">
                  <c:v>0.84935717756101203</c:v>
                </c:pt>
                <c:pt idx="23">
                  <c:v>0.82363646788194456</c:v>
                </c:pt>
                <c:pt idx="24">
                  <c:v>0.74251900742337185</c:v>
                </c:pt>
                <c:pt idx="25">
                  <c:v>0.67197284185563488</c:v>
                </c:pt>
                <c:pt idx="26">
                  <c:v>0.60457609076513252</c:v>
                </c:pt>
                <c:pt idx="27">
                  <c:v>0.43908491487268519</c:v>
                </c:pt>
                <c:pt idx="28">
                  <c:v>0.42695322585978845</c:v>
                </c:pt>
                <c:pt idx="29">
                  <c:v>0.23394775932948703</c:v>
                </c:pt>
                <c:pt idx="30">
                  <c:v>0.64417425900607639</c:v>
                </c:pt>
                <c:pt idx="31">
                  <c:v>0.60828615877747272</c:v>
                </c:pt>
                <c:pt idx="32">
                  <c:v>0.47963130445851182</c:v>
                </c:pt>
                <c:pt idx="33">
                  <c:v>0.42502439832910183</c:v>
                </c:pt>
                <c:pt idx="34">
                  <c:v>0.31834813003318452</c:v>
                </c:pt>
                <c:pt idx="35">
                  <c:v>0.3698442901041667</c:v>
                </c:pt>
                <c:pt idx="36">
                  <c:v>0.36532361118344908</c:v>
                </c:pt>
                <c:pt idx="37">
                  <c:v>0.35663453524305555</c:v>
                </c:pt>
                <c:pt idx="38">
                  <c:v>0.35385167503640141</c:v>
                </c:pt>
                <c:pt idx="39">
                  <c:v>0.26738224988150472</c:v>
                </c:pt>
                <c:pt idx="40">
                  <c:v>0.23515312997685184</c:v>
                </c:pt>
                <c:pt idx="41">
                  <c:v>0.23474406712962961</c:v>
                </c:pt>
                <c:pt idx="42">
                  <c:v>0.98689489491691096</c:v>
                </c:pt>
                <c:pt idx="43">
                  <c:v>0.98051727414465373</c:v>
                </c:pt>
                <c:pt idx="44">
                  <c:v>0.92574281676215253</c:v>
                </c:pt>
                <c:pt idx="45">
                  <c:v>0.82929633632330269</c:v>
                </c:pt>
                <c:pt idx="46">
                  <c:v>0.71444431664737673</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RER'!$S$6:$T$52</c:f>
              <c:multiLvlStrCache>
                <c:ptCount val="47"/>
                <c:lvl>
                  <c:pt idx="0">
                    <c:v>C.H. YARUCAYA</c:v>
                  </c:pt>
                  <c:pt idx="1">
                    <c:v>C.H. RUNATULLO III</c:v>
                  </c:pt>
                  <c:pt idx="2">
                    <c:v>C.H. RENOVANDES H1</c:v>
                  </c:pt>
                  <c:pt idx="3">
                    <c:v>C.H. RUCUY</c:v>
                  </c:pt>
                  <c:pt idx="4">
                    <c:v>C.H. ÁNGEL I</c:v>
                  </c:pt>
                  <c:pt idx="5">
                    <c:v>C.H. ÁNGEL II</c:v>
                  </c:pt>
                  <c:pt idx="6">
                    <c:v>C.H. CHANCAY</c:v>
                  </c:pt>
                  <c:pt idx="7">
                    <c:v>C.H. CARHUAQUERO IV</c:v>
                  </c:pt>
                  <c:pt idx="8">
                    <c:v>C.H. ÁNGEL III</c:v>
                  </c:pt>
                  <c:pt idx="9">
                    <c:v>C.H. POTRERO</c:v>
                  </c:pt>
                  <c:pt idx="10">
                    <c:v>C.H. LA JOYA</c:v>
                  </c:pt>
                  <c:pt idx="11">
                    <c:v>C.H. CAÑA BRAVA</c:v>
                  </c:pt>
                  <c:pt idx="12">
                    <c:v>C.H. HUASAHUASI I</c:v>
                  </c:pt>
                  <c:pt idx="13">
                    <c:v>C.H. EL CARMEN</c:v>
                  </c:pt>
                  <c:pt idx="14">
                    <c:v>C.H. HUASAHUASI II</c:v>
                  </c:pt>
                  <c:pt idx="15">
                    <c:v>C.H. 8 DE AGOSTO</c:v>
                  </c:pt>
                  <c:pt idx="16">
                    <c:v>C.H. YANAPAMPA</c:v>
                  </c:pt>
                  <c:pt idx="17">
                    <c:v>C.H. RUNATULLO II</c:v>
                  </c:pt>
                  <c:pt idx="18">
                    <c:v>C.H. ZAÑA</c:v>
                  </c:pt>
                  <c:pt idx="19">
                    <c:v>C.H. LAS PIZARRAS</c:v>
                  </c:pt>
                  <c:pt idx="20">
                    <c:v>C.H. SANTA CRUZ I</c:v>
                  </c:pt>
                  <c:pt idx="21">
                    <c:v>C.H. SANTA CRUZ II</c:v>
                  </c:pt>
                  <c:pt idx="22">
                    <c:v>C.H. IMPERIAL</c:v>
                  </c:pt>
                  <c:pt idx="23">
                    <c:v>C.H. CARHUAC</c:v>
                  </c:pt>
                  <c:pt idx="24">
                    <c:v>C.H. RONCADOR</c:v>
                  </c:pt>
                  <c:pt idx="25">
                    <c:v>C.H. CANCHAYLLO</c:v>
                  </c:pt>
                  <c:pt idx="26">
                    <c:v>C.H. POECHOS II</c:v>
                  </c:pt>
                  <c:pt idx="27">
                    <c:v>C.H. MANTA I</c:v>
                  </c:pt>
                  <c:pt idx="28">
                    <c:v>C.H. HER 1</c:v>
                  </c:pt>
                  <c:pt idx="29">
                    <c:v>C.H. PURMACANA</c:v>
                  </c:pt>
                  <c:pt idx="30">
                    <c:v>C.E. MARCONA</c:v>
                  </c:pt>
                  <c:pt idx="31">
                    <c:v>C.E. TRES HERMANAS</c:v>
                  </c:pt>
                  <c:pt idx="32">
                    <c:v>C.E. WAYRA I</c:v>
                  </c:pt>
                  <c:pt idx="33">
                    <c:v>C.E. CUPISNIQUE</c:v>
                  </c:pt>
                  <c:pt idx="34">
                    <c:v>C.E. TALARA</c:v>
                  </c:pt>
                  <c:pt idx="35">
                    <c:v>C.S. TACNA SOLAR</c:v>
                  </c:pt>
                  <c:pt idx="36">
                    <c:v>C.S. MOQUEGUA FV</c:v>
                  </c:pt>
                  <c:pt idx="37">
                    <c:v>C.S. PANAMERICANA SOLAR</c:v>
                  </c:pt>
                  <c:pt idx="38">
                    <c:v>C.S. RUBI</c:v>
                  </c:pt>
                  <c:pt idx="39">
                    <c:v>C.S. INTIPAMPA</c:v>
                  </c:pt>
                  <c:pt idx="40">
                    <c:v>C.S. REPARTICION</c:v>
                  </c:pt>
                  <c:pt idx="41">
                    <c:v>C.S. MAJES SOLAR</c:v>
                  </c:pt>
                  <c:pt idx="42">
                    <c:v>C.T. HUAYCOLORO</c:v>
                  </c:pt>
                  <c:pt idx="43">
                    <c:v>C.T. PARAMONGA</c:v>
                  </c:pt>
                  <c:pt idx="44">
                    <c:v>C.T. LA GRINGA</c:v>
                  </c:pt>
                  <c:pt idx="45">
                    <c:v>C.T. DOÑA CATALINA</c:v>
                  </c:pt>
                  <c:pt idx="46">
                    <c:v>C.T. CALLAO</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0.99817283532646528</c:v>
                </c:pt>
                <c:pt idx="2">
                  <c:v>1</c:v>
                </c:pt>
                <c:pt idx="3">
                  <c:v>0.93089897762133689</c:v>
                </c:pt>
                <c:pt idx="4">
                  <c:v>0.98483071099700559</c:v>
                </c:pt>
                <c:pt idx="5">
                  <c:v>0.97432084912958228</c:v>
                </c:pt>
                <c:pt idx="6">
                  <c:v>0.97247827936126374</c:v>
                </c:pt>
                <c:pt idx="7">
                  <c:v>0.99054594504797366</c:v>
                </c:pt>
                <c:pt idx="8">
                  <c:v>0.95008853508016455</c:v>
                </c:pt>
                <c:pt idx="9">
                  <c:v>0.9295104031489867</c:v>
                </c:pt>
                <c:pt idx="10">
                  <c:v>0.71617163974394449</c:v>
                </c:pt>
                <c:pt idx="11">
                  <c:v>0.85150960852052116</c:v>
                </c:pt>
                <c:pt idx="12">
                  <c:v>0.95002187900931556</c:v>
                </c:pt>
                <c:pt idx="13">
                  <c:v>0.50824590964590965</c:v>
                </c:pt>
                <c:pt idx="14">
                  <c:v>0.94216851330857898</c:v>
                </c:pt>
                <c:pt idx="15">
                  <c:v>0.68722433469491029</c:v>
                </c:pt>
                <c:pt idx="16">
                  <c:v>0.88836846132436131</c:v>
                </c:pt>
                <c:pt idx="17">
                  <c:v>0.87775984455166045</c:v>
                </c:pt>
                <c:pt idx="18">
                  <c:v>0.71228634629259635</c:v>
                </c:pt>
                <c:pt idx="19">
                  <c:v>0.69783796596122438</c:v>
                </c:pt>
                <c:pt idx="20">
                  <c:v>0.77630086741011217</c:v>
                </c:pt>
                <c:pt idx="21">
                  <c:v>0.79963336890132575</c:v>
                </c:pt>
                <c:pt idx="22">
                  <c:v>0.85334170538509602</c:v>
                </c:pt>
                <c:pt idx="23">
                  <c:v>0.68309133510760067</c:v>
                </c:pt>
                <c:pt idx="24">
                  <c:v>0.77644119787061605</c:v>
                </c:pt>
                <c:pt idx="25">
                  <c:v>0.83490725286549383</c:v>
                </c:pt>
                <c:pt idx="26">
                  <c:v>0.6836195301449195</c:v>
                </c:pt>
                <c:pt idx="28">
                  <c:v>0.80594907607273691</c:v>
                </c:pt>
                <c:pt idx="29">
                  <c:v>0.37712138053991906</c:v>
                </c:pt>
                <c:pt idx="30">
                  <c:v>0.51350508449233057</c:v>
                </c:pt>
                <c:pt idx="31">
                  <c:v>0.48234307902275275</c:v>
                </c:pt>
                <c:pt idx="32">
                  <c:v>0.41934131825043819</c:v>
                </c:pt>
                <c:pt idx="33">
                  <c:v>0.47059132635754708</c:v>
                </c:pt>
                <c:pt idx="34">
                  <c:v>0.3334459979963868</c:v>
                </c:pt>
                <c:pt idx="35">
                  <c:v>0.2686925200320513</c:v>
                </c:pt>
                <c:pt idx="36">
                  <c:v>0.30957137741815477</c:v>
                </c:pt>
                <c:pt idx="37">
                  <c:v>0.26910556112637363</c:v>
                </c:pt>
                <c:pt idx="38">
                  <c:v>0.30344883408137407</c:v>
                </c:pt>
                <c:pt idx="39">
                  <c:v>0.22788130827786193</c:v>
                </c:pt>
                <c:pt idx="40">
                  <c:v>0.21979934964514652</c:v>
                </c:pt>
                <c:pt idx="41">
                  <c:v>0.23429601877289377</c:v>
                </c:pt>
                <c:pt idx="42">
                  <c:v>0.70418884072916321</c:v>
                </c:pt>
                <c:pt idx="43">
                  <c:v>0.6841700061688063</c:v>
                </c:pt>
                <c:pt idx="44">
                  <c:v>0.61505681131172041</c:v>
                </c:pt>
                <c:pt idx="45">
                  <c:v>0.8228825692536631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empresa'!$L$4:$L$62</c:f>
              <c:strCache>
                <c:ptCount val="59"/>
                <c:pt idx="0">
                  <c:v>AGROAURORA</c:v>
                </c:pt>
                <c:pt idx="1">
                  <c:v>SDF ENERGIA</c:v>
                </c:pt>
                <c:pt idx="2">
                  <c:v>CERRO VERDE</c:v>
                </c:pt>
                <c:pt idx="3">
                  <c:v>PLANTA  ETEN</c:v>
                </c:pt>
                <c:pt idx="4">
                  <c:v>HYDRO PATAPO</c:v>
                </c:pt>
                <c:pt idx="5">
                  <c:v>IYEPSA</c:v>
                </c:pt>
                <c:pt idx="6">
                  <c:v>SAMAY I</c:v>
                </c:pt>
                <c:pt idx="7">
                  <c:v>ATRIA</c:v>
                </c:pt>
                <c:pt idx="8">
                  <c:v>SHOUGESA</c:v>
                </c:pt>
                <c:pt idx="9">
                  <c:v>MAJA ENERGIA</c:v>
                </c:pt>
                <c:pt idx="10">
                  <c:v>BIOENERGIA</c:v>
                </c:pt>
                <c:pt idx="11">
                  <c:v>HIDROCAÑETE</c:v>
                </c:pt>
                <c:pt idx="12">
                  <c:v>ELECTRICA YANAPAMPA</c:v>
                </c:pt>
                <c:pt idx="13">
                  <c:v>EGECSAC</c:v>
                </c:pt>
                <c:pt idx="14">
                  <c:v>MAJES</c:v>
                </c:pt>
                <c:pt idx="15">
                  <c:v>REPARTICION</c:v>
                </c:pt>
                <c:pt idx="16">
                  <c:v>MOQUEGUA FV</c:v>
                </c:pt>
                <c:pt idx="17">
                  <c:v>SAN JACINTO</c:v>
                </c:pt>
                <c:pt idx="18">
                  <c:v>PANAMERICANA SOLAR</c:v>
                </c:pt>
                <c:pt idx="19">
                  <c:v>INVERSION DE ENERGÍA RENOVABLES</c:v>
                </c:pt>
                <c:pt idx="20">
                  <c:v>TACNA SOLAR</c:v>
                </c:pt>
                <c:pt idx="21">
                  <c:v>PETRAMAS</c:v>
                </c:pt>
                <c:pt idx="22">
                  <c:v>ELECTRO ZAÑA</c:v>
                </c:pt>
                <c:pt idx="23">
                  <c:v>AIPSA</c:v>
                </c:pt>
                <c:pt idx="24">
                  <c:v>HUAURA POWER</c:v>
                </c:pt>
                <c:pt idx="25">
                  <c:v>EGESUR</c:v>
                </c:pt>
                <c:pt idx="26">
                  <c:v>ANDEAN POWER</c:v>
                </c:pt>
                <c:pt idx="27">
                  <c:v>RIO DOBLE</c:v>
                </c:pt>
                <c:pt idx="28">
                  <c:v>TERMOSELVA</c:v>
                </c:pt>
                <c:pt idx="29">
                  <c:v>CELEPSA RENOVABLES</c:v>
                </c:pt>
                <c:pt idx="30">
                  <c:v>HIDROELECTRICA HUANCHOR</c:v>
                </c:pt>
                <c:pt idx="31">
                  <c:v>RIO BAÑOS</c:v>
                </c:pt>
                <c:pt idx="32">
                  <c:v>AGUA AZUL</c:v>
                </c:pt>
                <c:pt idx="33">
                  <c:v>SANTA ANA</c:v>
                </c:pt>
                <c:pt idx="34">
                  <c:v>P.E. MARCONA</c:v>
                </c:pt>
                <c:pt idx="35">
                  <c:v>SINERSA</c:v>
                </c:pt>
                <c:pt idx="36">
                  <c:v>GENERACIÓN ANDINA</c:v>
                </c:pt>
                <c:pt idx="37">
                  <c:v>ENERGÍA EÓLICA</c:v>
                </c:pt>
                <c:pt idx="38">
                  <c:v>EMGE HUANZA</c:v>
                </c:pt>
                <c:pt idx="39">
                  <c:v>P.E. TRES HERMANAS</c:v>
                </c:pt>
                <c:pt idx="40">
                  <c:v>GEPSA</c:v>
                </c:pt>
                <c:pt idx="41">
                  <c:v>ENEL GENERACION PIURA</c:v>
                </c:pt>
                <c:pt idx="42">
                  <c:v>EMGE JUNÍN</c:v>
                </c:pt>
                <c:pt idx="43">
                  <c:v>INLAND</c:v>
                </c:pt>
                <c:pt idx="44">
                  <c:v>TERMOCHILCA</c:v>
                </c:pt>
                <c:pt idx="45">
                  <c:v>EGASA</c:v>
                </c:pt>
                <c:pt idx="46">
                  <c:v>SAN GABAN</c:v>
                </c:pt>
                <c:pt idx="47">
                  <c:v>ENEL GREEN POWER PERU</c:v>
                </c:pt>
                <c:pt idx="48">
                  <c:v>EGEMSA</c:v>
                </c:pt>
                <c:pt idx="49">
                  <c:v>CHINANGO</c:v>
                </c:pt>
                <c:pt idx="50">
                  <c:v>CELEPSA</c:v>
                </c:pt>
                <c:pt idx="51">
                  <c:v>FENIX POWER</c:v>
                </c:pt>
                <c:pt idx="52">
                  <c:v>ORAZUL ENERGY PERÚ</c:v>
                </c:pt>
                <c:pt idx="53">
                  <c:v>STATKRAFT</c:v>
                </c:pt>
                <c:pt idx="54">
                  <c:v>EMGE HUALLAGA</c:v>
                </c:pt>
                <c:pt idx="55">
                  <c:v>ENGIE</c:v>
                </c:pt>
                <c:pt idx="56">
                  <c:v>ENEL GENERACION PERU</c:v>
                </c:pt>
                <c:pt idx="57">
                  <c:v>ELECTROPERU</c:v>
                </c:pt>
                <c:pt idx="58">
                  <c:v>KALLPA</c:v>
                </c:pt>
              </c:strCache>
            </c:strRef>
          </c:cat>
          <c:val>
            <c:numRef>
              <c:f>'7. Generacion empresa'!$M$4:$M$62</c:f>
              <c:numCache>
                <c:formatCode>General</c:formatCode>
                <c:ptCount val="59"/>
                <c:pt idx="0">
                  <c:v>0</c:v>
                </c:pt>
                <c:pt idx="1">
                  <c:v>0</c:v>
                </c:pt>
                <c:pt idx="2">
                  <c:v>1.5000000000000002E-8</c:v>
                </c:pt>
                <c:pt idx="3">
                  <c:v>2.3044125000000002E-3</c:v>
                </c:pt>
                <c:pt idx="4">
                  <c:v>5.8848999999999999E-2</c:v>
                </c:pt>
                <c:pt idx="5">
                  <c:v>0.27153445249999997</c:v>
                </c:pt>
                <c:pt idx="6">
                  <c:v>0.40364883500000004</c:v>
                </c:pt>
                <c:pt idx="7">
                  <c:v>0.41744592999999997</c:v>
                </c:pt>
                <c:pt idx="8">
                  <c:v>0.4831453275</c:v>
                </c:pt>
                <c:pt idx="9">
                  <c:v>1.921022775</c:v>
                </c:pt>
                <c:pt idx="10">
                  <c:v>2.1964843774999996</c:v>
                </c:pt>
                <c:pt idx="11">
                  <c:v>2.5939999999999999</c:v>
                </c:pt>
                <c:pt idx="12">
                  <c:v>2.646348835</c:v>
                </c:pt>
                <c:pt idx="13">
                  <c:v>3.3593649599999997</c:v>
                </c:pt>
                <c:pt idx="14">
                  <c:v>3.5474250999999999</c:v>
                </c:pt>
                <c:pt idx="15">
                  <c:v>3.5955658150000001</c:v>
                </c:pt>
                <c:pt idx="16">
                  <c:v>4.0455423274999998</c:v>
                </c:pt>
                <c:pt idx="17">
                  <c:v>4.3209856625</c:v>
                </c:pt>
                <c:pt idx="18">
                  <c:v>5.0347205949999996</c:v>
                </c:pt>
                <c:pt idx="19">
                  <c:v>5.2529412175000001</c:v>
                </c:pt>
                <c:pt idx="20">
                  <c:v>5.3466748125000008</c:v>
                </c:pt>
                <c:pt idx="21">
                  <c:v>8.0718139749999995</c:v>
                </c:pt>
                <c:pt idx="22">
                  <c:v>9.3388908400000012</c:v>
                </c:pt>
                <c:pt idx="23">
                  <c:v>9.5538229499999989</c:v>
                </c:pt>
                <c:pt idx="24">
                  <c:v>12.312758030000001</c:v>
                </c:pt>
                <c:pt idx="25">
                  <c:v>12.569723262500002</c:v>
                </c:pt>
                <c:pt idx="26">
                  <c:v>12.976194147499999</c:v>
                </c:pt>
                <c:pt idx="27">
                  <c:v>12.995249135000002</c:v>
                </c:pt>
                <c:pt idx="28">
                  <c:v>13.329999002499999</c:v>
                </c:pt>
                <c:pt idx="29">
                  <c:v>13.5679870575</c:v>
                </c:pt>
                <c:pt idx="30">
                  <c:v>13.9184373175</c:v>
                </c:pt>
                <c:pt idx="31">
                  <c:v>14.512724975000001</c:v>
                </c:pt>
                <c:pt idx="32">
                  <c:v>14.558775149999999</c:v>
                </c:pt>
                <c:pt idx="33">
                  <c:v>14.6457768025</c:v>
                </c:pt>
                <c:pt idx="34">
                  <c:v>15.99853315</c:v>
                </c:pt>
                <c:pt idx="35">
                  <c:v>19.422348045</c:v>
                </c:pt>
                <c:pt idx="36">
                  <c:v>19.6271127425</c:v>
                </c:pt>
                <c:pt idx="37">
                  <c:v>26.145449020000001</c:v>
                </c:pt>
                <c:pt idx="38">
                  <c:v>40.450577530000004</c:v>
                </c:pt>
                <c:pt idx="39">
                  <c:v>46.834456469999999</c:v>
                </c:pt>
                <c:pt idx="40">
                  <c:v>50.204945395000003</c:v>
                </c:pt>
                <c:pt idx="41">
                  <c:v>52.003107345000004</c:v>
                </c:pt>
                <c:pt idx="42">
                  <c:v>52.217664867500005</c:v>
                </c:pt>
                <c:pt idx="43">
                  <c:v>66.281201049999993</c:v>
                </c:pt>
                <c:pt idx="44">
                  <c:v>69.546611862499987</c:v>
                </c:pt>
                <c:pt idx="45">
                  <c:v>77.474070157499995</c:v>
                </c:pt>
                <c:pt idx="46">
                  <c:v>78.365052807500007</c:v>
                </c:pt>
                <c:pt idx="47">
                  <c:v>81.028462189999999</c:v>
                </c:pt>
                <c:pt idx="48">
                  <c:v>121.28759959250002</c:v>
                </c:pt>
                <c:pt idx="49">
                  <c:v>127.28978615999999</c:v>
                </c:pt>
                <c:pt idx="50">
                  <c:v>127.48413155</c:v>
                </c:pt>
                <c:pt idx="51">
                  <c:v>239.70373735750002</c:v>
                </c:pt>
                <c:pt idx="52">
                  <c:v>248.65869023499999</c:v>
                </c:pt>
                <c:pt idx="53">
                  <c:v>269.04544222249996</c:v>
                </c:pt>
                <c:pt idx="54">
                  <c:v>281.66128747250002</c:v>
                </c:pt>
                <c:pt idx="55">
                  <c:v>359.97753164250003</c:v>
                </c:pt>
                <c:pt idx="56">
                  <c:v>518.13616181999998</c:v>
                </c:pt>
                <c:pt idx="57">
                  <c:v>625.62542880000001</c:v>
                </c:pt>
                <c:pt idx="58">
                  <c:v>796.98538450749993</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empresa'!$L$4:$L$62</c:f>
              <c:strCache>
                <c:ptCount val="59"/>
                <c:pt idx="0">
                  <c:v>AGROAURORA</c:v>
                </c:pt>
                <c:pt idx="1">
                  <c:v>SDF ENERGIA</c:v>
                </c:pt>
                <c:pt idx="2">
                  <c:v>CERRO VERDE</c:v>
                </c:pt>
                <c:pt idx="3">
                  <c:v>PLANTA  ETEN</c:v>
                </c:pt>
                <c:pt idx="4">
                  <c:v>HYDRO PATAPO</c:v>
                </c:pt>
                <c:pt idx="5">
                  <c:v>IYEPSA</c:v>
                </c:pt>
                <c:pt idx="6">
                  <c:v>SAMAY I</c:v>
                </c:pt>
                <c:pt idx="7">
                  <c:v>ATRIA</c:v>
                </c:pt>
                <c:pt idx="8">
                  <c:v>SHOUGESA</c:v>
                </c:pt>
                <c:pt idx="9">
                  <c:v>MAJA ENERGIA</c:v>
                </c:pt>
                <c:pt idx="10">
                  <c:v>BIOENERGIA</c:v>
                </c:pt>
                <c:pt idx="11">
                  <c:v>HIDROCAÑETE</c:v>
                </c:pt>
                <c:pt idx="12">
                  <c:v>ELECTRICA YANAPAMPA</c:v>
                </c:pt>
                <c:pt idx="13">
                  <c:v>EGECSAC</c:v>
                </c:pt>
                <c:pt idx="14">
                  <c:v>MAJES</c:v>
                </c:pt>
                <c:pt idx="15">
                  <c:v>REPARTICION</c:v>
                </c:pt>
                <c:pt idx="16">
                  <c:v>MOQUEGUA FV</c:v>
                </c:pt>
                <c:pt idx="17">
                  <c:v>SAN JACINTO</c:v>
                </c:pt>
                <c:pt idx="18">
                  <c:v>PANAMERICANA SOLAR</c:v>
                </c:pt>
                <c:pt idx="19">
                  <c:v>INVERSION DE ENERGÍA RENOVABLES</c:v>
                </c:pt>
                <c:pt idx="20">
                  <c:v>TACNA SOLAR</c:v>
                </c:pt>
                <c:pt idx="21">
                  <c:v>PETRAMAS</c:v>
                </c:pt>
                <c:pt idx="22">
                  <c:v>ELECTRO ZAÑA</c:v>
                </c:pt>
                <c:pt idx="23">
                  <c:v>AIPSA</c:v>
                </c:pt>
                <c:pt idx="24">
                  <c:v>HUAURA POWER</c:v>
                </c:pt>
                <c:pt idx="25">
                  <c:v>EGESUR</c:v>
                </c:pt>
                <c:pt idx="26">
                  <c:v>ANDEAN POWER</c:v>
                </c:pt>
                <c:pt idx="27">
                  <c:v>RIO DOBLE</c:v>
                </c:pt>
                <c:pt idx="28">
                  <c:v>TERMOSELVA</c:v>
                </c:pt>
                <c:pt idx="29">
                  <c:v>CELEPSA RENOVABLES</c:v>
                </c:pt>
                <c:pt idx="30">
                  <c:v>HIDROELECTRICA HUANCHOR</c:v>
                </c:pt>
                <c:pt idx="31">
                  <c:v>RIO BAÑOS</c:v>
                </c:pt>
                <c:pt idx="32">
                  <c:v>AGUA AZUL</c:v>
                </c:pt>
                <c:pt idx="33">
                  <c:v>SANTA ANA</c:v>
                </c:pt>
                <c:pt idx="34">
                  <c:v>P.E. MARCONA</c:v>
                </c:pt>
                <c:pt idx="35">
                  <c:v>SINERSA</c:v>
                </c:pt>
                <c:pt idx="36">
                  <c:v>GENERACIÓN ANDINA</c:v>
                </c:pt>
                <c:pt idx="37">
                  <c:v>ENERGÍA EÓLICA</c:v>
                </c:pt>
                <c:pt idx="38">
                  <c:v>EMGE HUANZA</c:v>
                </c:pt>
                <c:pt idx="39">
                  <c:v>P.E. TRES HERMANAS</c:v>
                </c:pt>
                <c:pt idx="40">
                  <c:v>GEPSA</c:v>
                </c:pt>
                <c:pt idx="41">
                  <c:v>ENEL GENERACION PIURA</c:v>
                </c:pt>
                <c:pt idx="42">
                  <c:v>EMGE JUNÍN</c:v>
                </c:pt>
                <c:pt idx="43">
                  <c:v>INLAND</c:v>
                </c:pt>
                <c:pt idx="44">
                  <c:v>TERMOCHILCA</c:v>
                </c:pt>
                <c:pt idx="45">
                  <c:v>EGASA</c:v>
                </c:pt>
                <c:pt idx="46">
                  <c:v>SAN GABAN</c:v>
                </c:pt>
                <c:pt idx="47">
                  <c:v>ENEL GREEN POWER PERU</c:v>
                </c:pt>
                <c:pt idx="48">
                  <c:v>EGEMSA</c:v>
                </c:pt>
                <c:pt idx="49">
                  <c:v>CHINANGO</c:v>
                </c:pt>
                <c:pt idx="50">
                  <c:v>CELEPSA</c:v>
                </c:pt>
                <c:pt idx="51">
                  <c:v>FENIX POWER</c:v>
                </c:pt>
                <c:pt idx="52">
                  <c:v>ORAZUL ENERGY PERÚ</c:v>
                </c:pt>
                <c:pt idx="53">
                  <c:v>STATKRAFT</c:v>
                </c:pt>
                <c:pt idx="54">
                  <c:v>EMGE HUALLAGA</c:v>
                </c:pt>
                <c:pt idx="55">
                  <c:v>ENGIE</c:v>
                </c:pt>
                <c:pt idx="56">
                  <c:v>ENEL GENERACION PERU</c:v>
                </c:pt>
                <c:pt idx="57">
                  <c:v>ELECTROPERU</c:v>
                </c:pt>
                <c:pt idx="58">
                  <c:v>KALLPA</c:v>
                </c:pt>
              </c:strCache>
            </c:strRef>
          </c:cat>
          <c:val>
            <c:numRef>
              <c:f>'7. Generacion empresa'!$N$4:$N$62</c:f>
              <c:numCache>
                <c:formatCode>General</c:formatCode>
                <c:ptCount val="59"/>
                <c:pt idx="0">
                  <c:v>0</c:v>
                </c:pt>
                <c:pt idx="1">
                  <c:v>10.081287702499999</c:v>
                </c:pt>
                <c:pt idx="2">
                  <c:v>0</c:v>
                </c:pt>
                <c:pt idx="3">
                  <c:v>0.58010283249999994</c:v>
                </c:pt>
                <c:pt idx="4">
                  <c:v>0.19839899999999999</c:v>
                </c:pt>
                <c:pt idx="5">
                  <c:v>0.38917514249999996</c:v>
                </c:pt>
                <c:pt idx="6">
                  <c:v>0</c:v>
                </c:pt>
                <c:pt idx="7">
                  <c:v>0.61246642750000002</c:v>
                </c:pt>
                <c:pt idx="8">
                  <c:v>0.83815456749999995</c:v>
                </c:pt>
                <c:pt idx="9">
                  <c:v>1.9293764824999999</c:v>
                </c:pt>
                <c:pt idx="10">
                  <c:v>6.0877739999999996</c:v>
                </c:pt>
                <c:pt idx="11">
                  <c:v>2.5821000000000001</c:v>
                </c:pt>
                <c:pt idx="12">
                  <c:v>2.6403305499999998</c:v>
                </c:pt>
                <c:pt idx="13">
                  <c:v>3.5931083225</c:v>
                </c:pt>
                <c:pt idx="14">
                  <c:v>3.7421603000000001</c:v>
                </c:pt>
                <c:pt idx="15">
                  <c:v>3.4606206225</c:v>
                </c:pt>
                <c:pt idx="16">
                  <c:v>3.6113244249999998</c:v>
                </c:pt>
                <c:pt idx="17">
                  <c:v>5.7953986249999998</c:v>
                </c:pt>
                <c:pt idx="18">
                  <c:v>4.0166999925000004</c:v>
                </c:pt>
                <c:pt idx="19">
                  <c:v>2.5413475275000001</c:v>
                </c:pt>
                <c:pt idx="20">
                  <c:v>3.9183697999999998</c:v>
                </c:pt>
                <c:pt idx="21">
                  <c:v>4.7712980749999998</c:v>
                </c:pt>
                <c:pt idx="22">
                  <c:v>7.2299754350000001</c:v>
                </c:pt>
                <c:pt idx="23">
                  <c:v>6.5569284574999998</c:v>
                </c:pt>
                <c:pt idx="24">
                  <c:v>11.4904932525</c:v>
                </c:pt>
                <c:pt idx="25">
                  <c:v>10.436583175000001</c:v>
                </c:pt>
                <c:pt idx="26">
                  <c:v>11.0699511325</c:v>
                </c:pt>
                <c:pt idx="27">
                  <c:v>12.3340041675</c:v>
                </c:pt>
                <c:pt idx="28">
                  <c:v>0</c:v>
                </c:pt>
                <c:pt idx="29">
                  <c:v>14.033587905000001</c:v>
                </c:pt>
                <c:pt idx="30">
                  <c:v>14.4516282425</c:v>
                </c:pt>
                <c:pt idx="31">
                  <c:v>14.7821646225</c:v>
                </c:pt>
                <c:pt idx="32">
                  <c:v>14.2234413475</c:v>
                </c:pt>
                <c:pt idx="33">
                  <c:v>14.935345385</c:v>
                </c:pt>
                <c:pt idx="34">
                  <c:v>13.8185211275</c:v>
                </c:pt>
                <c:pt idx="35">
                  <c:v>21.279247067500002</c:v>
                </c:pt>
                <c:pt idx="36">
                  <c:v>11.37651507</c:v>
                </c:pt>
                <c:pt idx="37">
                  <c:v>33.458428797499998</c:v>
                </c:pt>
                <c:pt idx="38">
                  <c:v>33.63841386</c:v>
                </c:pt>
                <c:pt idx="39">
                  <c:v>40.093562445000003</c:v>
                </c:pt>
                <c:pt idx="40">
                  <c:v>46.415177182500003</c:v>
                </c:pt>
                <c:pt idx="41">
                  <c:v>28.289728122500001</c:v>
                </c:pt>
                <c:pt idx="42">
                  <c:v>50.153221312500001</c:v>
                </c:pt>
                <c:pt idx="43">
                  <c:v>51.470511979999998</c:v>
                </c:pt>
                <c:pt idx="44">
                  <c:v>83.499016690000005</c:v>
                </c:pt>
                <c:pt idx="45">
                  <c:v>126.77993473749996</c:v>
                </c:pt>
                <c:pt idx="46">
                  <c:v>66.232919159999994</c:v>
                </c:pt>
                <c:pt idx="47">
                  <c:v>76.706314362499995</c:v>
                </c:pt>
                <c:pt idx="48">
                  <c:v>92.068668492499995</c:v>
                </c:pt>
                <c:pt idx="49">
                  <c:v>121.23679420000001</c:v>
                </c:pt>
                <c:pt idx="50">
                  <c:v>148.91854442749997</c:v>
                </c:pt>
                <c:pt idx="51">
                  <c:v>106.9974427825</c:v>
                </c:pt>
                <c:pt idx="52">
                  <c:v>257.81253351750001</c:v>
                </c:pt>
                <c:pt idx="53">
                  <c:v>261.68172815000003</c:v>
                </c:pt>
                <c:pt idx="54">
                  <c:v>258.05347482249999</c:v>
                </c:pt>
                <c:pt idx="55">
                  <c:v>390.99026932750002</c:v>
                </c:pt>
                <c:pt idx="56">
                  <c:v>501.10765055000007</c:v>
                </c:pt>
                <c:pt idx="57">
                  <c:v>578.28590052000015</c:v>
                </c:pt>
                <c:pt idx="58">
                  <c:v>405.7590323325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2">
                  <c:v>REPARTICION</c:v>
                </c:pt>
                <c:pt idx="3">
                  <c:v>MAJES</c:v>
                </c:pt>
                <c:pt idx="4">
                  <c:v>TACNA SOLAR</c:v>
                </c:pt>
                <c:pt idx="5">
                  <c:v>SHOUGESA</c:v>
                </c:pt>
                <c:pt idx="6">
                  <c:v>SDF ENERGIA</c:v>
                </c:pt>
                <c:pt idx="7">
                  <c:v>SAMAY I</c:v>
                </c:pt>
                <c:pt idx="8">
                  <c:v>PLANTA  ETEN</c:v>
                </c:pt>
                <c:pt idx="9">
                  <c:v>PANAMERICANA SOLAR</c:v>
                </c:pt>
                <c:pt idx="10">
                  <c:v>MOQUEGUA FV</c:v>
                </c:pt>
                <c:pt idx="11">
                  <c:v>IYEPSA</c:v>
                </c:pt>
                <c:pt idx="12">
                  <c:v>HYDRO PATAPO</c:v>
                </c:pt>
                <c:pt idx="13">
                  <c:v>CERRO VERDE</c:v>
                </c:pt>
                <c:pt idx="14">
                  <c:v>AIPSA</c:v>
                </c:pt>
                <c:pt idx="15">
                  <c:v>AGROAURORA</c:v>
                </c:pt>
                <c:pt idx="16">
                  <c:v>ATRIA</c:v>
                </c:pt>
                <c:pt idx="17">
                  <c:v>MAJA ENERGIA</c:v>
                </c:pt>
                <c:pt idx="18">
                  <c:v>EGECSAC</c:v>
                </c:pt>
                <c:pt idx="19">
                  <c:v>HIDROCAÑETE</c:v>
                </c:pt>
                <c:pt idx="20">
                  <c:v>ELECTRICA YANAPAMPA</c:v>
                </c:pt>
                <c:pt idx="21">
                  <c:v>SAN JACINTO</c:v>
                </c:pt>
                <c:pt idx="22">
                  <c:v>INVERSION DE ENERGÍA RENOVABLES</c:v>
                </c:pt>
                <c:pt idx="23">
                  <c:v>ELECTRO ZAÑA</c:v>
                </c:pt>
                <c:pt idx="24">
                  <c:v>BIOENERGIA</c:v>
                </c:pt>
                <c:pt idx="25">
                  <c:v>P.E. MARCONA</c:v>
                </c:pt>
                <c:pt idx="26">
                  <c:v>PETRAMAS</c:v>
                </c:pt>
                <c:pt idx="27">
                  <c:v>ANDEAN POWER</c:v>
                </c:pt>
                <c:pt idx="28">
                  <c:v>RIO DOBLE</c:v>
                </c:pt>
                <c:pt idx="29">
                  <c:v>HIDROELECTRICA HUANCHOR</c:v>
                </c:pt>
                <c:pt idx="30">
                  <c:v>CELEPSA RENOVABLES</c:v>
                </c:pt>
                <c:pt idx="31">
                  <c:v>HUAURA POWER</c:v>
                </c:pt>
                <c:pt idx="32">
                  <c:v>RIO BAÑOS</c:v>
                </c:pt>
                <c:pt idx="33">
                  <c:v>AGUA AZUL</c:v>
                </c:pt>
                <c:pt idx="34">
                  <c:v>SANTA ANA</c:v>
                </c:pt>
                <c:pt idx="35">
                  <c:v>SINERSA</c:v>
                </c:pt>
                <c:pt idx="36">
                  <c:v>GENERACIÓN ANDINA</c:v>
                </c:pt>
                <c:pt idx="37">
                  <c:v>P.E. TRES HERMANAS</c:v>
                </c:pt>
                <c:pt idx="38">
                  <c:v>EMGE HUANZA</c:v>
                </c:pt>
                <c:pt idx="39">
                  <c:v>ENERGÍA EÓLICA</c:v>
                </c:pt>
                <c:pt idx="40">
                  <c:v>EGESUR</c:v>
                </c:pt>
                <c:pt idx="41">
                  <c:v>ENEL GREEN POWER PERU</c:v>
                </c:pt>
                <c:pt idx="42">
                  <c:v>EMGE JUNÍN</c:v>
                </c:pt>
                <c:pt idx="43">
                  <c:v>GEPSA</c:v>
                </c:pt>
                <c:pt idx="44">
                  <c:v>TERMOSELVA</c:v>
                </c:pt>
                <c:pt idx="45">
                  <c:v>INLAND</c:v>
                </c:pt>
                <c:pt idx="46">
                  <c:v>ENEL GENERACION PIURA</c:v>
                </c:pt>
                <c:pt idx="47">
                  <c:v>EGASA</c:v>
                </c:pt>
                <c:pt idx="48">
                  <c:v>SAN GABAN</c:v>
                </c:pt>
                <c:pt idx="49">
                  <c:v>EGEMSA</c:v>
                </c:pt>
                <c:pt idx="50">
                  <c:v>CHINANGO</c:v>
                </c:pt>
                <c:pt idx="51">
                  <c:v>CELEPSA</c:v>
                </c:pt>
                <c:pt idx="52">
                  <c:v>TERMOCHILCA</c:v>
                </c:pt>
                <c:pt idx="53">
                  <c:v>STATKRAFT</c:v>
                </c:pt>
                <c:pt idx="54">
                  <c:v>ORAZUL ENERGY PERÚ</c:v>
                </c:pt>
                <c:pt idx="55">
                  <c:v>EMGE HUALLAGA</c:v>
                </c:pt>
                <c:pt idx="56">
                  <c:v>ENGIE</c:v>
                </c:pt>
                <c:pt idx="57">
                  <c:v>FENIX POWER</c:v>
                </c:pt>
                <c:pt idx="58">
                  <c:v>ELECTROPERU</c:v>
                </c:pt>
              </c:strCache>
            </c:strRef>
          </c:cat>
          <c:val>
            <c:numRef>
              <c:f>'9. Pot. Empresa'!$M$7:$M$67</c:f>
              <c:numCache>
                <c:formatCode>0</c:formatCode>
                <c:ptCount val="61"/>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0.54164000000000001</c:v>
                </c:pt>
                <c:pt idx="17">
                  <c:v>3.2310599999999998</c:v>
                </c:pt>
                <c:pt idx="18">
                  <c:v>3.4659300000000002</c:v>
                </c:pt>
                <c:pt idx="19">
                  <c:v>3.6</c:v>
                </c:pt>
                <c:pt idx="20">
                  <c:v>3.6217000000000001</c:v>
                </c:pt>
                <c:pt idx="21">
                  <c:v>6.3879999999999999</c:v>
                </c:pt>
                <c:pt idx="22">
                  <c:v>7.0253100000000002</c:v>
                </c:pt>
                <c:pt idx="23">
                  <c:v>8.98203</c:v>
                </c:pt>
                <c:pt idx="24">
                  <c:v>9.0625</c:v>
                </c:pt>
                <c:pt idx="25">
                  <c:v>9.4697099999999992</c:v>
                </c:pt>
                <c:pt idx="26">
                  <c:v>11.9907</c:v>
                </c:pt>
                <c:pt idx="27">
                  <c:v>14.75521</c:v>
                </c:pt>
                <c:pt idx="28">
                  <c:v>17.952719999999999</c:v>
                </c:pt>
                <c:pt idx="29">
                  <c:v>18.41658</c:v>
                </c:pt>
                <c:pt idx="30">
                  <c:v>18.75328</c:v>
                </c:pt>
                <c:pt idx="31">
                  <c:v>18.841639999999998</c:v>
                </c:pt>
                <c:pt idx="32">
                  <c:v>19.861740000000001</c:v>
                </c:pt>
                <c:pt idx="33">
                  <c:v>19.952439999999999</c:v>
                </c:pt>
                <c:pt idx="34">
                  <c:v>20.1279</c:v>
                </c:pt>
                <c:pt idx="35">
                  <c:v>26.536850000000001</c:v>
                </c:pt>
                <c:pt idx="36">
                  <c:v>27.126910000000002</c:v>
                </c:pt>
                <c:pt idx="37">
                  <c:v>31.85548</c:v>
                </c:pt>
                <c:pt idx="38">
                  <c:v>40.750160000000001</c:v>
                </c:pt>
                <c:pt idx="39">
                  <c:v>46.767789999999998</c:v>
                </c:pt>
                <c:pt idx="40">
                  <c:v>48.296369999999996</c:v>
                </c:pt>
                <c:pt idx="41">
                  <c:v>60.713209999999997</c:v>
                </c:pt>
                <c:pt idx="42">
                  <c:v>60.962899999999998</c:v>
                </c:pt>
                <c:pt idx="43">
                  <c:v>67.97887999999999</c:v>
                </c:pt>
                <c:pt idx="44">
                  <c:v>82.403530000000003</c:v>
                </c:pt>
                <c:pt idx="45">
                  <c:v>90.378440000000012</c:v>
                </c:pt>
                <c:pt idx="46">
                  <c:v>91.018720000000002</c:v>
                </c:pt>
                <c:pt idx="47">
                  <c:v>103.53776999999998</c:v>
                </c:pt>
                <c:pt idx="48">
                  <c:v>108.9648</c:v>
                </c:pt>
                <c:pt idx="49">
                  <c:v>166.23023999999998</c:v>
                </c:pt>
                <c:pt idx="50">
                  <c:v>169.32477</c:v>
                </c:pt>
                <c:pt idx="51">
                  <c:v>179.65536</c:v>
                </c:pt>
                <c:pt idx="52">
                  <c:v>277.30989</c:v>
                </c:pt>
                <c:pt idx="53">
                  <c:v>307.39165999999994</c:v>
                </c:pt>
                <c:pt idx="54">
                  <c:v>349.62956999999994</c:v>
                </c:pt>
                <c:pt idx="55">
                  <c:v>460.70956999999999</c:v>
                </c:pt>
                <c:pt idx="56">
                  <c:v>472.95193999999998</c:v>
                </c:pt>
                <c:pt idx="57">
                  <c:v>542.61955999999998</c:v>
                </c:pt>
                <c:pt idx="58">
                  <c:v>854.18687999999997</c:v>
                </c:pt>
                <c:pt idx="59">
                  <c:v>960.90410999999995</c:v>
                </c:pt>
                <c:pt idx="60" formatCode="0.00">
                  <c:v>988.41199000000006</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2">
                  <c:v>REPARTICION</c:v>
                </c:pt>
                <c:pt idx="3">
                  <c:v>MAJES</c:v>
                </c:pt>
                <c:pt idx="4">
                  <c:v>TACNA SOLAR</c:v>
                </c:pt>
                <c:pt idx="5">
                  <c:v>SHOUGESA</c:v>
                </c:pt>
                <c:pt idx="6">
                  <c:v>SDF ENERGIA</c:v>
                </c:pt>
                <c:pt idx="7">
                  <c:v>SAMAY I</c:v>
                </c:pt>
                <c:pt idx="8">
                  <c:v>PLANTA  ETEN</c:v>
                </c:pt>
                <c:pt idx="9">
                  <c:v>PANAMERICANA SOLAR</c:v>
                </c:pt>
                <c:pt idx="10">
                  <c:v>MOQUEGUA FV</c:v>
                </c:pt>
                <c:pt idx="11">
                  <c:v>IYEPSA</c:v>
                </c:pt>
                <c:pt idx="12">
                  <c:v>HYDRO PATAPO</c:v>
                </c:pt>
                <c:pt idx="13">
                  <c:v>CERRO VERDE</c:v>
                </c:pt>
                <c:pt idx="14">
                  <c:v>AIPSA</c:v>
                </c:pt>
                <c:pt idx="15">
                  <c:v>AGROAURORA</c:v>
                </c:pt>
                <c:pt idx="16">
                  <c:v>ATRIA</c:v>
                </c:pt>
                <c:pt idx="17">
                  <c:v>MAJA ENERGIA</c:v>
                </c:pt>
                <c:pt idx="18">
                  <c:v>EGECSAC</c:v>
                </c:pt>
                <c:pt idx="19">
                  <c:v>HIDROCAÑETE</c:v>
                </c:pt>
                <c:pt idx="20">
                  <c:v>ELECTRICA YANAPAMPA</c:v>
                </c:pt>
                <c:pt idx="21">
                  <c:v>SAN JACINTO</c:v>
                </c:pt>
                <c:pt idx="22">
                  <c:v>INVERSION DE ENERGÍA RENOVABLES</c:v>
                </c:pt>
                <c:pt idx="23">
                  <c:v>ELECTRO ZAÑA</c:v>
                </c:pt>
                <c:pt idx="24">
                  <c:v>BIOENERGIA</c:v>
                </c:pt>
                <c:pt idx="25">
                  <c:v>P.E. MARCONA</c:v>
                </c:pt>
                <c:pt idx="26">
                  <c:v>PETRAMAS</c:v>
                </c:pt>
                <c:pt idx="27">
                  <c:v>ANDEAN POWER</c:v>
                </c:pt>
                <c:pt idx="28">
                  <c:v>RIO DOBLE</c:v>
                </c:pt>
                <c:pt idx="29">
                  <c:v>HIDROELECTRICA HUANCHOR</c:v>
                </c:pt>
                <c:pt idx="30">
                  <c:v>CELEPSA RENOVABLES</c:v>
                </c:pt>
                <c:pt idx="31">
                  <c:v>HUAURA POWER</c:v>
                </c:pt>
                <c:pt idx="32">
                  <c:v>RIO BAÑOS</c:v>
                </c:pt>
                <c:pt idx="33">
                  <c:v>AGUA AZUL</c:v>
                </c:pt>
                <c:pt idx="34">
                  <c:v>SANTA ANA</c:v>
                </c:pt>
                <c:pt idx="35">
                  <c:v>SINERSA</c:v>
                </c:pt>
                <c:pt idx="36">
                  <c:v>GENERACIÓN ANDINA</c:v>
                </c:pt>
                <c:pt idx="37">
                  <c:v>P.E. TRES HERMANAS</c:v>
                </c:pt>
                <c:pt idx="38">
                  <c:v>EMGE HUANZA</c:v>
                </c:pt>
                <c:pt idx="39">
                  <c:v>ENERGÍA EÓLICA</c:v>
                </c:pt>
                <c:pt idx="40">
                  <c:v>EGESUR</c:v>
                </c:pt>
                <c:pt idx="41">
                  <c:v>ENEL GREEN POWER PERU</c:v>
                </c:pt>
                <c:pt idx="42">
                  <c:v>EMGE JUNÍN</c:v>
                </c:pt>
                <c:pt idx="43">
                  <c:v>GEPSA</c:v>
                </c:pt>
                <c:pt idx="44">
                  <c:v>TERMOSELVA</c:v>
                </c:pt>
                <c:pt idx="45">
                  <c:v>INLAND</c:v>
                </c:pt>
                <c:pt idx="46">
                  <c:v>ENEL GENERACION PIURA</c:v>
                </c:pt>
                <c:pt idx="47">
                  <c:v>EGASA</c:v>
                </c:pt>
                <c:pt idx="48">
                  <c:v>SAN GABAN</c:v>
                </c:pt>
                <c:pt idx="49">
                  <c:v>EGEMSA</c:v>
                </c:pt>
                <c:pt idx="50">
                  <c:v>CHINANGO</c:v>
                </c:pt>
                <c:pt idx="51">
                  <c:v>CELEPSA</c:v>
                </c:pt>
                <c:pt idx="52">
                  <c:v>TERMOCHILCA</c:v>
                </c:pt>
                <c:pt idx="53">
                  <c:v>STATKRAFT</c:v>
                </c:pt>
                <c:pt idx="54">
                  <c:v>ORAZUL ENERGY PERÚ</c:v>
                </c:pt>
                <c:pt idx="55">
                  <c:v>EMGE HUALLAGA</c:v>
                </c:pt>
                <c:pt idx="56">
                  <c:v>ENGIE</c:v>
                </c:pt>
                <c:pt idx="57">
                  <c:v>FENIX POWER</c:v>
                </c:pt>
                <c:pt idx="58">
                  <c:v>ELECTROPERU</c:v>
                </c:pt>
              </c:strCache>
            </c:strRef>
          </c:cat>
          <c:val>
            <c:numRef>
              <c:f>'9. Pot. Empresa'!$N$7:$N$67</c:f>
              <c:numCache>
                <c:formatCode>0</c:formatCode>
                <c:ptCount val="61"/>
                <c:pt idx="2">
                  <c:v>0</c:v>
                </c:pt>
                <c:pt idx="3">
                  <c:v>0</c:v>
                </c:pt>
                <c:pt idx="4">
                  <c:v>0</c:v>
                </c:pt>
                <c:pt idx="5">
                  <c:v>0</c:v>
                </c:pt>
                <c:pt idx="6">
                  <c:v>26.28755</c:v>
                </c:pt>
                <c:pt idx="7">
                  <c:v>0</c:v>
                </c:pt>
                <c:pt idx="8">
                  <c:v>0</c:v>
                </c:pt>
                <c:pt idx="9">
                  <c:v>0</c:v>
                </c:pt>
                <c:pt idx="10">
                  <c:v>0</c:v>
                </c:pt>
                <c:pt idx="11">
                  <c:v>0</c:v>
                </c:pt>
                <c:pt idx="12">
                  <c:v>0</c:v>
                </c:pt>
                <c:pt idx="13">
                  <c:v>0</c:v>
                </c:pt>
                <c:pt idx="14">
                  <c:v>0</c:v>
                </c:pt>
                <c:pt idx="15">
                  <c:v>0</c:v>
                </c:pt>
                <c:pt idx="16">
                  <c:v>0.69538</c:v>
                </c:pt>
                <c:pt idx="17">
                  <c:v>2.7107000000000001</c:v>
                </c:pt>
                <c:pt idx="18">
                  <c:v>4.7992600000000003</c:v>
                </c:pt>
                <c:pt idx="19">
                  <c:v>3.6</c:v>
                </c:pt>
                <c:pt idx="20">
                  <c:v>3.7952700000000004</c:v>
                </c:pt>
                <c:pt idx="21">
                  <c:v>8.3879999999999999</c:v>
                </c:pt>
                <c:pt idx="22">
                  <c:v>0</c:v>
                </c:pt>
                <c:pt idx="23">
                  <c:v>0</c:v>
                </c:pt>
                <c:pt idx="24">
                  <c:v>8.4280000000000008</c:v>
                </c:pt>
                <c:pt idx="25">
                  <c:v>8.2894100000000002</c:v>
                </c:pt>
                <c:pt idx="26">
                  <c:v>4.8048999999999999</c:v>
                </c:pt>
                <c:pt idx="27">
                  <c:v>20.756149999999998</c:v>
                </c:pt>
                <c:pt idx="28">
                  <c:v>12.248200000000001</c:v>
                </c:pt>
                <c:pt idx="29">
                  <c:v>19.48602</c:v>
                </c:pt>
                <c:pt idx="30">
                  <c:v>19.122900000000001</c:v>
                </c:pt>
                <c:pt idx="31">
                  <c:v>9.5447399999999991</c:v>
                </c:pt>
                <c:pt idx="32">
                  <c:v>19.976480000000002</c:v>
                </c:pt>
                <c:pt idx="33">
                  <c:v>18.959669999999999</c:v>
                </c:pt>
                <c:pt idx="34">
                  <c:v>20.345030000000001</c:v>
                </c:pt>
                <c:pt idx="35">
                  <c:v>28.782789999999999</c:v>
                </c:pt>
                <c:pt idx="36">
                  <c:v>0</c:v>
                </c:pt>
                <c:pt idx="37">
                  <c:v>25.81061</c:v>
                </c:pt>
                <c:pt idx="38">
                  <c:v>81.957740000000001</c:v>
                </c:pt>
                <c:pt idx="39">
                  <c:v>79.901820000000001</c:v>
                </c:pt>
                <c:pt idx="40">
                  <c:v>11.856</c:v>
                </c:pt>
                <c:pt idx="41">
                  <c:v>56.180860000000003</c:v>
                </c:pt>
                <c:pt idx="42">
                  <c:v>70.020579999999995</c:v>
                </c:pt>
                <c:pt idx="43">
                  <c:v>66.882170000000002</c:v>
                </c:pt>
                <c:pt idx="44">
                  <c:v>0</c:v>
                </c:pt>
                <c:pt idx="45">
                  <c:v>91.219619999999992</c:v>
                </c:pt>
                <c:pt idx="46">
                  <c:v>89.058170000000004</c:v>
                </c:pt>
                <c:pt idx="47">
                  <c:v>169.65243999999998</c:v>
                </c:pt>
                <c:pt idx="48">
                  <c:v>110.18037</c:v>
                </c:pt>
                <c:pt idx="49">
                  <c:v>163.44571999999999</c:v>
                </c:pt>
                <c:pt idx="50">
                  <c:v>195.96012999999999</c:v>
                </c:pt>
                <c:pt idx="51">
                  <c:v>213.68581</c:v>
                </c:pt>
                <c:pt idx="52">
                  <c:v>283.29390999999998</c:v>
                </c:pt>
                <c:pt idx="53">
                  <c:v>387.25858000000005</c:v>
                </c:pt>
                <c:pt idx="54">
                  <c:v>357.78279000000003</c:v>
                </c:pt>
                <c:pt idx="55">
                  <c:v>463.44722999999999</c:v>
                </c:pt>
                <c:pt idx="56">
                  <c:v>993.13590999999997</c:v>
                </c:pt>
                <c:pt idx="57">
                  <c:v>272.46931999999998</c:v>
                </c:pt>
                <c:pt idx="58">
                  <c:v>809.25408000000004</c:v>
                </c:pt>
                <c:pt idx="59">
                  <c:v>893.79520000000002</c:v>
                </c:pt>
                <c:pt idx="60" formatCode="0.00">
                  <c:v>989.51923999999997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'12.Caudales'!$J$4:$K$173</c:f>
              <c:multiLvlStrCache>
                <c:ptCount val="170"/>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'12.Caudales'!$N$4:$N$173</c:f>
              <c:numCache>
                <c:formatCode>0.0</c:formatCode>
                <c:ptCount val="170"/>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'12.Caudales'!$J$4:$K$173</c:f>
              <c:multiLvlStrCache>
                <c:ptCount val="170"/>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'12.Caudales'!$O$4:$O$173</c:f>
              <c:numCache>
                <c:formatCode>0.0</c:formatCode>
                <c:ptCount val="170"/>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'12.Caudales'!$J$4:$K$173</c:f>
              <c:multiLvlStrCache>
                <c:ptCount val="170"/>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'12.Caudales'!$M$4:$M$173</c:f>
              <c:numCache>
                <c:formatCode>0.0</c:formatCode>
                <c:ptCount val="170"/>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3109.2738750449998</c:v>
                </c:pt>
                <c:pt idx="1">
                  <c:v>673.84085703500011</c:v>
                </c:pt>
                <c:pt idx="2">
                  <c:v>0</c:v>
                </c:pt>
                <c:pt idx="3">
                  <c:v>2.2965012200000001</c:v>
                </c:pt>
                <c:pt idx="4">
                  <c:v>23.211399157499997</c:v>
                </c:pt>
                <c:pt idx="5">
                  <c:v>130.312314775</c:v>
                </c:pt>
                <c:pt idx="6">
                  <c:v>60.122201322499997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1236.8221164325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7.0483043074999996</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1.6421098025000003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24.143106964999998</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135.84444717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63.758781977499993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'13.Caudales'!$N$4:$O$173</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'13.Caudales'!$Q$4:$Q$173</c:f>
              <c:numCache>
                <c:formatCode>0.0</c:formatCode>
                <c:ptCount val="170"/>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'13.Caudales'!$N$4:$O$173</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'13.Caudales'!$R$4:$R$173</c:f>
              <c:numCache>
                <c:formatCode>0.0</c:formatCode>
                <c:ptCount val="170"/>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'13.Caudales'!$N$4:$O$1780</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'13.Caudales'!$S$4:$S$173</c:f>
              <c:numCache>
                <c:formatCode>0.0</c:formatCode>
                <c:ptCount val="170"/>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'13.Caudales'!$N$4:$O$1780</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'13.Caudales'!$T$4:$T$173</c:f>
              <c:numCache>
                <c:formatCode>0.0</c:formatCode>
                <c:ptCount val="170"/>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'13.Caudales'!$U$4:$U$173</c:f>
              <c:numCache>
                <c:formatCode>0.0</c:formatCode>
                <c:ptCount val="170"/>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'13.Caudales'!$N$4:$O$173</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'13.Caudales'!$V$4:$V$173</c:f>
              <c:numCache>
                <c:formatCode>0.0</c:formatCode>
                <c:ptCount val="170"/>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'13.Caudales'!$N$4:$O$173</c:f>
              <c:multiLvlStrCache>
                <c:ptCount val="170"/>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lvl>
                <c:lvl>
                  <c:pt idx="0">
                    <c:v>2018</c:v>
                  </c:pt>
                  <c:pt idx="52">
                    <c:v>2019</c:v>
                  </c:pt>
                  <c:pt idx="105">
                    <c:v>2020</c:v>
                  </c:pt>
                  <c:pt idx="157">
                    <c:v>2021</c:v>
                  </c:pt>
                </c:lvl>
              </c:multiLvlStrCache>
            </c:multiLvlStrRef>
          </c:cat>
          <c:val>
            <c:numRef>
              <c:f>'13.Caudales'!$W$4:$W$173</c:f>
              <c:numCache>
                <c:formatCode>0.0</c:formatCode>
                <c:ptCount val="170"/>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'13.Caudales'!$Y$4:$Y$173</c:f>
              <c:numCache>
                <c:formatCode>0.0</c:formatCode>
                <c:ptCount val="170"/>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'13.Caudales'!$X$4:$X$173</c:f>
              <c:numCache>
                <c:formatCode>0.0</c:formatCode>
                <c:ptCount val="170"/>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8.6521328681608498</c:v>
                </c:pt>
                <c:pt idx="1">
                  <c:v>8.4884361664649468</c:v>
                </c:pt>
                <c:pt idx="2">
                  <c:v>8.4002352746041176</c:v>
                </c:pt>
                <c:pt idx="3">
                  <c:v>8.3350904765174629</c:v>
                </c:pt>
                <c:pt idx="4">
                  <c:v>8.240404759988726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8.2785242339639655</c:v>
                </c:pt>
                <c:pt idx="1">
                  <c:v>8.1522424174306423</c:v>
                </c:pt>
                <c:pt idx="2">
                  <c:v>8.2211584410247571</c:v>
                </c:pt>
                <c:pt idx="3">
                  <c:v>8.1097854158440406</c:v>
                </c:pt>
                <c:pt idx="4">
                  <c:v>8.1725202000964163</c:v>
                </c:pt>
                <c:pt idx="5">
                  <c:v>7.8916496892650523</c:v>
                </c:pt>
                <c:pt idx="6">
                  <c:v>7.7657172551603644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8.824106199784552</c:v>
                </c:pt>
                <c:pt idx="1">
                  <c:v>8.5692074821026658</c:v>
                </c:pt>
                <c:pt idx="2">
                  <c:v>8.554738391789293</c:v>
                </c:pt>
                <c:pt idx="3">
                  <c:v>8.4805806324643331</c:v>
                </c:pt>
                <c:pt idx="4">
                  <c:v>8.2073327696612761</c:v>
                </c:pt>
                <c:pt idx="5">
                  <c:v>8.1973852106545291</c:v>
                </c:pt>
                <c:pt idx="6">
                  <c:v>7.3518933676257774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4991715509811001"/>
        </c:manualLayout>
      </c:layout>
      <c:barChart>
        <c:barDir val="col"/>
        <c:grouping val="clustered"/>
        <c:varyColors val="0"/>
        <c:ser>
          <c:idx val="2"/>
          <c:order val="0"/>
          <c:tx>
            <c:strRef>
              <c:f>'16. Congestiones'!$F$6</c:f>
              <c:strCache>
                <c:ptCount val="1"/>
                <c:pt idx="0">
                  <c:v>MARZO
 2019</c:v>
                </c:pt>
              </c:strCache>
            </c:strRef>
          </c:tx>
          <c:spPr>
            <a:solidFill>
              <a:schemeClr val="accent6"/>
            </a:solidFill>
          </c:spPr>
          <c:invertIfNegative val="0"/>
          <c:cat>
            <c:strRef>
              <c:f>'16. Congestiones'!$C$7:$C$15</c:f>
              <c:strCache>
                <c:ptCount val="9"/>
                <c:pt idx="0">
                  <c:v>PACHACHACA - CALLAHUANCA (REP)</c:v>
                </c:pt>
                <c:pt idx="1">
                  <c:v>SANTA ROSA N. - CHAVARRÍA</c:v>
                </c:pt>
                <c:pt idx="2">
                  <c:v>HUANZA-CARABAYLLO</c:v>
                </c:pt>
                <c:pt idx="3">
                  <c:v>POMACOCHA - SAN JUAN</c:v>
                </c:pt>
                <c:pt idx="4">
                  <c:v>CARHUAMAYO - OROYA NUEVA</c:v>
                </c:pt>
                <c:pt idx="5">
                  <c:v>MARCONA - SAN NICOLÁS</c:v>
                </c:pt>
                <c:pt idx="6">
                  <c:v>INDEPENDENCIA</c:v>
                </c:pt>
                <c:pt idx="7">
                  <c:v>MARCONA</c:v>
                </c:pt>
                <c:pt idx="8">
                  <c:v>AZÁNGARO - SAN GABÁN II</c:v>
                </c:pt>
              </c:strCache>
            </c:strRef>
          </c:cat>
          <c:val>
            <c:numRef>
              <c:f>'16. Congestiones'!$F$7:$F$15</c:f>
              <c:numCache>
                <c:formatCode>#,##0.00</c:formatCode>
                <c:ptCount val="9"/>
                <c:pt idx="2">
                  <c:v>0.5333333333333341</c:v>
                </c:pt>
                <c:pt idx="3">
                  <c:v>1.0666666666666682</c:v>
                </c:pt>
                <c:pt idx="4">
                  <c:v>2.1333333333333337</c:v>
                </c:pt>
                <c:pt idx="6">
                  <c:v>10.666666666666655</c:v>
                </c:pt>
                <c:pt idx="7">
                  <c:v>38.4</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MARZO
 2020</c:v>
                </c:pt>
              </c:strCache>
            </c:strRef>
          </c:tx>
          <c:invertIfNegative val="0"/>
          <c:cat>
            <c:strRef>
              <c:f>'16. Congestiones'!$C$7:$C$15</c:f>
              <c:strCache>
                <c:ptCount val="9"/>
                <c:pt idx="0">
                  <c:v>PACHACHACA - CALLAHUANCA (REP)</c:v>
                </c:pt>
                <c:pt idx="1">
                  <c:v>SANTA ROSA N. - CHAVARRÍA</c:v>
                </c:pt>
                <c:pt idx="2">
                  <c:v>HUANZA-CARABAYLLO</c:v>
                </c:pt>
                <c:pt idx="3">
                  <c:v>POMACOCHA - SAN JUAN</c:v>
                </c:pt>
                <c:pt idx="4">
                  <c:v>CARHUAMAYO - OROYA NUEVA</c:v>
                </c:pt>
                <c:pt idx="5">
                  <c:v>MARCONA - SAN NICOLÁS</c:v>
                </c:pt>
                <c:pt idx="6">
                  <c:v>INDEPENDENCIA</c:v>
                </c:pt>
                <c:pt idx="7">
                  <c:v>MARCONA</c:v>
                </c:pt>
                <c:pt idx="8">
                  <c:v>AZÁNGARO - SAN GABÁN II</c:v>
                </c:pt>
              </c:strCache>
            </c:strRef>
          </c:cat>
          <c:val>
            <c:numRef>
              <c:f>'16. Congestiones'!$E$7:$E$15</c:f>
              <c:numCache>
                <c:formatCode>#,##0.00</c:formatCode>
                <c:ptCount val="9"/>
                <c:pt idx="0">
                  <c:v>7.8999999999999986</c:v>
                </c:pt>
                <c:pt idx="2">
                  <c:v>59.666666666666671</c:v>
                </c:pt>
                <c:pt idx="3">
                  <c:v>20.500000000000004</c:v>
                </c:pt>
                <c:pt idx="5">
                  <c:v>14.600000000000001</c:v>
                </c:pt>
                <c:pt idx="6">
                  <c:v>226.90000000000009</c:v>
                </c:pt>
                <c:pt idx="7">
                  <c:v>8.9166666666666696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MARZO
 2021</c:v>
                </c:pt>
              </c:strCache>
            </c:strRef>
          </c:tx>
          <c:invertIfNegative val="0"/>
          <c:cat>
            <c:strRef>
              <c:f>'16. Congestiones'!$C$7:$C$15</c:f>
              <c:strCache>
                <c:ptCount val="9"/>
                <c:pt idx="0">
                  <c:v>PACHACHACA - CALLAHUANCA (REP)</c:v>
                </c:pt>
                <c:pt idx="1">
                  <c:v>SANTA ROSA N. - CHAVARRÍA</c:v>
                </c:pt>
                <c:pt idx="2">
                  <c:v>HUANZA-CARABAYLLO</c:v>
                </c:pt>
                <c:pt idx="3">
                  <c:v>POMACOCHA - SAN JUAN</c:v>
                </c:pt>
                <c:pt idx="4">
                  <c:v>CARHUAMAYO - OROYA NUEVA</c:v>
                </c:pt>
                <c:pt idx="5">
                  <c:v>MARCONA - SAN NICOLÁS</c:v>
                </c:pt>
                <c:pt idx="6">
                  <c:v>INDEPENDENCIA</c:v>
                </c:pt>
                <c:pt idx="7">
                  <c:v>MARCONA</c:v>
                </c:pt>
                <c:pt idx="8">
                  <c:v>AZÁNGARO - SAN GABÁN II</c:v>
                </c:pt>
              </c:strCache>
            </c:strRef>
          </c:cat>
          <c:val>
            <c:numRef>
              <c:f>'16. Congestiones'!$D$7:$D$15</c:f>
              <c:numCache>
                <c:formatCode>#,##0.00</c:formatCode>
                <c:ptCount val="9"/>
                <c:pt idx="1">
                  <c:v>26.099999999999994</c:v>
                </c:pt>
                <c:pt idx="2">
                  <c:v>9.7499999999999982</c:v>
                </c:pt>
                <c:pt idx="5">
                  <c:v>40.716666666666669</c:v>
                </c:pt>
                <c:pt idx="6">
                  <c:v>206.36666666666667</c:v>
                </c:pt>
                <c:pt idx="8">
                  <c:v>1.0666666666666655</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978849915"/>
          <c:y val="2.813970401498824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5.7121993836631111E-3"/>
                  <c:y val="2.3499180036331321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1.8100656759493905E-2"/>
                  <c:y val="6.91433468362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6.2893305921267142E-2"/>
                  <c:y val="-5.12425970529050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9654625351524977"/>
                  <c:y val="0.68440159361788977"/>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20</c:v>
                </c:pt>
                <c:pt idx="1">
                  <c:v>5</c:v>
                </c:pt>
                <c:pt idx="2">
                  <c:v>2</c:v>
                </c:pt>
                <c:pt idx="3">
                  <c:v>0</c:v>
                </c:pt>
                <c:pt idx="4">
                  <c:v>13</c:v>
                </c:pt>
                <c:pt idx="5">
                  <c:v>2</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sz="700"/>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Eventos'!$J$7:$J$12</c:f>
              <c:numCache>
                <c:formatCode>#,##0.00</c:formatCode>
                <c:ptCount val="6"/>
                <c:pt idx="0">
                  <c:v>1</c:v>
                </c:pt>
                <c:pt idx="1">
                  <c:v>0.74</c:v>
                </c:pt>
                <c:pt idx="2">
                  <c:v>278.56</c:v>
                </c:pt>
                <c:pt idx="3">
                  <c:v>129.57</c:v>
                </c:pt>
                <c:pt idx="4">
                  <c:v>43.42</c:v>
                </c:pt>
                <c:pt idx="5">
                  <c:v>11.11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Eventos'!$B$7:$B$12</c:f>
              <c:numCache>
                <c:formatCode>General</c:formatCode>
                <c:ptCount val="6"/>
                <c:pt idx="1">
                  <c:v>1</c:v>
                </c:pt>
                <c:pt idx="2">
                  <c:v>19</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Eventos'!$C$7:$C$12</c:f>
              <c:numCache>
                <c:formatCode>General</c:formatCode>
                <c:ptCount val="6"/>
                <c:pt idx="0">
                  <c:v>1</c:v>
                </c:pt>
                <c:pt idx="2">
                  <c:v>4</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Eventos'!$D$7:$D$12</c:f>
              <c:numCache>
                <c:formatCode>General</c:formatCode>
                <c:ptCount val="6"/>
                <c:pt idx="2">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Eventos'!$E$7:$E$12</c:f>
              <c:numCache>
                <c:formatCode>General</c:formatCode>
                <c:ptCount val="6"/>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Eventos'!$F$7:$F$12</c:f>
              <c:numCache>
                <c:formatCode>General</c:formatCode>
                <c:ptCount val="6"/>
                <c:pt idx="2">
                  <c:v>10</c:v>
                </c:pt>
                <c:pt idx="3">
                  <c:v>1</c:v>
                </c:pt>
                <c:pt idx="5">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Eventos'!$G$7:$G$12</c:f>
              <c:numCache>
                <c:formatCode>General</c:formatCode>
                <c:ptCount val="6"/>
                <c:pt idx="4">
                  <c:v>2</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BARRA</c:v>
                </c:pt>
                <c:pt idx="1">
                  <c:v>CENTRAL HIDROELÉCTRICA</c:v>
                </c:pt>
                <c:pt idx="2">
                  <c:v>LINEA DE TRANSMISION</c:v>
                </c:pt>
                <c:pt idx="3">
                  <c:v>SUBESTACION</c:v>
                </c:pt>
                <c:pt idx="4">
                  <c:v>TRANSFORMADOR 2D</c:v>
                </c:pt>
                <c:pt idx="5">
                  <c:v>TRANSFORMADOR 3D</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generación'!$B$22:$C$22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generación'!$D$21:$E$21</c:f>
              <c:strCache>
                <c:ptCount val="2"/>
                <c:pt idx="0">
                  <c:v>MARZO 2021</c:v>
                </c:pt>
                <c:pt idx="1">
                  <c:v>MARZO 2020</c:v>
                </c:pt>
              </c:strCache>
            </c:strRef>
          </c:cat>
          <c:val>
            <c:numRef>
              <c:f>'2. Oferta de generación'!$D$22:$E$22</c:f>
              <c:numCache>
                <c:formatCode>#,##0.0</c:formatCode>
                <c:ptCount val="2"/>
                <c:pt idx="0">
                  <c:v>5183.1192474999998</c:v>
                </c:pt>
                <c:pt idx="1">
                  <c:v>5163.1192474999998</c:v>
                </c:pt>
              </c:numCache>
            </c:numRef>
          </c:val>
          <c:extLst>
            <c:ext xmlns:c16="http://schemas.microsoft.com/office/drawing/2014/chart" uri="{C3380CC4-5D6E-409C-BE32-E72D297353CC}">
              <c16:uniqueId val="{00000004-54B0-402D-913D-0304413B844F}"/>
            </c:ext>
          </c:extLst>
        </c:ser>
        <c:ser>
          <c:idx val="1"/>
          <c:order val="1"/>
          <c:tx>
            <c:strRef>
              <c:f>'2. Oferta de generación'!$B$23:$C$23</c:f>
              <c:strCache>
                <c:ptCount val="2"/>
                <c:pt idx="0">
                  <c:v>TERMOELÉCTRICA</c:v>
                </c:pt>
              </c:strCache>
            </c:strRef>
          </c:tx>
          <c:spPr>
            <a:solidFill>
              <a:schemeClr val="accent2"/>
            </a:solidFill>
          </c:spPr>
          <c:invertIfNegative val="0"/>
          <c:cat>
            <c:strRef>
              <c:f>'2. Oferta de generación'!$D$21:$E$21</c:f>
              <c:strCache>
                <c:ptCount val="2"/>
                <c:pt idx="0">
                  <c:v>MARZO 2021</c:v>
                </c:pt>
                <c:pt idx="1">
                  <c:v>MARZO 2020</c:v>
                </c:pt>
              </c:strCache>
            </c:strRef>
          </c:cat>
          <c:val>
            <c:numRef>
              <c:f>'2. Oferta de generación'!$D$23:$E$23</c:f>
              <c:numCache>
                <c:formatCode>#,##0.0</c:formatCode>
                <c:ptCount val="2"/>
                <c:pt idx="0">
                  <c:v>7398.3644999999997</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generación'!$B$24:$C$24</c:f>
              <c:strCache>
                <c:ptCount val="2"/>
                <c:pt idx="0">
                  <c:v>EÓLICA</c:v>
                </c:pt>
              </c:strCache>
            </c:strRef>
          </c:tx>
          <c:spPr>
            <a:solidFill>
              <a:srgbClr val="6DA6D9"/>
            </a:solidFill>
          </c:spPr>
          <c:invertIfNegative val="0"/>
          <c:cat>
            <c:strRef>
              <c:f>'2. Oferta de generación'!$D$21:$E$21</c:f>
              <c:strCache>
                <c:ptCount val="2"/>
                <c:pt idx="0">
                  <c:v>MARZO 2021</c:v>
                </c:pt>
                <c:pt idx="1">
                  <c:v>MARZO 2020</c:v>
                </c:pt>
              </c:strCache>
            </c:strRef>
          </c:cat>
          <c:val>
            <c:numRef>
              <c:f>'2. Oferta de generación'!$D$24:$E$24</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generación'!$B$25:$C$25</c:f>
              <c:strCache>
                <c:ptCount val="2"/>
                <c:pt idx="0">
                  <c:v>SOLAR</c:v>
                </c:pt>
              </c:strCache>
            </c:strRef>
          </c:tx>
          <c:invertIfNegative val="0"/>
          <c:cat>
            <c:strRef>
              <c:f>'2. Oferta de generación'!$D$21:$E$21</c:f>
              <c:strCache>
                <c:ptCount val="2"/>
                <c:pt idx="0">
                  <c:v>MARZO 2021</c:v>
                </c:pt>
                <c:pt idx="1">
                  <c:v>MARZO 2020</c:v>
                </c:pt>
              </c:strCache>
            </c:strRef>
          </c:cat>
          <c:val>
            <c:numRef>
              <c:f>'2. Oferta de generación'!$D$25:$E$25</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8628.7302733500055</c:v>
                </c:pt>
                <c:pt idx="1">
                  <c:v>4069.2803228799999</c:v>
                </c:pt>
                <c:pt idx="2">
                  <c:v>355.23755224999996</c:v>
                </c:pt>
                <c:pt idx="3">
                  <c:v>173.92783748999994</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9364.9675253799978</c:v>
                </c:pt>
                <c:pt idx="1">
                  <c:v>3096.3082181099999</c:v>
                </c:pt>
                <c:pt idx="2">
                  <c:v>367.32796796000002</c:v>
                </c:pt>
                <c:pt idx="3">
                  <c:v>172.06236039499998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9381.7640799600013</c:v>
                </c:pt>
                <c:pt idx="1">
                  <c:v>3339.9019967700006</c:v>
                </c:pt>
                <c:pt idx="2">
                  <c:v>408.96631917249999</c:v>
                </c:pt>
                <c:pt idx="3">
                  <c:v>200.46181027750001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9381.7640799600013</c:v>
                </c:pt>
                <c:pt idx="1">
                  <c:v>3063.9468372925003</c:v>
                </c:pt>
                <c:pt idx="2">
                  <c:v>155.29427001000002</c:v>
                </c:pt>
                <c:pt idx="3">
                  <c:v>31.997297442499999</c:v>
                </c:pt>
                <c:pt idx="4">
                  <c:v>0</c:v>
                </c:pt>
                <c:pt idx="5">
                  <c:v>7.0483043074999996</c:v>
                </c:pt>
                <c:pt idx="6">
                  <c:v>1.8152074425</c:v>
                </c:pt>
                <c:pt idx="7">
                  <c:v>0</c:v>
                </c:pt>
                <c:pt idx="8">
                  <c:v>3.1092133099999999</c:v>
                </c:pt>
                <c:pt idx="9">
                  <c:v>53.695542357500003</c:v>
                </c:pt>
                <c:pt idx="10">
                  <c:v>22.995324607499999</c:v>
                </c:pt>
                <c:pt idx="11">
                  <c:v>200.46181027750001</c:v>
                </c:pt>
                <c:pt idx="12">
                  <c:v>408.96631917249999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9364.9675253799978</c:v>
                </c:pt>
                <c:pt idx="1">
                  <c:v>2877.3144281899999</c:v>
                </c:pt>
                <c:pt idx="2">
                  <c:v>129.67095581750002</c:v>
                </c:pt>
                <c:pt idx="3">
                  <c:v>15.849262879999999</c:v>
                </c:pt>
                <c:pt idx="4">
                  <c:v>0</c:v>
                </c:pt>
                <c:pt idx="5">
                  <c:v>0</c:v>
                </c:pt>
                <c:pt idx="6">
                  <c:v>1.2236413724999999</c:v>
                </c:pt>
                <c:pt idx="7">
                  <c:v>0</c:v>
                </c:pt>
                <c:pt idx="8">
                  <c:v>4.3555946950000006</c:v>
                </c:pt>
                <c:pt idx="9">
                  <c:v>53.057950529999999</c:v>
                </c:pt>
                <c:pt idx="10">
                  <c:v>14.836384625000001</c:v>
                </c:pt>
                <c:pt idx="11">
                  <c:v>172.06236039499998</c:v>
                </c:pt>
                <c:pt idx="12">
                  <c:v>367.32796796000002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8628.7302733500055</c:v>
                </c:pt>
                <c:pt idx="1">
                  <c:v>3738.5829622295314</c:v>
                </c:pt>
                <c:pt idx="2">
                  <c:v>124.62211466499994</c:v>
                </c:pt>
                <c:pt idx="3">
                  <c:v>45.245062725000004</c:v>
                </c:pt>
                <c:pt idx="4">
                  <c:v>0</c:v>
                </c:pt>
                <c:pt idx="5">
                  <c:v>18.283256609999999</c:v>
                </c:pt>
                <c:pt idx="6">
                  <c:v>36.708258054999995</c:v>
                </c:pt>
                <c:pt idx="7">
                  <c:v>6.4617880000000003E-2</c:v>
                </c:pt>
                <c:pt idx="8">
                  <c:v>57.35700473296879</c:v>
                </c:pt>
                <c:pt idx="9">
                  <c:v>30.590131572500006</c:v>
                </c:pt>
                <c:pt idx="10">
                  <c:v>17.826914409999997</c:v>
                </c:pt>
                <c:pt idx="11">
                  <c:v>173.92783748999994</c:v>
                </c:pt>
                <c:pt idx="12">
                  <c:v>355.23755224999996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471.03825487000006</c:v>
                </c:pt>
                <c:pt idx="1">
                  <c:v>355.23755224999996</c:v>
                </c:pt>
                <c:pt idx="2">
                  <c:v>173.92783748999994</c:v>
                </c:pt>
                <c:pt idx="3">
                  <c:v>30.590131572500006</c:v>
                </c:pt>
                <c:pt idx="4">
                  <c:v>17.826914409999997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689.72900171249989</c:v>
                </c:pt>
                <c:pt idx="1">
                  <c:v>367.32796796000002</c:v>
                </c:pt>
                <c:pt idx="2">
                  <c:v>172.06236039499998</c:v>
                </c:pt>
                <c:pt idx="3">
                  <c:v>53.057950529999999</c:v>
                </c:pt>
                <c:pt idx="4">
                  <c:v>14.836384625000001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740.6420097875</c:v>
                </c:pt>
                <c:pt idx="1">
                  <c:v>408.96631917249999</c:v>
                </c:pt>
                <c:pt idx="2">
                  <c:v>200.46181027750001</c:v>
                </c:pt>
                <c:pt idx="3">
                  <c:v>53.695542357500003</c:v>
                </c:pt>
                <c:pt idx="4">
                  <c:v>22.995324607499999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10,475%</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4135.4149310875</c:v>
                </c:pt>
                <c:pt idx="1">
                  <c:v>260.14170828500005</c:v>
                </c:pt>
                <c:pt idx="2">
                  <c:v>135.84444717</c:v>
                </c:pt>
                <c:pt idx="3">
                  <c:v>63.758781977499993</c:v>
                </c:pt>
                <c:pt idx="4">
                  <c:v>16.07129299</c:v>
                </c:pt>
                <c:pt idx="5">
                  <c:v>8.0718139750000013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ÁNGEL I</c:v>
                </c:pt>
                <c:pt idx="1">
                  <c:v>C.H. ÁNGEL II</c:v>
                </c:pt>
                <c:pt idx="2">
                  <c:v>C.H. RUNATULLO III</c:v>
                </c:pt>
                <c:pt idx="3">
                  <c:v>C.H. ÁNGEL III</c:v>
                </c:pt>
                <c:pt idx="4">
                  <c:v>C.H. RENOVANDES H1</c:v>
                </c:pt>
                <c:pt idx="5">
                  <c:v>C.H. POTRERO</c:v>
                </c:pt>
                <c:pt idx="6">
                  <c:v>C.H. RUCUY</c:v>
                </c:pt>
                <c:pt idx="7">
                  <c:v>C.H. CHANCAY</c:v>
                </c:pt>
                <c:pt idx="8">
                  <c:v>C.H. RUNATULLO II</c:v>
                </c:pt>
                <c:pt idx="9">
                  <c:v>C.H. 8 DE AGOSTO</c:v>
                </c:pt>
                <c:pt idx="10">
                  <c:v>C.H. LAS PIZARRAS</c:v>
                </c:pt>
                <c:pt idx="11">
                  <c:v>C.H. CARHUAC</c:v>
                </c:pt>
                <c:pt idx="12">
                  <c:v>C.H. YARUCAYA</c:v>
                </c:pt>
                <c:pt idx="13">
                  <c:v>C.H. ZAÑA</c:v>
                </c:pt>
                <c:pt idx="14">
                  <c:v>C.H. HUASAHUASI II</c:v>
                </c:pt>
                <c:pt idx="15">
                  <c:v>C.H. CARHUAQUERO IV</c:v>
                </c:pt>
                <c:pt idx="16">
                  <c:v>C.H. HUASAHUASI I</c:v>
                </c:pt>
                <c:pt idx="17">
                  <c:v>C.H. EL CARMEN</c:v>
                </c:pt>
                <c:pt idx="18">
                  <c:v>C.H. POECHOS II</c:v>
                </c:pt>
                <c:pt idx="19">
                  <c:v>C.H. MANTA I</c:v>
                </c:pt>
                <c:pt idx="20">
                  <c:v>C.H. LA JOYA</c:v>
                </c:pt>
                <c:pt idx="21">
                  <c:v>C.H. SANTA CRUZ II</c:v>
                </c:pt>
                <c:pt idx="22">
                  <c:v>C.H. SANTA CRUZ I</c:v>
                </c:pt>
                <c:pt idx="23">
                  <c:v>C.H. CAÑA BRAVA</c:v>
                </c:pt>
                <c:pt idx="24">
                  <c:v>C.H. CANCHAYLLO</c:v>
                </c:pt>
                <c:pt idx="25">
                  <c:v>C.H. YANAPAMPA</c:v>
                </c:pt>
                <c:pt idx="26">
                  <c:v>C.H. IMPERIAL</c:v>
                </c:pt>
                <c:pt idx="27">
                  <c:v>C.H. RONCADOR</c:v>
                </c:pt>
                <c:pt idx="28">
                  <c:v>C.H. PURMACANA</c:v>
                </c:pt>
                <c:pt idx="29">
                  <c:v>C.H. HER 1</c:v>
                </c:pt>
              </c:strCache>
            </c:strRef>
          </c:cat>
          <c:val>
            <c:numRef>
              <c:f>'6. FP RER'!$O$6:$O$35</c:f>
              <c:numCache>
                <c:formatCode>0.00</c:formatCode>
                <c:ptCount val="30"/>
                <c:pt idx="0">
                  <c:v>15.047493467500001</c:v>
                </c:pt>
                <c:pt idx="1">
                  <c:v>15.042206632499999</c:v>
                </c:pt>
                <c:pt idx="2">
                  <c:v>14.952633835</c:v>
                </c:pt>
                <c:pt idx="3">
                  <c:v>14.877367492500001</c:v>
                </c:pt>
                <c:pt idx="4">
                  <c:v>14.6457768025</c:v>
                </c:pt>
                <c:pt idx="5">
                  <c:v>14.558775149999999</c:v>
                </c:pt>
                <c:pt idx="6">
                  <c:v>14.512724975000001</c:v>
                </c:pt>
                <c:pt idx="7">
                  <c:v>13.837525814999999</c:v>
                </c:pt>
                <c:pt idx="8">
                  <c:v>13.800057884999999</c:v>
                </c:pt>
                <c:pt idx="9">
                  <c:v>13.528960179999999</c:v>
                </c:pt>
                <c:pt idx="10">
                  <c:v>12.995249135000002</c:v>
                </c:pt>
                <c:pt idx="11">
                  <c:v>12.976194147499999</c:v>
                </c:pt>
                <c:pt idx="12">
                  <c:v>12.312758030000001</c:v>
                </c:pt>
                <c:pt idx="13">
                  <c:v>9.3388908400000012</c:v>
                </c:pt>
                <c:pt idx="14">
                  <c:v>7.1483056200000004</c:v>
                </c:pt>
                <c:pt idx="15">
                  <c:v>7.0750151925000004</c:v>
                </c:pt>
                <c:pt idx="16">
                  <c:v>6.9287397975000005</c:v>
                </c:pt>
                <c:pt idx="17">
                  <c:v>6.0981525625000002</c:v>
                </c:pt>
                <c:pt idx="18">
                  <c:v>5.5848222299999994</c:v>
                </c:pt>
                <c:pt idx="19">
                  <c:v>5.2529412175000001</c:v>
                </c:pt>
                <c:pt idx="20">
                  <c:v>5.2378778024999999</c:v>
                </c:pt>
                <c:pt idx="21">
                  <c:v>4.8353589125000003</c:v>
                </c:pt>
                <c:pt idx="22">
                  <c:v>4.5525688174999992</c:v>
                </c:pt>
                <c:pt idx="23">
                  <c:v>3.8630951850000002</c:v>
                </c:pt>
                <c:pt idx="24">
                  <c:v>3.3593649599999997</c:v>
                </c:pt>
                <c:pt idx="25">
                  <c:v>2.646348835</c:v>
                </c:pt>
                <c:pt idx="26">
                  <c:v>2.5939999999999999</c:v>
                </c:pt>
                <c:pt idx="27">
                  <c:v>1.921022775</c:v>
                </c:pt>
                <c:pt idx="28">
                  <c:v>0.41744592999999997</c:v>
                </c:pt>
                <c:pt idx="29">
                  <c:v>0.20003406000000001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ÁNGEL I</c:v>
                </c:pt>
                <c:pt idx="1">
                  <c:v>C.H. ÁNGEL II</c:v>
                </c:pt>
                <c:pt idx="2">
                  <c:v>C.H. RUNATULLO III</c:v>
                </c:pt>
                <c:pt idx="3">
                  <c:v>C.H. ÁNGEL III</c:v>
                </c:pt>
                <c:pt idx="4">
                  <c:v>C.H. RENOVANDES H1</c:v>
                </c:pt>
                <c:pt idx="5">
                  <c:v>C.H. POTRERO</c:v>
                </c:pt>
                <c:pt idx="6">
                  <c:v>C.H. RUCUY</c:v>
                </c:pt>
                <c:pt idx="7">
                  <c:v>C.H. CHANCAY</c:v>
                </c:pt>
                <c:pt idx="8">
                  <c:v>C.H. RUNATULLO II</c:v>
                </c:pt>
                <c:pt idx="9">
                  <c:v>C.H. 8 DE AGOSTO</c:v>
                </c:pt>
                <c:pt idx="10">
                  <c:v>C.H. LAS PIZARRAS</c:v>
                </c:pt>
                <c:pt idx="11">
                  <c:v>C.H. CARHUAC</c:v>
                </c:pt>
                <c:pt idx="12">
                  <c:v>C.H. YARUCAYA</c:v>
                </c:pt>
                <c:pt idx="13">
                  <c:v>C.H. ZAÑA</c:v>
                </c:pt>
                <c:pt idx="14">
                  <c:v>C.H. HUASAHUASI II</c:v>
                </c:pt>
                <c:pt idx="15">
                  <c:v>C.H. CARHUAQUERO IV</c:v>
                </c:pt>
                <c:pt idx="16">
                  <c:v>C.H. HUASAHUASI I</c:v>
                </c:pt>
                <c:pt idx="17">
                  <c:v>C.H. EL CARMEN</c:v>
                </c:pt>
                <c:pt idx="18">
                  <c:v>C.H. POECHOS II</c:v>
                </c:pt>
                <c:pt idx="19">
                  <c:v>C.H. MANTA I</c:v>
                </c:pt>
                <c:pt idx="20">
                  <c:v>C.H. LA JOYA</c:v>
                </c:pt>
                <c:pt idx="21">
                  <c:v>C.H. SANTA CRUZ II</c:v>
                </c:pt>
                <c:pt idx="22">
                  <c:v>C.H. SANTA CRUZ I</c:v>
                </c:pt>
                <c:pt idx="23">
                  <c:v>C.H. CAÑA BRAVA</c:v>
                </c:pt>
                <c:pt idx="24">
                  <c:v>C.H. CANCHAYLLO</c:v>
                </c:pt>
                <c:pt idx="25">
                  <c:v>C.H. YANAPAMPA</c:v>
                </c:pt>
                <c:pt idx="26">
                  <c:v>C.H. IMPERIAL</c:v>
                </c:pt>
                <c:pt idx="27">
                  <c:v>C.H. RONCADOR</c:v>
                </c:pt>
                <c:pt idx="28">
                  <c:v>C.H. PURMACANA</c:v>
                </c:pt>
                <c:pt idx="29">
                  <c:v>C.H. HER 1</c:v>
                </c:pt>
              </c:strCache>
            </c:strRef>
          </c:cat>
          <c:val>
            <c:numRef>
              <c:f>'6. FP RER'!$P$6:$P$35</c:f>
              <c:numCache>
                <c:formatCode>0.00</c:formatCode>
                <c:ptCount val="30"/>
                <c:pt idx="0">
                  <c:v>1</c:v>
                </c:pt>
                <c:pt idx="1">
                  <c:v>1</c:v>
                </c:pt>
                <c:pt idx="2">
                  <c:v>1</c:v>
                </c:pt>
                <c:pt idx="3">
                  <c:v>0.99188798033074121</c:v>
                </c:pt>
                <c:pt idx="4">
                  <c:v>1.0040899706364681</c:v>
                </c:pt>
                <c:pt idx="5">
                  <c:v>0.98332895323391156</c:v>
                </c:pt>
                <c:pt idx="6">
                  <c:v>0.97531753864247317</c:v>
                </c:pt>
                <c:pt idx="7">
                  <c:v>0.92994125100806446</c:v>
                </c:pt>
                <c:pt idx="8">
                  <c:v>0.928956022396632</c:v>
                </c:pt>
                <c:pt idx="9">
                  <c:v>0.95705717176004512</c:v>
                </c:pt>
                <c:pt idx="10">
                  <c:v>0.90974935328176965</c:v>
                </c:pt>
                <c:pt idx="11">
                  <c:v>0.8720560582997311</c:v>
                </c:pt>
                <c:pt idx="12">
                  <c:v>1</c:v>
                </c:pt>
                <c:pt idx="13">
                  <c:v>0.95092974503095495</c:v>
                </c:pt>
                <c:pt idx="14">
                  <c:v>0.93992737833010398</c:v>
                </c:pt>
                <c:pt idx="15">
                  <c:v>0.95256225805643779</c:v>
                </c:pt>
                <c:pt idx="16">
                  <c:v>0.94546419375307034</c:v>
                </c:pt>
                <c:pt idx="17">
                  <c:v>0.97576685907898109</c:v>
                </c:pt>
                <c:pt idx="18">
                  <c:v>0.78470431653099348</c:v>
                </c:pt>
                <c:pt idx="19">
                  <c:v>0.35302024311155911</c:v>
                </c:pt>
                <c:pt idx="20">
                  <c:v>0.90899397504112966</c:v>
                </c:pt>
                <c:pt idx="21">
                  <c:v>0.87542272673123489</c:v>
                </c:pt>
                <c:pt idx="22">
                  <c:v>0.87942571278284132</c:v>
                </c:pt>
                <c:pt idx="23">
                  <c:v>0.9157552447801105</c:v>
                </c:pt>
                <c:pt idx="24">
                  <c:v>0.87016293772807241</c:v>
                </c:pt>
                <c:pt idx="25">
                  <c:v>0.90825580782198534</c:v>
                </c:pt>
                <c:pt idx="26">
                  <c:v>0.8795557870295021</c:v>
                </c:pt>
                <c:pt idx="27">
                  <c:v>0.74195972956062295</c:v>
                </c:pt>
                <c:pt idx="28">
                  <c:v>0.32735311508011194</c:v>
                </c:pt>
                <c:pt idx="29">
                  <c:v>0.38408997695852543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MARCONA</c:v>
                </c:pt>
                <c:pt idx="4">
                  <c:v>C.E. TALARA</c:v>
                </c:pt>
              </c:strCache>
            </c:strRef>
          </c:cat>
          <c:val>
            <c:numRef>
              <c:f>'6. FP RER'!$O$36:$O$40</c:f>
              <c:numCache>
                <c:formatCode>0.00</c:formatCode>
                <c:ptCount val="5"/>
                <c:pt idx="0">
                  <c:v>46.866008530000002</c:v>
                </c:pt>
                <c:pt idx="1">
                  <c:v>46.834456469999999</c:v>
                </c:pt>
                <c:pt idx="2">
                  <c:v>22.519486022500001</c:v>
                </c:pt>
                <c:pt idx="3">
                  <c:v>15.99853315</c:v>
                </c:pt>
                <c:pt idx="4">
                  <c:v>3.6259629974999998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MARCONA</c:v>
                </c:pt>
                <c:pt idx="4">
                  <c:v>C.E. TALARA</c:v>
                </c:pt>
              </c:strCache>
            </c:strRef>
          </c:cat>
          <c:val>
            <c:numRef>
              <c:f>'6. FP RER'!$P$36:$P$40</c:f>
              <c:numCache>
                <c:formatCode>0.00</c:formatCode>
                <c:ptCount val="5"/>
                <c:pt idx="0">
                  <c:v>0.47612960656783615</c:v>
                </c:pt>
                <c:pt idx="1">
                  <c:v>0.64796230845217728</c:v>
                </c:pt>
                <c:pt idx="2">
                  <c:v>0.36401835687706502</c:v>
                </c:pt>
                <c:pt idx="3">
                  <c:v>0.67198139910954302</c:v>
                </c:pt>
                <c:pt idx="4">
                  <c:v>0.15792631819298392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abril</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Marzo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INFSGI-MES-03-2021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64</xdr:row>
      <xdr:rowOff>66261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(8,24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(8,65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(8,21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(8,57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(7,35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(7,77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(8,82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(7,89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(8,15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(8,55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123977</xdr:colOff>
      <xdr:row>18</xdr:row>
      <xdr:rowOff>101712</xdr:rowOff>
    </xdr:from>
    <xdr:to>
      <xdr:col>7</xdr:col>
      <xdr:colOff>428045</xdr:colOff>
      <xdr:row>44</xdr:row>
      <xdr:rowOff>132522</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221674</xdr:colOff>
      <xdr:row>18</xdr:row>
      <xdr:rowOff>7253</xdr:rowOff>
    </xdr:from>
    <xdr:to>
      <xdr:col>3</xdr:col>
      <xdr:colOff>333346</xdr:colOff>
      <xdr:row>33</xdr:row>
      <xdr:rowOff>23676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17</xdr:row>
      <xdr:rowOff>54428</xdr:rowOff>
    </xdr:from>
    <xdr:to>
      <xdr:col>9</xdr:col>
      <xdr:colOff>571499</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28</xdr:row>
      <xdr:rowOff>43543</xdr:rowOff>
    </xdr:from>
    <xdr:to>
      <xdr:col>9</xdr:col>
      <xdr:colOff>581525</xdr:colOff>
      <xdr:row>40</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63</xdr:row>
      <xdr:rowOff>106680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O18" sqref="O18"/>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5"/>
    </row>
    <row r="12" spans="9:9" ht="15.6">
      <c r="I12" s="365"/>
    </row>
    <row r="13" spans="9:9" ht="15.6">
      <c r="I13" s="365"/>
    </row>
    <row r="14" spans="9:9" ht="15.6">
      <c r="I14" s="365"/>
    </row>
    <row r="15" spans="9:9" ht="15.6">
      <c r="I15" s="365"/>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O61" sqref="O6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2" t="s">
        <v>244</v>
      </c>
      <c r="B2" s="862"/>
      <c r="C2" s="862"/>
      <c r="D2" s="862"/>
      <c r="E2" s="862"/>
      <c r="F2" s="862"/>
      <c r="G2" s="862"/>
      <c r="H2" s="862"/>
      <c r="I2" s="862"/>
      <c r="J2" s="862"/>
      <c r="K2" s="862"/>
    </row>
    <row r="3" spans="1:12" ht="11.25" customHeight="1">
      <c r="A3" s="17"/>
      <c r="B3" s="17"/>
      <c r="C3" s="17"/>
      <c r="D3" s="17"/>
      <c r="E3" s="17"/>
      <c r="F3" s="17"/>
      <c r="G3" s="17"/>
      <c r="H3" s="17"/>
      <c r="I3" s="17"/>
      <c r="J3" s="17"/>
      <c r="K3" s="17"/>
      <c r="L3" s="36"/>
    </row>
    <row r="4" spans="1:12" ht="11.25" customHeight="1">
      <c r="A4" s="863" t="s">
        <v>380</v>
      </c>
      <c r="B4" s="863"/>
      <c r="C4" s="863"/>
      <c r="D4" s="863"/>
      <c r="E4" s="863"/>
      <c r="F4" s="863"/>
      <c r="G4" s="863"/>
      <c r="H4" s="863"/>
      <c r="I4" s="863"/>
      <c r="J4" s="863"/>
      <c r="K4" s="863"/>
      <c r="L4" s="36"/>
    </row>
    <row r="5" spans="1:12" ht="11.25" customHeight="1">
      <c r="A5" s="17"/>
      <c r="B5" s="67"/>
      <c r="C5" s="68"/>
      <c r="D5" s="69"/>
      <c r="E5" s="69"/>
      <c r="F5" s="69"/>
      <c r="G5" s="69"/>
      <c r="H5" s="70"/>
      <c r="I5" s="66"/>
      <c r="J5" s="66"/>
      <c r="K5" s="71"/>
      <c r="L5" s="8"/>
    </row>
    <row r="6" spans="1:12" ht="12.75" customHeight="1">
      <c r="A6" s="869" t="s">
        <v>212</v>
      </c>
      <c r="B6" s="864" t="s">
        <v>247</v>
      </c>
      <c r="C6" s="865"/>
      <c r="D6" s="865"/>
      <c r="E6" s="865" t="s">
        <v>34</v>
      </c>
      <c r="F6" s="865"/>
      <c r="G6" s="866" t="s">
        <v>246</v>
      </c>
      <c r="H6" s="866"/>
      <c r="I6" s="866"/>
      <c r="J6" s="866"/>
      <c r="K6" s="866"/>
      <c r="L6" s="15"/>
    </row>
    <row r="7" spans="1:12" ht="12.75" customHeight="1">
      <c r="A7" s="869"/>
      <c r="B7" s="463">
        <v>44204.822916666664</v>
      </c>
      <c r="C7" s="463">
        <v>44251.822916666664</v>
      </c>
      <c r="D7" s="463">
        <v>44259.833333333336</v>
      </c>
      <c r="E7" s="463">
        <v>43899.822916666664</v>
      </c>
      <c r="F7" s="867" t="s">
        <v>120</v>
      </c>
      <c r="G7" s="632">
        <v>2021</v>
      </c>
      <c r="H7" s="632">
        <v>2020</v>
      </c>
      <c r="I7" s="867" t="s">
        <v>576</v>
      </c>
      <c r="J7" s="632">
        <v>2019</v>
      </c>
      <c r="K7" s="867" t="s">
        <v>459</v>
      </c>
      <c r="L7" s="13"/>
    </row>
    <row r="8" spans="1:12" ht="12.75" customHeight="1">
      <c r="A8" s="869"/>
      <c r="B8" s="464">
        <v>44204.822916666664</v>
      </c>
      <c r="C8" s="464">
        <v>44251.822916666664</v>
      </c>
      <c r="D8" s="464">
        <v>44259.833333333336</v>
      </c>
      <c r="E8" s="464">
        <v>43899.822916666664</v>
      </c>
      <c r="F8" s="868"/>
      <c r="G8" s="465">
        <v>44204.822916666664</v>
      </c>
      <c r="H8" s="465">
        <v>43854.8125</v>
      </c>
      <c r="I8" s="868"/>
      <c r="J8" s="465">
        <v>43494.833333333336</v>
      </c>
      <c r="K8" s="868"/>
      <c r="L8" s="14"/>
    </row>
    <row r="9" spans="1:12" ht="12.75" customHeight="1">
      <c r="A9" s="869"/>
      <c r="B9" s="466">
        <v>44204.822916666664</v>
      </c>
      <c r="C9" s="466">
        <v>44251.822916666664</v>
      </c>
      <c r="D9" s="466">
        <v>44259.833333333336</v>
      </c>
      <c r="E9" s="466">
        <v>43899.822916666664</v>
      </c>
      <c r="F9" s="868"/>
      <c r="G9" s="467">
        <v>44204.822916666664</v>
      </c>
      <c r="H9" s="467">
        <v>43854.8125</v>
      </c>
      <c r="I9" s="868"/>
      <c r="J9" s="467">
        <v>43494.833333333336</v>
      </c>
      <c r="K9" s="868"/>
      <c r="L9" s="14"/>
    </row>
    <row r="10" spans="1:12" ht="12.75" customHeight="1">
      <c r="A10" s="468" t="s">
        <v>36</v>
      </c>
      <c r="B10" s="469">
        <v>4594.55105</v>
      </c>
      <c r="C10" s="470">
        <v>4402.4663700000001</v>
      </c>
      <c r="D10" s="471">
        <v>3852.8878600000016</v>
      </c>
      <c r="E10" s="469">
        <v>4739.9187600000005</v>
      </c>
      <c r="F10" s="472">
        <f>+IF(E10=0,"",D10/E10-1)</f>
        <v>-0.18714052812162518</v>
      </c>
      <c r="G10" s="469">
        <v>4594.55105</v>
      </c>
      <c r="H10" s="470">
        <v>4614.2048799999993</v>
      </c>
      <c r="I10" s="472">
        <f>+IF(H10=0,"",G10/H10-1)</f>
        <v>-4.2594185804769591E-3</v>
      </c>
      <c r="J10" s="469">
        <v>4587.9101300000002</v>
      </c>
      <c r="K10" s="472">
        <f t="shared" ref="K10:K18" si="0">+IF(J10=0,"",H10/J10-1)</f>
        <v>5.7313132243066445E-3</v>
      </c>
      <c r="L10" s="14"/>
    </row>
    <row r="11" spans="1:12" ht="12.75" customHeight="1">
      <c r="A11" s="473" t="s">
        <v>37</v>
      </c>
      <c r="B11" s="474">
        <v>2012.4400399999995</v>
      </c>
      <c r="C11" s="475">
        <v>2071.0535099999997</v>
      </c>
      <c r="D11" s="476">
        <v>2830.9633900000003</v>
      </c>
      <c r="E11" s="474">
        <v>2206.6872899999994</v>
      </c>
      <c r="F11" s="477">
        <f>+IF(E11=0,"",D11/E11-1)</f>
        <v>0.28290193306003086</v>
      </c>
      <c r="G11" s="474">
        <v>2012.4400399999995</v>
      </c>
      <c r="H11" s="475">
        <v>2307.6013599999997</v>
      </c>
      <c r="I11" s="477">
        <f>+IF(H11=0,"",G11/H11-1)</f>
        <v>-0.12790827961723861</v>
      </c>
      <c r="J11" s="474">
        <v>2159.8880899999999</v>
      </c>
      <c r="K11" s="477">
        <f>+IF(J11=0,"",H11/J11-1)</f>
        <v>6.8389316411296086E-2</v>
      </c>
      <c r="L11" s="14"/>
    </row>
    <row r="12" spans="1:12" ht="12.75" customHeight="1">
      <c r="A12" s="478" t="s">
        <v>38</v>
      </c>
      <c r="B12" s="479">
        <v>302.64609999999999</v>
      </c>
      <c r="C12" s="480">
        <v>304.86232000000001</v>
      </c>
      <c r="D12" s="481">
        <v>148.80618999999999</v>
      </c>
      <c r="E12" s="479">
        <v>170.18270000000001</v>
      </c>
      <c r="F12" s="482">
        <f>+IF(E12=0,"",D12/E12-1)</f>
        <v>-0.12560918354215811</v>
      </c>
      <c r="G12" s="479">
        <v>302.64609999999999</v>
      </c>
      <c r="H12" s="480">
        <v>148.82196999999999</v>
      </c>
      <c r="I12" s="482">
        <f>+IF(H12=0,"",G12/H12-1)</f>
        <v>1.0336117039708586</v>
      </c>
      <c r="J12" s="479">
        <v>128.49421999999998</v>
      </c>
      <c r="K12" s="482">
        <f>+IF(J12=0,"",H12/J12-1)</f>
        <v>0.15819972291360673</v>
      </c>
      <c r="L12" s="13"/>
    </row>
    <row r="13" spans="1:12" ht="12.75" customHeight="1">
      <c r="A13" s="483" t="s">
        <v>30</v>
      </c>
      <c r="B13" s="484">
        <v>0</v>
      </c>
      <c r="C13" s="485">
        <v>0</v>
      </c>
      <c r="D13" s="486">
        <v>0</v>
      </c>
      <c r="E13" s="484">
        <v>0</v>
      </c>
      <c r="F13" s="487" t="str">
        <f>+IF(E13=0,"",D13/E13-1)</f>
        <v/>
      </c>
      <c r="G13" s="484">
        <v>0</v>
      </c>
      <c r="H13" s="485">
        <v>0</v>
      </c>
      <c r="I13" s="487" t="str">
        <f>+IF(H13=0,"",G13/H13-1)</f>
        <v/>
      </c>
      <c r="J13" s="484">
        <v>0</v>
      </c>
      <c r="K13" s="487" t="str">
        <f t="shared" si="0"/>
        <v/>
      </c>
      <c r="L13" s="14"/>
    </row>
    <row r="14" spans="1:12" ht="12.75" customHeight="1">
      <c r="A14" s="488" t="s">
        <v>42</v>
      </c>
      <c r="B14" s="459">
        <f>+SUM(B10:B13)</f>
        <v>6909.6371899999995</v>
      </c>
      <c r="C14" s="460">
        <f t="shared" ref="C14:J14" si="1">+SUM(C10:C13)</f>
        <v>6778.3822</v>
      </c>
      <c r="D14" s="461">
        <f t="shared" si="1"/>
        <v>6832.6574400000018</v>
      </c>
      <c r="E14" s="459">
        <f t="shared" si="1"/>
        <v>7116.7887500000006</v>
      </c>
      <c r="F14" s="515">
        <f>+IF(E14=0,"",D14/E14-1)</f>
        <v>-3.9924089358420067E-2</v>
      </c>
      <c r="G14" s="512">
        <f t="shared" si="1"/>
        <v>6909.6371899999995</v>
      </c>
      <c r="H14" s="460">
        <f t="shared" si="1"/>
        <v>7070.6282099999989</v>
      </c>
      <c r="I14" s="515">
        <f>+IF(H14=0,"",G14/H14-1)</f>
        <v>-2.2768983917484165E-2</v>
      </c>
      <c r="J14" s="459">
        <f t="shared" si="1"/>
        <v>6876.2924400000002</v>
      </c>
      <c r="K14" s="515">
        <f>+IF(J14=0,"",H14/J14-1)</f>
        <v>2.8261708136426922E-2</v>
      </c>
      <c r="L14" s="14"/>
    </row>
    <row r="15" spans="1:12" ht="6.75" customHeight="1">
      <c r="A15" s="489"/>
      <c r="B15" s="489"/>
      <c r="C15" s="489"/>
      <c r="D15" s="489"/>
      <c r="E15" s="489"/>
      <c r="F15" s="490"/>
      <c r="G15" s="489"/>
      <c r="H15" s="489"/>
      <c r="I15" s="490"/>
      <c r="J15" s="489"/>
      <c r="K15" s="490"/>
      <c r="L15" s="14"/>
    </row>
    <row r="16" spans="1:12" ht="12.75" customHeight="1">
      <c r="A16" s="491" t="s">
        <v>39</v>
      </c>
      <c r="B16" s="492">
        <v>0</v>
      </c>
      <c r="C16" s="493">
        <v>0</v>
      </c>
      <c r="D16" s="494">
        <v>0</v>
      </c>
      <c r="E16" s="492">
        <v>0</v>
      </c>
      <c r="F16" s="494">
        <v>0</v>
      </c>
      <c r="G16" s="492">
        <v>0</v>
      </c>
      <c r="H16" s="493">
        <v>0</v>
      </c>
      <c r="I16" s="494">
        <v>0</v>
      </c>
      <c r="J16" s="492">
        <v>0</v>
      </c>
      <c r="K16" s="495" t="str">
        <f t="shared" si="0"/>
        <v/>
      </c>
      <c r="L16" s="15"/>
    </row>
    <row r="17" spans="1:12" ht="12.75" customHeight="1">
      <c r="A17" s="496" t="s">
        <v>40</v>
      </c>
      <c r="B17" s="497">
        <v>0</v>
      </c>
      <c r="C17" s="498">
        <v>0</v>
      </c>
      <c r="D17" s="499">
        <v>0</v>
      </c>
      <c r="E17" s="497">
        <v>0</v>
      </c>
      <c r="F17" s="499">
        <v>0</v>
      </c>
      <c r="G17" s="497">
        <v>0</v>
      </c>
      <c r="H17" s="498">
        <v>0</v>
      </c>
      <c r="I17" s="499">
        <v>0</v>
      </c>
      <c r="J17" s="497">
        <v>0</v>
      </c>
      <c r="K17" s="500" t="str">
        <f t="shared" si="0"/>
        <v/>
      </c>
      <c r="L17" s="15"/>
    </row>
    <row r="18" spans="1:12" ht="24" customHeight="1">
      <c r="A18" s="501" t="s">
        <v>41</v>
      </c>
      <c r="B18" s="502">
        <f t="shared" ref="B18:J18" si="2">+B17-B16</f>
        <v>0</v>
      </c>
      <c r="C18" s="503">
        <f t="shared" si="2"/>
        <v>0</v>
      </c>
      <c r="D18" s="504">
        <f t="shared" si="2"/>
        <v>0</v>
      </c>
      <c r="E18" s="502">
        <f t="shared" si="2"/>
        <v>0</v>
      </c>
      <c r="F18" s="504">
        <f t="shared" si="2"/>
        <v>0</v>
      </c>
      <c r="G18" s="502">
        <f t="shared" si="2"/>
        <v>0</v>
      </c>
      <c r="H18" s="503">
        <f t="shared" si="2"/>
        <v>0</v>
      </c>
      <c r="I18" s="504">
        <f t="shared" si="2"/>
        <v>0</v>
      </c>
      <c r="J18" s="502">
        <f t="shared" si="2"/>
        <v>0</v>
      </c>
      <c r="K18" s="505" t="str">
        <f t="shared" si="0"/>
        <v/>
      </c>
      <c r="L18" s="15"/>
    </row>
    <row r="19" spans="1:12" ht="6" customHeight="1">
      <c r="A19" s="506"/>
      <c r="B19" s="506"/>
      <c r="C19" s="506"/>
      <c r="D19" s="506"/>
      <c r="E19" s="506"/>
      <c r="F19" s="507"/>
      <c r="G19" s="506"/>
      <c r="H19" s="506"/>
      <c r="I19" s="507"/>
      <c r="J19" s="506"/>
      <c r="K19" s="507"/>
      <c r="L19" s="15"/>
    </row>
    <row r="20" spans="1:12" ht="24" customHeight="1">
      <c r="A20" s="508" t="s">
        <v>245</v>
      </c>
      <c r="B20" s="509">
        <f>+B14-B18</f>
        <v>6909.6371899999995</v>
      </c>
      <c r="C20" s="510">
        <f t="shared" ref="C20" si="3">+C14-C18</f>
        <v>6778.3822</v>
      </c>
      <c r="D20" s="511">
        <f>+D14-D18</f>
        <v>6832.6574400000018</v>
      </c>
      <c r="E20" s="509">
        <f>+E14-E18</f>
        <v>7116.7887500000006</v>
      </c>
      <c r="F20" s="462">
        <f>+IF(E20=0,"",D20/E20-1)</f>
        <v>-3.9924089358420067E-2</v>
      </c>
      <c r="G20" s="596">
        <f>+G14-G18</f>
        <v>6909.6371899999995</v>
      </c>
      <c r="H20" s="509">
        <f>+H14-H18</f>
        <v>7070.6282099999989</v>
      </c>
      <c r="I20" s="462">
        <f>+IF(H20=0,"",G20/H20-1)</f>
        <v>-2.2768983917484165E-2</v>
      </c>
      <c r="J20" s="509">
        <f>+J14-J18</f>
        <v>6876.2924400000002</v>
      </c>
      <c r="K20" s="462">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60"/>
      <c r="B22" s="860"/>
      <c r="C22" s="860"/>
      <c r="D22" s="860"/>
      <c r="E22" s="860"/>
      <c r="F22" s="860"/>
      <c r="G22" s="860"/>
      <c r="H22" s="860"/>
      <c r="I22" s="860"/>
      <c r="J22" s="860"/>
      <c r="K22" s="86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1" t="str">
        <f>"Gráfico N° 11: Comparación de la máxima potencia coincidente de potencia (MW) por tipo de generación en el SEIN en "&amp;'1. Resumen'!Q4</f>
        <v>Gráfico N° 11: Comparación de la máxima potencia coincidente de potencia (MW) por tipo de generación en el SEIN en marzo</v>
      </c>
      <c r="B58" s="861"/>
      <c r="C58" s="861"/>
      <c r="D58" s="861"/>
      <c r="E58" s="861"/>
      <c r="F58" s="861"/>
      <c r="G58" s="861"/>
      <c r="H58" s="861"/>
      <c r="I58" s="861"/>
      <c r="J58" s="861"/>
      <c r="K58" s="861"/>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69"/>
  <sheetViews>
    <sheetView showGridLines="0" view="pageBreakPreview" zoomScaleNormal="100" zoomScaleSheetLayoutView="100" zoomScalePageLayoutView="115" workbookViewId="0">
      <selection activeCell="O61" sqref="O61"/>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339" customWidth="1"/>
    <col min="13" max="14" width="9.28515625" style="520"/>
    <col min="15" max="15" width="9.28515625" style="574"/>
  </cols>
  <sheetData>
    <row r="1" spans="1:15" ht="25.5" customHeight="1">
      <c r="A1" s="872" t="s">
        <v>249</v>
      </c>
      <c r="B1" s="872"/>
      <c r="C1" s="872"/>
      <c r="D1" s="872"/>
      <c r="E1" s="872"/>
      <c r="F1" s="872"/>
      <c r="G1" s="872"/>
      <c r="H1" s="872"/>
      <c r="I1" s="872"/>
      <c r="J1" s="872"/>
    </row>
    <row r="2" spans="1:15" ht="7.5" customHeight="1">
      <c r="A2" s="74"/>
      <c r="B2" s="73"/>
      <c r="C2" s="73"/>
      <c r="D2" s="73"/>
      <c r="E2" s="73"/>
      <c r="F2" s="73"/>
      <c r="G2" s="73"/>
      <c r="H2" s="73"/>
      <c r="I2" s="73"/>
      <c r="J2" s="73"/>
      <c r="K2" s="36"/>
      <c r="L2" s="585"/>
    </row>
    <row r="3" spans="1:15" ht="11.25" customHeight="1">
      <c r="A3" s="873" t="s">
        <v>121</v>
      </c>
      <c r="B3" s="875" t="str">
        <f>+'1. Resumen'!Q4</f>
        <v>marzo</v>
      </c>
      <c r="C3" s="876"/>
      <c r="D3" s="877"/>
      <c r="E3" s="138"/>
      <c r="F3" s="138"/>
      <c r="G3" s="878" t="s">
        <v>577</v>
      </c>
      <c r="H3" s="878"/>
      <c r="I3" s="878"/>
      <c r="J3" s="138"/>
      <c r="K3" s="148"/>
      <c r="L3" s="585"/>
    </row>
    <row r="4" spans="1:15" ht="11.25" customHeight="1">
      <c r="A4" s="873"/>
      <c r="B4" s="377">
        <v>2021</v>
      </c>
      <c r="C4" s="378">
        <v>2020</v>
      </c>
      <c r="D4" s="877" t="s">
        <v>35</v>
      </c>
      <c r="E4" s="138"/>
      <c r="F4" s="138"/>
      <c r="G4" s="138"/>
      <c r="H4" s="138"/>
      <c r="I4" s="138"/>
      <c r="J4" s="138"/>
      <c r="K4" s="24"/>
      <c r="L4" s="586"/>
    </row>
    <row r="5" spans="1:15" ht="11.25" customHeight="1">
      <c r="A5" s="873"/>
      <c r="B5" s="379">
        <f>+'8. Max Potencia'!D8</f>
        <v>44259.833333333336</v>
      </c>
      <c r="C5" s="379">
        <f>+'8. Max Potencia'!E8</f>
        <v>43899.822916666664</v>
      </c>
      <c r="D5" s="877"/>
      <c r="E5" s="138"/>
      <c r="F5" s="138"/>
      <c r="G5" s="138"/>
      <c r="H5" s="138"/>
      <c r="I5" s="138"/>
      <c r="J5" s="138"/>
      <c r="K5" s="24"/>
      <c r="L5" s="587"/>
    </row>
    <row r="6" spans="1:15" ht="11.25" customHeight="1" thickBot="1">
      <c r="A6" s="874"/>
      <c r="B6" s="380">
        <f>+'8. Max Potencia'!D9</f>
        <v>44259.833333333336</v>
      </c>
      <c r="C6" s="380">
        <f>+'8. Max Potencia'!E9</f>
        <v>43899.822916666664</v>
      </c>
      <c r="D6" s="879"/>
      <c r="E6" s="138"/>
      <c r="F6" s="138"/>
      <c r="G6" s="138"/>
      <c r="H6" s="138"/>
      <c r="I6" s="138"/>
      <c r="J6" s="138"/>
      <c r="K6" s="25"/>
      <c r="L6" s="586" t="s">
        <v>248</v>
      </c>
      <c r="M6" s="339">
        <v>2020</v>
      </c>
      <c r="N6" s="339">
        <v>2019</v>
      </c>
    </row>
    <row r="7" spans="1:15" ht="9.75" customHeight="1">
      <c r="A7" s="688" t="s">
        <v>88</v>
      </c>
      <c r="B7" s="689">
        <v>988.41199000000006</v>
      </c>
      <c r="C7" s="689">
        <v>989.51923999999997</v>
      </c>
      <c r="D7" s="690">
        <f>IF(C7=0,"",B7/C7-1)</f>
        <v>-1.1189777371078957E-3</v>
      </c>
      <c r="E7" s="138"/>
      <c r="F7" s="138"/>
      <c r="G7" s="138"/>
      <c r="H7" s="138"/>
      <c r="I7" s="138"/>
      <c r="J7" s="138"/>
      <c r="K7" s="23"/>
      <c r="L7" s="588"/>
      <c r="M7" s="594"/>
      <c r="N7" s="594"/>
      <c r="O7" s="575"/>
    </row>
    <row r="8" spans="1:15" ht="9.75" customHeight="1">
      <c r="A8" s="691" t="s">
        <v>407</v>
      </c>
      <c r="B8" s="692">
        <v>960.90410999999995</v>
      </c>
      <c r="C8" s="692">
        <v>893.79520000000002</v>
      </c>
      <c r="D8" s="693">
        <f t="shared" ref="D8:D65" si="0">IF(C8=0,"",B8/C8-1)</f>
        <v>7.5083095098295471E-2</v>
      </c>
      <c r="E8" s="138"/>
      <c r="F8" s="138"/>
      <c r="G8" s="138"/>
      <c r="H8" s="138"/>
      <c r="I8" s="138"/>
      <c r="J8" s="138"/>
      <c r="K8" s="26"/>
      <c r="L8" s="588"/>
      <c r="M8" s="594"/>
      <c r="N8" s="594"/>
      <c r="O8" s="575"/>
    </row>
    <row r="9" spans="1:15" ht="9.75" customHeight="1">
      <c r="A9" s="694" t="s">
        <v>89</v>
      </c>
      <c r="B9" s="695">
        <v>854.18687999999997</v>
      </c>
      <c r="C9" s="695">
        <v>809.25408000000004</v>
      </c>
      <c r="D9" s="696">
        <f t="shared" si="0"/>
        <v>5.5523723772884725E-2</v>
      </c>
      <c r="E9" s="324"/>
      <c r="F9" s="138"/>
      <c r="G9" s="138"/>
      <c r="H9" s="138"/>
      <c r="I9" s="138"/>
      <c r="J9" s="138"/>
      <c r="K9" s="25"/>
      <c r="L9" s="588" t="s">
        <v>554</v>
      </c>
      <c r="M9" s="594">
        <v>0</v>
      </c>
      <c r="N9" s="594">
        <v>0</v>
      </c>
      <c r="O9" s="575"/>
    </row>
    <row r="10" spans="1:15" ht="9.75" customHeight="1">
      <c r="A10" s="691" t="s">
        <v>237</v>
      </c>
      <c r="B10" s="692">
        <v>542.61955999999998</v>
      </c>
      <c r="C10" s="692">
        <v>272.46931999999998</v>
      </c>
      <c r="D10" s="693">
        <f t="shared" si="0"/>
        <v>0.99148865641093109</v>
      </c>
      <c r="E10" s="138"/>
      <c r="F10" s="138"/>
      <c r="G10" s="138"/>
      <c r="H10" s="138"/>
      <c r="I10" s="138"/>
      <c r="J10" s="138"/>
      <c r="K10" s="25"/>
      <c r="L10" s="588" t="s">
        <v>553</v>
      </c>
      <c r="M10" s="587">
        <v>0</v>
      </c>
      <c r="N10" s="587">
        <v>0</v>
      </c>
      <c r="O10" s="575"/>
    </row>
    <row r="11" spans="1:15" ht="9.75" customHeight="1">
      <c r="A11" s="694" t="s">
        <v>87</v>
      </c>
      <c r="B11" s="695">
        <v>472.95193999999998</v>
      </c>
      <c r="C11" s="695">
        <v>993.13590999999997</v>
      </c>
      <c r="D11" s="696">
        <f t="shared" si="0"/>
        <v>-0.52377923782858682</v>
      </c>
      <c r="E11" s="138"/>
      <c r="F11" s="138"/>
      <c r="G11" s="138"/>
      <c r="H11" s="138"/>
      <c r="I11" s="138"/>
      <c r="J11" s="138"/>
      <c r="K11" s="25"/>
      <c r="L11" s="588" t="s">
        <v>109</v>
      </c>
      <c r="M11" s="587">
        <v>0</v>
      </c>
      <c r="N11" s="587">
        <v>0</v>
      </c>
      <c r="O11" s="575"/>
    </row>
    <row r="12" spans="1:15" ht="9.75" customHeight="1">
      <c r="A12" s="691" t="s">
        <v>235</v>
      </c>
      <c r="B12" s="692">
        <v>460.70956999999999</v>
      </c>
      <c r="C12" s="692">
        <v>463.44722999999999</v>
      </c>
      <c r="D12" s="693">
        <f t="shared" si="0"/>
        <v>-5.9071666044913096E-3</v>
      </c>
      <c r="E12" s="138"/>
      <c r="F12" s="138"/>
      <c r="G12" s="138"/>
      <c r="H12" s="138"/>
      <c r="I12" s="138"/>
      <c r="J12" s="138"/>
      <c r="K12" s="23"/>
      <c r="L12" s="588" t="s">
        <v>117</v>
      </c>
      <c r="M12" s="594">
        <v>0</v>
      </c>
      <c r="N12" s="594">
        <v>0</v>
      </c>
      <c r="O12" s="575"/>
    </row>
    <row r="13" spans="1:15" ht="9.75" customHeight="1">
      <c r="A13" s="694" t="s">
        <v>239</v>
      </c>
      <c r="B13" s="695">
        <v>349.62956999999994</v>
      </c>
      <c r="C13" s="695">
        <v>357.78279000000003</v>
      </c>
      <c r="D13" s="696">
        <f t="shared" si="0"/>
        <v>-2.278818385870407E-2</v>
      </c>
      <c r="E13" s="138"/>
      <c r="F13" s="138"/>
      <c r="G13" s="138"/>
      <c r="H13" s="138"/>
      <c r="I13" s="138"/>
      <c r="J13" s="138"/>
      <c r="K13" s="26"/>
      <c r="L13" s="588" t="s">
        <v>102</v>
      </c>
      <c r="M13" s="587">
        <v>0</v>
      </c>
      <c r="N13" s="587">
        <v>26.28755</v>
      </c>
      <c r="O13" s="575"/>
    </row>
    <row r="14" spans="1:15" ht="9.75" customHeight="1">
      <c r="A14" s="691" t="s">
        <v>90</v>
      </c>
      <c r="B14" s="692">
        <v>307.39165999999994</v>
      </c>
      <c r="C14" s="692">
        <v>387.25858000000005</v>
      </c>
      <c r="D14" s="693">
        <f t="shared" si="0"/>
        <v>-0.20623667008230029</v>
      </c>
      <c r="E14" s="138"/>
      <c r="F14" s="138"/>
      <c r="G14" s="138"/>
      <c r="H14" s="138"/>
      <c r="I14" s="138"/>
      <c r="J14" s="138"/>
      <c r="K14" s="26"/>
      <c r="L14" s="588" t="s">
        <v>242</v>
      </c>
      <c r="M14" s="587">
        <v>0</v>
      </c>
      <c r="N14" s="587">
        <v>0</v>
      </c>
      <c r="O14" s="575"/>
    </row>
    <row r="15" spans="1:15" ht="9.75" customHeight="1">
      <c r="A15" s="694" t="s">
        <v>100</v>
      </c>
      <c r="B15" s="695">
        <v>277.30989</v>
      </c>
      <c r="C15" s="695">
        <v>283.29390999999998</v>
      </c>
      <c r="D15" s="696">
        <f t="shared" si="0"/>
        <v>-2.1123009668651105E-2</v>
      </c>
      <c r="E15" s="138"/>
      <c r="F15" s="138"/>
      <c r="G15" s="138"/>
      <c r="H15" s="138"/>
      <c r="I15" s="138"/>
      <c r="J15" s="138"/>
      <c r="K15" s="26"/>
      <c r="L15" s="588" t="s">
        <v>241</v>
      </c>
      <c r="M15" s="587">
        <v>0</v>
      </c>
      <c r="N15" s="587">
        <v>0</v>
      </c>
      <c r="O15" s="575"/>
    </row>
    <row r="16" spans="1:15" ht="9.75" customHeight="1">
      <c r="A16" s="691" t="s">
        <v>94</v>
      </c>
      <c r="B16" s="692">
        <v>179.65536</v>
      </c>
      <c r="C16" s="692">
        <v>213.68581</v>
      </c>
      <c r="D16" s="693">
        <f t="shared" si="0"/>
        <v>-0.15925460843656392</v>
      </c>
      <c r="E16" s="138"/>
      <c r="F16" s="138"/>
      <c r="G16" s="138"/>
      <c r="H16" s="138"/>
      <c r="I16" s="138"/>
      <c r="J16" s="138"/>
      <c r="K16" s="26"/>
      <c r="L16" s="588" t="s">
        <v>107</v>
      </c>
      <c r="M16" s="587">
        <v>0</v>
      </c>
      <c r="N16" s="587">
        <v>0</v>
      </c>
      <c r="O16" s="575"/>
    </row>
    <row r="17" spans="1:15" ht="9.75" customHeight="1">
      <c r="A17" s="694" t="s">
        <v>93</v>
      </c>
      <c r="B17" s="695">
        <v>169.32477</v>
      </c>
      <c r="C17" s="695">
        <v>195.96012999999999</v>
      </c>
      <c r="D17" s="696">
        <f t="shared" si="0"/>
        <v>-0.13592234297864569</v>
      </c>
      <c r="E17" s="138"/>
      <c r="F17" s="138"/>
      <c r="G17" s="138"/>
      <c r="H17" s="138"/>
      <c r="I17" s="138"/>
      <c r="J17" s="138"/>
      <c r="K17" s="26"/>
      <c r="L17" s="588" t="s">
        <v>110</v>
      </c>
      <c r="M17" s="594">
        <v>0</v>
      </c>
      <c r="N17" s="594">
        <v>0</v>
      </c>
      <c r="O17" s="575"/>
    </row>
    <row r="18" spans="1:15" ht="9.75" customHeight="1">
      <c r="A18" s="691" t="s">
        <v>92</v>
      </c>
      <c r="B18" s="692">
        <v>166.23023999999998</v>
      </c>
      <c r="C18" s="692">
        <v>163.44571999999999</v>
      </c>
      <c r="D18" s="693">
        <f t="shared" si="0"/>
        <v>1.7036359226781705E-2</v>
      </c>
      <c r="E18" s="138"/>
      <c r="F18" s="138"/>
      <c r="G18" s="138"/>
      <c r="H18" s="138"/>
      <c r="I18" s="138"/>
      <c r="J18" s="138"/>
      <c r="K18" s="26"/>
      <c r="L18" s="588" t="s">
        <v>116</v>
      </c>
      <c r="M18" s="587">
        <v>0</v>
      </c>
      <c r="N18" s="587">
        <v>0</v>
      </c>
      <c r="O18" s="575"/>
    </row>
    <row r="19" spans="1:15" ht="9.75" customHeight="1">
      <c r="A19" s="694" t="s">
        <v>95</v>
      </c>
      <c r="B19" s="695">
        <v>108.9648</v>
      </c>
      <c r="C19" s="695">
        <v>110.18037</v>
      </c>
      <c r="D19" s="696">
        <f t="shared" si="0"/>
        <v>-1.103254599707737E-2</v>
      </c>
      <c r="E19" s="138"/>
      <c r="F19" s="138"/>
      <c r="G19" s="138"/>
      <c r="H19" s="138"/>
      <c r="I19" s="138"/>
      <c r="J19" s="138"/>
      <c r="K19" s="26"/>
      <c r="L19" s="588" t="s">
        <v>409</v>
      </c>
      <c r="M19" s="587">
        <v>0</v>
      </c>
      <c r="N19" s="587">
        <v>0</v>
      </c>
      <c r="O19" s="575"/>
    </row>
    <row r="20" spans="1:15" ht="9.75" customHeight="1">
      <c r="A20" s="691" t="s">
        <v>91</v>
      </c>
      <c r="B20" s="692">
        <v>103.53776999999998</v>
      </c>
      <c r="C20" s="692">
        <v>169.65243999999998</v>
      </c>
      <c r="D20" s="693">
        <f t="shared" si="0"/>
        <v>-0.38970656714397989</v>
      </c>
      <c r="E20" s="138"/>
      <c r="F20" s="138"/>
      <c r="G20" s="138"/>
      <c r="H20" s="138"/>
      <c r="I20" s="138"/>
      <c r="J20" s="138"/>
      <c r="K20" s="29"/>
      <c r="L20" s="588" t="s">
        <v>234</v>
      </c>
      <c r="M20" s="587">
        <v>0</v>
      </c>
      <c r="N20" s="587">
        <v>0</v>
      </c>
      <c r="O20" s="575"/>
    </row>
    <row r="21" spans="1:15" ht="9.75" customHeight="1">
      <c r="A21" s="694" t="s">
        <v>96</v>
      </c>
      <c r="B21" s="695">
        <v>91.018720000000002</v>
      </c>
      <c r="C21" s="695">
        <v>89.058170000000004</v>
      </c>
      <c r="D21" s="696">
        <f t="shared" si="0"/>
        <v>2.2014263261865841E-2</v>
      </c>
      <c r="E21" s="138"/>
      <c r="F21" s="138"/>
      <c r="G21" s="138"/>
      <c r="H21" s="138"/>
      <c r="I21" s="138"/>
      <c r="J21" s="138"/>
      <c r="K21" s="26"/>
      <c r="L21" s="588" t="s">
        <v>106</v>
      </c>
      <c r="M21" s="594">
        <v>0</v>
      </c>
      <c r="N21" s="594">
        <v>0</v>
      </c>
      <c r="O21" s="575"/>
    </row>
    <row r="22" spans="1:15" ht="9.75" customHeight="1">
      <c r="A22" s="691" t="s">
        <v>425</v>
      </c>
      <c r="B22" s="692">
        <v>90.378440000000012</v>
      </c>
      <c r="C22" s="692">
        <v>91.219619999999992</v>
      </c>
      <c r="D22" s="693">
        <f t="shared" si="0"/>
        <v>-9.221481080495364E-3</v>
      </c>
      <c r="E22" s="138"/>
      <c r="F22" s="138"/>
      <c r="G22" s="138"/>
      <c r="H22" s="138"/>
      <c r="I22" s="138"/>
      <c r="J22" s="138"/>
      <c r="K22" s="26"/>
      <c r="L22" s="588" t="s">
        <v>119</v>
      </c>
      <c r="M22" s="594">
        <v>0</v>
      </c>
      <c r="N22" s="594">
        <v>0</v>
      </c>
      <c r="O22" s="575"/>
    </row>
    <row r="23" spans="1:15" ht="9.75" customHeight="1">
      <c r="A23" s="694" t="s">
        <v>105</v>
      </c>
      <c r="B23" s="695">
        <v>82.403530000000003</v>
      </c>
      <c r="C23" s="695">
        <v>0</v>
      </c>
      <c r="D23" s="696" t="str">
        <f t="shared" si="0"/>
        <v/>
      </c>
      <c r="E23" s="138"/>
      <c r="F23" s="138"/>
      <c r="G23" s="138"/>
      <c r="H23" s="138"/>
      <c r="I23" s="138"/>
      <c r="J23" s="138"/>
      <c r="K23" s="26"/>
      <c r="L23" s="588" t="s">
        <v>561</v>
      </c>
      <c r="M23" s="587">
        <v>0.54164000000000001</v>
      </c>
      <c r="N23" s="587">
        <v>0.69538</v>
      </c>
      <c r="O23" s="575"/>
    </row>
    <row r="24" spans="1:15" ht="9.75" customHeight="1">
      <c r="A24" s="691" t="s">
        <v>108</v>
      </c>
      <c r="B24" s="692">
        <v>67.97887999999999</v>
      </c>
      <c r="C24" s="692">
        <v>66.882170000000002</v>
      </c>
      <c r="D24" s="693">
        <f t="shared" si="0"/>
        <v>1.639764379654518E-2</v>
      </c>
      <c r="E24" s="138"/>
      <c r="F24" s="138"/>
      <c r="G24" s="138"/>
      <c r="H24" s="138"/>
      <c r="I24" s="138"/>
      <c r="J24" s="138"/>
      <c r="K24" s="29"/>
      <c r="L24" s="588" t="s">
        <v>115</v>
      </c>
      <c r="M24" s="587">
        <v>3.2310599999999998</v>
      </c>
      <c r="N24" s="587">
        <v>2.7107000000000001</v>
      </c>
      <c r="O24" s="575"/>
    </row>
    <row r="25" spans="1:15" ht="9.75" customHeight="1">
      <c r="A25" s="694" t="s">
        <v>562</v>
      </c>
      <c r="B25" s="695">
        <v>60.962899999999998</v>
      </c>
      <c r="C25" s="695">
        <v>70.020579999999995</v>
      </c>
      <c r="D25" s="696">
        <f t="shared" si="0"/>
        <v>-0.12935739749656461</v>
      </c>
      <c r="E25" s="138"/>
      <c r="F25" s="138"/>
      <c r="G25" s="138"/>
      <c r="H25" s="138"/>
      <c r="I25" s="138"/>
      <c r="J25" s="138"/>
      <c r="K25" s="26"/>
      <c r="L25" s="588" t="s">
        <v>112</v>
      </c>
      <c r="M25" s="594">
        <v>3.4659300000000002</v>
      </c>
      <c r="N25" s="594">
        <v>4.7992600000000003</v>
      </c>
      <c r="O25" s="575"/>
    </row>
    <row r="26" spans="1:15" ht="9.75" customHeight="1">
      <c r="A26" s="691" t="s">
        <v>98</v>
      </c>
      <c r="B26" s="692">
        <v>60.713209999999997</v>
      </c>
      <c r="C26" s="692">
        <v>56.180860000000003</v>
      </c>
      <c r="D26" s="693">
        <f t="shared" si="0"/>
        <v>8.0674272341149544E-2</v>
      </c>
      <c r="E26" s="138"/>
      <c r="F26" s="138"/>
      <c r="G26" s="138"/>
      <c r="H26" s="138"/>
      <c r="I26" s="138"/>
      <c r="J26" s="138"/>
      <c r="K26" s="26"/>
      <c r="L26" s="588" t="s">
        <v>114</v>
      </c>
      <c r="M26" s="587">
        <v>3.6</v>
      </c>
      <c r="N26" s="587">
        <v>3.6</v>
      </c>
      <c r="O26" s="575"/>
    </row>
    <row r="27" spans="1:15" ht="9.75" customHeight="1">
      <c r="A27" s="694" t="s">
        <v>101</v>
      </c>
      <c r="B27" s="695">
        <v>48.296369999999996</v>
      </c>
      <c r="C27" s="695">
        <v>11.856</v>
      </c>
      <c r="D27" s="696">
        <f t="shared" si="0"/>
        <v>3.0735804655870442</v>
      </c>
      <c r="E27" s="138"/>
      <c r="F27" s="138"/>
      <c r="G27" s="138"/>
      <c r="H27" s="138"/>
      <c r="I27" s="138"/>
      <c r="J27" s="138"/>
      <c r="K27" s="26"/>
      <c r="L27" s="588" t="s">
        <v>113</v>
      </c>
      <c r="M27" s="587">
        <v>3.6217000000000001</v>
      </c>
      <c r="N27" s="587">
        <v>3.7952700000000004</v>
      </c>
      <c r="O27" s="575"/>
    </row>
    <row r="28" spans="1:15" ht="9.75" customHeight="1">
      <c r="A28" s="691" t="s">
        <v>97</v>
      </c>
      <c r="B28" s="692">
        <v>46.767789999999998</v>
      </c>
      <c r="C28" s="692">
        <v>79.901820000000001</v>
      </c>
      <c r="D28" s="693">
        <f t="shared" si="0"/>
        <v>-0.41468429630263748</v>
      </c>
      <c r="E28" s="138"/>
      <c r="F28" s="138"/>
      <c r="G28" s="138"/>
      <c r="H28" s="138"/>
      <c r="I28" s="138"/>
      <c r="J28" s="138"/>
      <c r="K28" s="26"/>
      <c r="L28" s="588" t="s">
        <v>426</v>
      </c>
      <c r="M28" s="587">
        <v>6.3879999999999999</v>
      </c>
      <c r="N28" s="587">
        <v>8.3879999999999999</v>
      </c>
      <c r="O28" s="575"/>
    </row>
    <row r="29" spans="1:15" ht="9.75" customHeight="1">
      <c r="A29" s="697" t="s">
        <v>236</v>
      </c>
      <c r="B29" s="698">
        <v>40.750160000000001</v>
      </c>
      <c r="C29" s="698">
        <v>81.957740000000001</v>
      </c>
      <c r="D29" s="699">
        <f t="shared" si="0"/>
        <v>-0.50279058451343339</v>
      </c>
      <c r="E29" s="138"/>
      <c r="F29" s="138"/>
      <c r="G29" s="138"/>
      <c r="H29" s="138"/>
      <c r="I29" s="138"/>
      <c r="J29" s="138"/>
      <c r="K29" s="26"/>
      <c r="L29" s="588" t="s">
        <v>463</v>
      </c>
      <c r="M29" s="587">
        <v>7.0253100000000002</v>
      </c>
      <c r="N29" s="587">
        <v>0</v>
      </c>
      <c r="O29" s="575"/>
    </row>
    <row r="30" spans="1:15" ht="9.75" customHeight="1">
      <c r="A30" s="700" t="s">
        <v>99</v>
      </c>
      <c r="B30" s="701">
        <v>31.85548</v>
      </c>
      <c r="C30" s="701">
        <v>25.81061</v>
      </c>
      <c r="D30" s="702">
        <f t="shared" si="0"/>
        <v>0.23420097394056172</v>
      </c>
      <c r="E30" s="138"/>
      <c r="F30" s="138"/>
      <c r="G30" s="138"/>
      <c r="H30" s="138"/>
      <c r="I30" s="138"/>
      <c r="J30" s="138"/>
      <c r="K30" s="26"/>
      <c r="L30" s="588" t="s">
        <v>418</v>
      </c>
      <c r="M30" s="587">
        <v>8.98203</v>
      </c>
      <c r="N30" s="587">
        <v>0</v>
      </c>
      <c r="O30" s="575"/>
    </row>
    <row r="31" spans="1:15" ht="9.75" customHeight="1">
      <c r="A31" s="703" t="s">
        <v>449</v>
      </c>
      <c r="B31" s="704">
        <v>27.126910000000002</v>
      </c>
      <c r="C31" s="704">
        <v>0</v>
      </c>
      <c r="D31" s="705" t="str">
        <f t="shared" si="0"/>
        <v/>
      </c>
      <c r="E31" s="138"/>
      <c r="F31" s="138"/>
      <c r="G31" s="138"/>
      <c r="H31" s="138"/>
      <c r="I31" s="138"/>
      <c r="J31" s="138"/>
      <c r="K31" s="26"/>
      <c r="L31" s="588" t="s">
        <v>448</v>
      </c>
      <c r="M31" s="587">
        <v>9.0625</v>
      </c>
      <c r="N31" s="587">
        <v>8.4280000000000008</v>
      </c>
      <c r="O31" s="575"/>
    </row>
    <row r="32" spans="1:15" ht="9.75" customHeight="1">
      <c r="A32" s="700" t="s">
        <v>111</v>
      </c>
      <c r="B32" s="701">
        <v>26.536850000000001</v>
      </c>
      <c r="C32" s="701">
        <v>28.782789999999999</v>
      </c>
      <c r="D32" s="702">
        <f t="shared" si="0"/>
        <v>-7.8030656513840335E-2</v>
      </c>
      <c r="E32" s="138"/>
      <c r="F32" s="138"/>
      <c r="G32" s="138"/>
      <c r="H32" s="138"/>
      <c r="I32" s="138"/>
      <c r="J32" s="138"/>
      <c r="K32" s="26"/>
      <c r="L32" s="588" t="s">
        <v>240</v>
      </c>
      <c r="M32" s="587">
        <v>9.4697099999999992</v>
      </c>
      <c r="N32" s="587">
        <v>8.2894100000000002</v>
      </c>
      <c r="O32" s="575"/>
    </row>
    <row r="33" spans="1:15" ht="13.5" customHeight="1">
      <c r="A33" s="706" t="s">
        <v>399</v>
      </c>
      <c r="B33" s="704">
        <v>20.1279</v>
      </c>
      <c r="C33" s="704">
        <v>20.345030000000001</v>
      </c>
      <c r="D33" s="705">
        <f t="shared" si="0"/>
        <v>-1.0672385344233981E-2</v>
      </c>
      <c r="E33" s="138"/>
      <c r="F33" s="138"/>
      <c r="G33" s="138"/>
      <c r="H33" s="138"/>
      <c r="I33" s="138"/>
      <c r="J33" s="138"/>
      <c r="K33" s="26"/>
      <c r="L33" s="588" t="s">
        <v>408</v>
      </c>
      <c r="M33" s="587">
        <v>11.9907</v>
      </c>
      <c r="N33" s="587">
        <v>4.8048999999999999</v>
      </c>
      <c r="O33" s="575"/>
    </row>
    <row r="34" spans="1:15" s="582" customFormat="1" ht="13.5" customHeight="1">
      <c r="A34" s="700" t="s">
        <v>118</v>
      </c>
      <c r="B34" s="701">
        <v>19.952439999999999</v>
      </c>
      <c r="C34" s="701">
        <v>18.959669999999999</v>
      </c>
      <c r="D34" s="702"/>
      <c r="E34" s="138"/>
      <c r="F34" s="138"/>
      <c r="G34" s="138"/>
      <c r="H34" s="138"/>
      <c r="I34" s="138"/>
      <c r="J34" s="138"/>
      <c r="K34" s="26"/>
      <c r="L34" s="588" t="s">
        <v>415</v>
      </c>
      <c r="M34" s="587">
        <v>14.75521</v>
      </c>
      <c r="N34" s="587">
        <v>20.756149999999998</v>
      </c>
      <c r="O34" s="575"/>
    </row>
    <row r="35" spans="1:15" s="582" customFormat="1" ht="13.5" customHeight="1">
      <c r="A35" s="706" t="s">
        <v>439</v>
      </c>
      <c r="B35" s="704">
        <v>19.861740000000001</v>
      </c>
      <c r="C35" s="704">
        <v>19.976480000000002</v>
      </c>
      <c r="D35" s="705"/>
      <c r="E35" s="138"/>
      <c r="F35" s="138"/>
      <c r="G35" s="138"/>
      <c r="H35" s="138"/>
      <c r="I35" s="138"/>
      <c r="J35" s="138"/>
      <c r="K35" s="26"/>
      <c r="L35" s="588" t="s">
        <v>104</v>
      </c>
      <c r="M35" s="587">
        <v>17.952719999999999</v>
      </c>
      <c r="N35" s="587">
        <v>12.248200000000001</v>
      </c>
      <c r="O35" s="575"/>
    </row>
    <row r="36" spans="1:15" ht="10.199999999999999" customHeight="1">
      <c r="A36" s="707" t="s">
        <v>238</v>
      </c>
      <c r="B36" s="701">
        <v>18.841639999999998</v>
      </c>
      <c r="C36" s="701">
        <v>9.5447399999999991</v>
      </c>
      <c r="D36" s="702">
        <f t="shared" si="0"/>
        <v>0.97403386577319018</v>
      </c>
      <c r="E36" s="138"/>
      <c r="F36" s="138"/>
      <c r="G36" s="138"/>
      <c r="H36" s="138"/>
      <c r="I36" s="138"/>
      <c r="J36" s="138"/>
      <c r="K36" s="26"/>
      <c r="L36" s="588" t="s">
        <v>103</v>
      </c>
      <c r="M36" s="587">
        <v>18.41658</v>
      </c>
      <c r="N36" s="587">
        <v>19.48602</v>
      </c>
      <c r="O36" s="575"/>
    </row>
    <row r="37" spans="1:15" ht="13.5" customHeight="1">
      <c r="A37" s="706" t="s">
        <v>564</v>
      </c>
      <c r="B37" s="704">
        <v>18.75328</v>
      </c>
      <c r="C37" s="704">
        <v>19.122900000000001</v>
      </c>
      <c r="D37" s="705">
        <f t="shared" si="0"/>
        <v>-1.9328658310193592E-2</v>
      </c>
      <c r="E37" s="138"/>
      <c r="F37" s="138"/>
      <c r="G37" s="138"/>
      <c r="H37" s="138"/>
      <c r="I37" s="138"/>
      <c r="J37" s="138"/>
      <c r="K37" s="26"/>
      <c r="L37" s="588" t="s">
        <v>564</v>
      </c>
      <c r="M37" s="587">
        <v>18.75328</v>
      </c>
      <c r="N37" s="587">
        <v>19.122900000000001</v>
      </c>
      <c r="O37" s="575"/>
    </row>
    <row r="38" spans="1:15" ht="11.25" customHeight="1">
      <c r="A38" s="700" t="s">
        <v>103</v>
      </c>
      <c r="B38" s="701">
        <v>18.41658</v>
      </c>
      <c r="C38" s="701">
        <v>19.48602</v>
      </c>
      <c r="D38" s="702">
        <f t="shared" si="0"/>
        <v>-5.4882423398929125E-2</v>
      </c>
      <c r="E38" s="138"/>
      <c r="F38" s="138"/>
      <c r="G38" s="138"/>
      <c r="H38" s="138"/>
      <c r="I38" s="138"/>
      <c r="J38" s="138"/>
      <c r="K38" s="34"/>
      <c r="L38" s="588" t="s">
        <v>238</v>
      </c>
      <c r="M38" s="587">
        <v>18.841639999999998</v>
      </c>
      <c r="N38" s="587">
        <v>9.5447399999999991</v>
      </c>
      <c r="O38" s="575"/>
    </row>
    <row r="39" spans="1:15" ht="11.25" customHeight="1">
      <c r="A39" s="706" t="s">
        <v>104</v>
      </c>
      <c r="B39" s="704">
        <v>17.952719999999999</v>
      </c>
      <c r="C39" s="704">
        <v>12.248200000000001</v>
      </c>
      <c r="D39" s="705">
        <f t="shared" si="0"/>
        <v>0.46574353782596623</v>
      </c>
      <c r="E39" s="138"/>
      <c r="F39" s="138"/>
      <c r="G39" s="138"/>
      <c r="H39" s="138"/>
      <c r="I39" s="138"/>
      <c r="J39" s="138"/>
      <c r="K39" s="34"/>
      <c r="L39" s="588" t="s">
        <v>439</v>
      </c>
      <c r="M39" s="594">
        <v>19.861740000000001</v>
      </c>
      <c r="N39" s="594">
        <v>19.976480000000002</v>
      </c>
      <c r="O39" s="575"/>
    </row>
    <row r="40" spans="1:15" ht="11.4" customHeight="1">
      <c r="A40" s="707" t="s">
        <v>415</v>
      </c>
      <c r="B40" s="701">
        <v>14.75521</v>
      </c>
      <c r="C40" s="701">
        <v>20.756149999999998</v>
      </c>
      <c r="D40" s="702">
        <f t="shared" si="0"/>
        <v>-0.28911623783794194</v>
      </c>
      <c r="E40" s="138"/>
      <c r="F40" s="138"/>
      <c r="G40" s="138"/>
      <c r="H40" s="138"/>
      <c r="I40" s="138"/>
      <c r="J40" s="138"/>
      <c r="K40" s="29"/>
      <c r="L40" s="588" t="s">
        <v>118</v>
      </c>
      <c r="M40" s="587">
        <v>19.952439999999999</v>
      </c>
      <c r="N40" s="587">
        <v>18.959669999999999</v>
      </c>
      <c r="O40" s="575"/>
    </row>
    <row r="41" spans="1:15" ht="11.25" customHeight="1">
      <c r="A41" s="706" t="s">
        <v>408</v>
      </c>
      <c r="B41" s="704">
        <v>11.9907</v>
      </c>
      <c r="C41" s="704">
        <v>4.8048999999999999</v>
      </c>
      <c r="D41" s="705">
        <f t="shared" si="0"/>
        <v>1.4955149951091595</v>
      </c>
      <c r="E41" s="138"/>
      <c r="F41" s="138"/>
      <c r="G41" s="138"/>
      <c r="H41" s="138"/>
      <c r="I41" s="138"/>
      <c r="J41" s="138"/>
      <c r="K41" s="29"/>
      <c r="L41" s="588" t="s">
        <v>399</v>
      </c>
      <c r="M41" s="587">
        <v>20.1279</v>
      </c>
      <c r="N41" s="587">
        <v>20.345030000000001</v>
      </c>
      <c r="O41" s="575"/>
    </row>
    <row r="42" spans="1:15" ht="11.25" customHeight="1">
      <c r="A42" s="708" t="s">
        <v>240</v>
      </c>
      <c r="B42" s="701">
        <v>9.4697099999999992</v>
      </c>
      <c r="C42" s="701">
        <v>8.2894100000000002</v>
      </c>
      <c r="D42" s="702">
        <f t="shared" si="0"/>
        <v>0.14238649071526188</v>
      </c>
      <c r="E42" s="138"/>
      <c r="F42" s="138"/>
      <c r="G42" s="138"/>
      <c r="H42" s="138"/>
      <c r="I42" s="138"/>
      <c r="J42" s="138"/>
      <c r="K42" s="29"/>
      <c r="L42" s="588" t="s">
        <v>111</v>
      </c>
      <c r="M42" s="587">
        <v>26.536850000000001</v>
      </c>
      <c r="N42" s="587">
        <v>28.782789999999999</v>
      </c>
      <c r="O42" s="575"/>
    </row>
    <row r="43" spans="1:15" ht="9.75" customHeight="1">
      <c r="A43" s="703" t="s">
        <v>448</v>
      </c>
      <c r="B43" s="704">
        <v>9.0625</v>
      </c>
      <c r="C43" s="704">
        <v>8.4280000000000008</v>
      </c>
      <c r="D43" s="705">
        <f t="shared" si="0"/>
        <v>7.5284765068818205E-2</v>
      </c>
      <c r="E43" s="138"/>
      <c r="F43" s="138"/>
      <c r="G43" s="138"/>
      <c r="H43" s="138"/>
      <c r="I43" s="138"/>
      <c r="J43" s="138"/>
      <c r="K43" s="34"/>
      <c r="L43" s="588" t="s">
        <v>449</v>
      </c>
      <c r="M43" s="587">
        <v>27.126910000000002</v>
      </c>
      <c r="N43" s="587">
        <v>0</v>
      </c>
      <c r="O43" s="575"/>
    </row>
    <row r="44" spans="1:15" ht="9.75" customHeight="1">
      <c r="A44" s="700" t="s">
        <v>418</v>
      </c>
      <c r="B44" s="701">
        <v>8.98203</v>
      </c>
      <c r="C44" s="701">
        <v>0</v>
      </c>
      <c r="D44" s="702" t="str">
        <f t="shared" si="0"/>
        <v/>
      </c>
      <c r="E44" s="138"/>
      <c r="F44" s="138"/>
      <c r="G44" s="138"/>
      <c r="H44" s="138"/>
      <c r="I44" s="138"/>
      <c r="J44" s="138"/>
      <c r="K44" s="34"/>
      <c r="L44" s="588" t="s">
        <v>99</v>
      </c>
      <c r="M44" s="587">
        <v>31.85548</v>
      </c>
      <c r="N44" s="587">
        <v>25.81061</v>
      </c>
      <c r="O44" s="575"/>
    </row>
    <row r="45" spans="1:15" ht="9.75" customHeight="1">
      <c r="A45" s="703" t="s">
        <v>463</v>
      </c>
      <c r="B45" s="704">
        <v>7.0253100000000002</v>
      </c>
      <c r="C45" s="704">
        <v>0</v>
      </c>
      <c r="D45" s="705" t="str">
        <f t="shared" si="0"/>
        <v/>
      </c>
      <c r="E45" s="138"/>
      <c r="F45" s="138"/>
      <c r="G45" s="138"/>
      <c r="H45" s="138"/>
      <c r="I45" s="138"/>
      <c r="J45" s="138"/>
      <c r="K45" s="34"/>
      <c r="L45" s="588" t="s">
        <v>236</v>
      </c>
      <c r="M45" s="587">
        <v>40.750160000000001</v>
      </c>
      <c r="N45" s="587">
        <v>81.957740000000001</v>
      </c>
      <c r="O45" s="575"/>
    </row>
    <row r="46" spans="1:15" ht="9.75" customHeight="1">
      <c r="A46" s="700" t="s">
        <v>426</v>
      </c>
      <c r="B46" s="701">
        <v>6.3879999999999999</v>
      </c>
      <c r="C46" s="701">
        <v>8.3879999999999999</v>
      </c>
      <c r="D46" s="702">
        <f t="shared" si="0"/>
        <v>-0.23843586075345735</v>
      </c>
      <c r="E46" s="138"/>
      <c r="F46" s="138"/>
      <c r="G46" s="138"/>
      <c r="H46" s="138"/>
      <c r="I46" s="138"/>
      <c r="J46" s="138"/>
      <c r="L46" s="588" t="s">
        <v>97</v>
      </c>
      <c r="M46" s="587">
        <v>46.767789999999998</v>
      </c>
      <c r="N46" s="587">
        <v>79.901820000000001</v>
      </c>
      <c r="O46" s="575"/>
    </row>
    <row r="47" spans="1:15" ht="9.75" customHeight="1">
      <c r="A47" s="703" t="s">
        <v>113</v>
      </c>
      <c r="B47" s="704">
        <v>3.6217000000000001</v>
      </c>
      <c r="C47" s="704">
        <v>3.7952700000000004</v>
      </c>
      <c r="D47" s="705">
        <f t="shared" si="0"/>
        <v>-4.5733241640252276E-2</v>
      </c>
      <c r="E47" s="138"/>
      <c r="F47" s="138"/>
      <c r="G47" s="138"/>
      <c r="H47" s="138"/>
      <c r="I47" s="138"/>
      <c r="J47" s="138"/>
      <c r="L47" s="588" t="s">
        <v>101</v>
      </c>
      <c r="M47" s="587">
        <v>48.296369999999996</v>
      </c>
      <c r="N47" s="587">
        <v>11.856</v>
      </c>
      <c r="O47" s="575"/>
    </row>
    <row r="48" spans="1:15" ht="13.95" customHeight="1">
      <c r="A48" s="707" t="s">
        <v>114</v>
      </c>
      <c r="B48" s="701">
        <v>3.6</v>
      </c>
      <c r="C48" s="701">
        <v>3.6</v>
      </c>
      <c r="D48" s="702">
        <f t="shared" si="0"/>
        <v>0</v>
      </c>
      <c r="E48" s="138"/>
      <c r="F48" s="138"/>
      <c r="G48" s="138"/>
      <c r="H48" s="138"/>
      <c r="I48" s="138"/>
      <c r="J48" s="138"/>
      <c r="L48" s="588" t="s">
        <v>98</v>
      </c>
      <c r="M48" s="587">
        <v>60.713209999999997</v>
      </c>
      <c r="N48" s="587">
        <v>56.180860000000003</v>
      </c>
      <c r="O48" s="575"/>
    </row>
    <row r="49" spans="1:15" ht="9.75" customHeight="1">
      <c r="A49" s="703" t="s">
        <v>112</v>
      </c>
      <c r="B49" s="704">
        <v>3.4659300000000002</v>
      </c>
      <c r="C49" s="704">
        <v>4.7992600000000003</v>
      </c>
      <c r="D49" s="705">
        <f t="shared" si="0"/>
        <v>-0.27781991390339345</v>
      </c>
      <c r="E49" s="138"/>
      <c r="F49" s="138"/>
      <c r="G49" s="138"/>
      <c r="H49" s="138"/>
      <c r="I49" s="138"/>
      <c r="J49" s="138"/>
      <c r="L49" s="588" t="s">
        <v>562</v>
      </c>
      <c r="M49" s="587">
        <v>60.962899999999998</v>
      </c>
      <c r="N49" s="587">
        <v>70.020579999999995</v>
      </c>
      <c r="O49" s="575"/>
    </row>
    <row r="50" spans="1:15" ht="14.4" customHeight="1">
      <c r="A50" s="707" t="s">
        <v>115</v>
      </c>
      <c r="B50" s="701">
        <v>3.2310599999999998</v>
      </c>
      <c r="C50" s="701">
        <v>2.7107000000000001</v>
      </c>
      <c r="D50" s="702">
        <f t="shared" si="0"/>
        <v>0.1919651750470357</v>
      </c>
      <c r="E50" s="138"/>
      <c r="F50" s="138"/>
      <c r="G50" s="138"/>
      <c r="H50" s="138"/>
      <c r="I50" s="138"/>
      <c r="J50" s="138"/>
      <c r="L50" s="588" t="s">
        <v>108</v>
      </c>
      <c r="M50" s="587">
        <v>67.97887999999999</v>
      </c>
      <c r="N50" s="587">
        <v>66.882170000000002</v>
      </c>
      <c r="O50" s="575"/>
    </row>
    <row r="51" spans="1:15" ht="11.25" customHeight="1">
      <c r="A51" s="706" t="s">
        <v>561</v>
      </c>
      <c r="B51" s="704">
        <v>0.54164000000000001</v>
      </c>
      <c r="C51" s="704">
        <v>0.69538</v>
      </c>
      <c r="D51" s="705">
        <f t="shared" si="0"/>
        <v>-0.22108775058241537</v>
      </c>
      <c r="E51" s="138"/>
      <c r="F51" s="138"/>
      <c r="G51" s="138"/>
      <c r="H51" s="138"/>
      <c r="I51" s="138"/>
      <c r="J51" s="138"/>
      <c r="L51" s="588" t="s">
        <v>105</v>
      </c>
      <c r="M51" s="587">
        <v>82.403530000000003</v>
      </c>
      <c r="N51" s="587">
        <v>0</v>
      </c>
      <c r="O51" s="575"/>
    </row>
    <row r="52" spans="1:15" ht="12" customHeight="1">
      <c r="A52" s="707" t="s">
        <v>119</v>
      </c>
      <c r="B52" s="701">
        <v>0</v>
      </c>
      <c r="C52" s="701">
        <v>0</v>
      </c>
      <c r="D52" s="702" t="str">
        <f t="shared" si="0"/>
        <v/>
      </c>
      <c r="E52" s="138"/>
      <c r="F52" s="138"/>
      <c r="G52" s="138"/>
      <c r="H52" s="138"/>
      <c r="I52" s="138"/>
      <c r="J52" s="138"/>
      <c r="L52" s="588" t="s">
        <v>425</v>
      </c>
      <c r="M52" s="587">
        <v>90.378440000000012</v>
      </c>
      <c r="N52" s="587">
        <v>91.219619999999992</v>
      </c>
      <c r="O52" s="575"/>
    </row>
    <row r="53" spans="1:15" ht="9.75" customHeight="1">
      <c r="A53" s="706" t="s">
        <v>106</v>
      </c>
      <c r="B53" s="704">
        <v>0</v>
      </c>
      <c r="C53" s="704">
        <v>0</v>
      </c>
      <c r="D53" s="705" t="str">
        <f t="shared" si="0"/>
        <v/>
      </c>
      <c r="E53" s="138"/>
      <c r="F53" s="138"/>
      <c r="G53" s="138"/>
      <c r="H53" s="138"/>
      <c r="I53" s="138"/>
      <c r="J53" s="138"/>
      <c r="L53" s="588" t="s">
        <v>96</v>
      </c>
      <c r="M53" s="587">
        <v>91.018720000000002</v>
      </c>
      <c r="N53" s="587">
        <v>89.058170000000004</v>
      </c>
      <c r="O53" s="575"/>
    </row>
    <row r="54" spans="1:15" ht="9.75" customHeight="1">
      <c r="A54" s="700" t="s">
        <v>234</v>
      </c>
      <c r="B54" s="701">
        <v>0</v>
      </c>
      <c r="C54" s="701">
        <v>0</v>
      </c>
      <c r="D54" s="702" t="str">
        <f t="shared" si="0"/>
        <v/>
      </c>
      <c r="E54" s="138"/>
      <c r="F54" s="138"/>
      <c r="G54" s="138"/>
      <c r="H54" s="138"/>
      <c r="I54" s="138"/>
      <c r="J54" s="138"/>
      <c r="L54" s="588" t="s">
        <v>91</v>
      </c>
      <c r="M54" s="587">
        <v>103.53776999999998</v>
      </c>
      <c r="N54" s="587">
        <v>169.65243999999998</v>
      </c>
      <c r="O54" s="575"/>
    </row>
    <row r="55" spans="1:15" ht="9.75" customHeight="1">
      <c r="A55" s="703" t="s">
        <v>409</v>
      </c>
      <c r="B55" s="704">
        <v>0</v>
      </c>
      <c r="C55" s="704">
        <v>0</v>
      </c>
      <c r="D55" s="705" t="str">
        <f t="shared" si="0"/>
        <v/>
      </c>
      <c r="E55" s="138"/>
      <c r="F55" s="138"/>
      <c r="G55" s="138"/>
      <c r="H55" s="138"/>
      <c r="I55" s="138"/>
      <c r="J55" s="138"/>
      <c r="L55" s="588" t="s">
        <v>95</v>
      </c>
      <c r="M55" s="587">
        <v>108.9648</v>
      </c>
      <c r="N55" s="587">
        <v>110.18037</v>
      </c>
      <c r="O55" s="575"/>
    </row>
    <row r="56" spans="1:15" ht="9.75" customHeight="1">
      <c r="A56" s="700" t="s">
        <v>116</v>
      </c>
      <c r="B56" s="701">
        <v>0</v>
      </c>
      <c r="C56" s="701">
        <v>0</v>
      </c>
      <c r="D56" s="702" t="str">
        <f t="shared" si="0"/>
        <v/>
      </c>
      <c r="E56" s="138"/>
      <c r="F56" s="138"/>
      <c r="G56" s="138"/>
      <c r="H56" s="138"/>
      <c r="I56" s="138"/>
      <c r="J56" s="138"/>
      <c r="L56" s="588" t="s">
        <v>92</v>
      </c>
      <c r="M56" s="587">
        <v>166.23023999999998</v>
      </c>
      <c r="N56" s="587">
        <v>163.44571999999999</v>
      </c>
      <c r="O56" s="575"/>
    </row>
    <row r="57" spans="1:15" ht="9.75" customHeight="1">
      <c r="A57" s="703" t="s">
        <v>110</v>
      </c>
      <c r="B57" s="704">
        <v>0</v>
      </c>
      <c r="C57" s="704">
        <v>0</v>
      </c>
      <c r="D57" s="705" t="str">
        <f t="shared" si="0"/>
        <v/>
      </c>
      <c r="E57" s="138"/>
      <c r="F57" s="138"/>
      <c r="G57" s="138"/>
      <c r="H57" s="138"/>
      <c r="I57" s="138"/>
      <c r="J57" s="138"/>
      <c r="L57" s="588" t="s">
        <v>93</v>
      </c>
      <c r="M57" s="587">
        <v>169.32477</v>
      </c>
      <c r="N57" s="587">
        <v>195.96012999999999</v>
      </c>
      <c r="O57" s="575"/>
    </row>
    <row r="58" spans="1:15" ht="9.75" customHeight="1">
      <c r="A58" s="700" t="s">
        <v>107</v>
      </c>
      <c r="B58" s="701">
        <v>0</v>
      </c>
      <c r="C58" s="701">
        <v>0</v>
      </c>
      <c r="D58" s="702" t="str">
        <f t="shared" si="0"/>
        <v/>
      </c>
      <c r="E58" s="138"/>
      <c r="F58" s="138"/>
      <c r="G58" s="138"/>
      <c r="H58" s="138"/>
      <c r="I58" s="138"/>
      <c r="J58" s="138"/>
      <c r="L58" s="588" t="s">
        <v>94</v>
      </c>
      <c r="M58" s="587">
        <v>179.65536</v>
      </c>
      <c r="N58" s="587">
        <v>213.68581</v>
      </c>
      <c r="O58" s="575"/>
    </row>
    <row r="59" spans="1:15" ht="9.75" customHeight="1">
      <c r="A59" s="703" t="s">
        <v>241</v>
      </c>
      <c r="B59" s="704">
        <v>0</v>
      </c>
      <c r="C59" s="704">
        <v>0</v>
      </c>
      <c r="D59" s="705" t="str">
        <f t="shared" si="0"/>
        <v/>
      </c>
      <c r="E59" s="138"/>
      <c r="F59" s="138"/>
      <c r="G59" s="138"/>
      <c r="H59" s="138"/>
      <c r="I59" s="138"/>
      <c r="J59" s="138"/>
      <c r="L59" s="588" t="s">
        <v>100</v>
      </c>
      <c r="M59" s="587">
        <v>277.30989</v>
      </c>
      <c r="N59" s="587">
        <v>283.29390999999998</v>
      </c>
      <c r="O59" s="575"/>
    </row>
    <row r="60" spans="1:15" ht="9.75" customHeight="1">
      <c r="A60" s="700" t="s">
        <v>242</v>
      </c>
      <c r="B60" s="701">
        <v>0</v>
      </c>
      <c r="C60" s="701">
        <v>0</v>
      </c>
      <c r="D60" s="702" t="str">
        <f t="shared" si="0"/>
        <v/>
      </c>
      <c r="E60" s="138"/>
      <c r="F60" s="138"/>
      <c r="G60" s="138"/>
      <c r="H60" s="138"/>
      <c r="I60" s="138"/>
      <c r="J60" s="138"/>
      <c r="L60" s="588" t="s">
        <v>90</v>
      </c>
      <c r="M60" s="587">
        <v>307.39165999999994</v>
      </c>
      <c r="N60" s="587">
        <v>387.25858000000005</v>
      </c>
      <c r="O60" s="575"/>
    </row>
    <row r="61" spans="1:15" ht="9.75" customHeight="1">
      <c r="A61" s="709" t="s">
        <v>102</v>
      </c>
      <c r="B61" s="710">
        <v>0</v>
      </c>
      <c r="C61" s="710">
        <v>26.28755</v>
      </c>
      <c r="D61" s="705">
        <f t="shared" si="0"/>
        <v>-1</v>
      </c>
      <c r="E61" s="138"/>
      <c r="F61" s="138"/>
      <c r="G61" s="138"/>
      <c r="H61" s="138"/>
      <c r="I61" s="138"/>
      <c r="J61" s="138"/>
      <c r="L61" s="588" t="s">
        <v>239</v>
      </c>
      <c r="M61" s="587">
        <v>349.62956999999994</v>
      </c>
      <c r="N61" s="587">
        <v>357.78279000000003</v>
      </c>
      <c r="O61" s="575"/>
    </row>
    <row r="62" spans="1:15" ht="9.75" customHeight="1">
      <c r="A62" s="711" t="s">
        <v>117</v>
      </c>
      <c r="B62" s="712">
        <v>0</v>
      </c>
      <c r="C62" s="712">
        <v>0</v>
      </c>
      <c r="D62" s="713" t="str">
        <f t="shared" si="0"/>
        <v/>
      </c>
      <c r="E62" s="138"/>
      <c r="F62" s="138"/>
      <c r="G62" s="138"/>
      <c r="H62" s="138"/>
      <c r="I62" s="138"/>
      <c r="J62" s="138"/>
      <c r="L62" s="588" t="s">
        <v>235</v>
      </c>
      <c r="M62" s="587">
        <v>460.70956999999999</v>
      </c>
      <c r="N62" s="587">
        <v>463.44722999999999</v>
      </c>
      <c r="O62" s="575"/>
    </row>
    <row r="63" spans="1:15" ht="9.75" customHeight="1">
      <c r="A63" s="709" t="s">
        <v>109</v>
      </c>
      <c r="B63" s="710">
        <v>0</v>
      </c>
      <c r="C63" s="710">
        <v>0</v>
      </c>
      <c r="D63" s="696" t="str">
        <f t="shared" si="0"/>
        <v/>
      </c>
      <c r="E63" s="138"/>
      <c r="F63" s="138"/>
      <c r="G63" s="138"/>
      <c r="H63" s="138"/>
      <c r="I63" s="138"/>
      <c r="J63" s="138"/>
      <c r="L63" s="588" t="s">
        <v>87</v>
      </c>
      <c r="M63" s="587">
        <v>472.95193999999998</v>
      </c>
      <c r="N63" s="587">
        <v>993.13590999999997</v>
      </c>
      <c r="O63" s="575"/>
    </row>
    <row r="64" spans="1:15" ht="9.75" customHeight="1">
      <c r="A64" s="711" t="s">
        <v>553</v>
      </c>
      <c r="B64" s="712">
        <v>0</v>
      </c>
      <c r="C64" s="712">
        <v>0</v>
      </c>
      <c r="D64" s="713" t="str">
        <f t="shared" si="0"/>
        <v/>
      </c>
      <c r="E64" s="138"/>
      <c r="F64" s="138"/>
      <c r="G64" s="138"/>
      <c r="H64" s="138"/>
      <c r="I64" s="138"/>
      <c r="J64" s="138"/>
      <c r="L64" s="588" t="s">
        <v>237</v>
      </c>
      <c r="M64" s="587">
        <v>542.61955999999998</v>
      </c>
      <c r="N64" s="587">
        <v>272.46931999999998</v>
      </c>
      <c r="O64" s="575"/>
    </row>
    <row r="65" spans="1:15" s="582" customFormat="1" ht="9.75" customHeight="1">
      <c r="A65" s="709" t="s">
        <v>554</v>
      </c>
      <c r="B65" s="710">
        <v>0</v>
      </c>
      <c r="C65" s="710">
        <v>0</v>
      </c>
      <c r="D65" s="696" t="str">
        <f t="shared" si="0"/>
        <v/>
      </c>
      <c r="E65" s="138"/>
      <c r="F65" s="138"/>
      <c r="G65" s="138"/>
      <c r="H65" s="138"/>
      <c r="I65" s="138"/>
      <c r="J65" s="138"/>
      <c r="L65" s="588" t="s">
        <v>89</v>
      </c>
      <c r="M65" s="587">
        <v>854.18687999999997</v>
      </c>
      <c r="N65" s="587">
        <v>809.25408000000004</v>
      </c>
      <c r="O65" s="575"/>
    </row>
    <row r="66" spans="1:15" ht="9.75" customHeight="1">
      <c r="A66" s="714" t="s">
        <v>42</v>
      </c>
      <c r="B66" s="715">
        <f>SUM(B7:B65)</f>
        <v>6832.6574400000027</v>
      </c>
      <c r="C66" s="715">
        <f>SUM(C7:C65)</f>
        <v>7116.7887500000033</v>
      </c>
      <c r="D66" s="716">
        <f>IF(C66=0,"",B66/C66-1)</f>
        <v>-3.9924089358420289E-2</v>
      </c>
      <c r="E66" s="138"/>
      <c r="F66" s="138"/>
      <c r="G66" s="138"/>
      <c r="H66" s="138"/>
      <c r="I66" s="138"/>
      <c r="J66" s="138"/>
      <c r="L66" s="588" t="s">
        <v>407</v>
      </c>
      <c r="M66" s="589">
        <v>960.90410999999995</v>
      </c>
      <c r="N66" s="589">
        <v>893.79520000000002</v>
      </c>
      <c r="O66" s="575"/>
    </row>
    <row r="67" spans="1:15" ht="31.2" customHeight="1">
      <c r="A67" s="858" t="str">
        <f>"Cuadro N° 8: Participación de las empresas generadoras del COES en la máxima potencia coincidente (MW) en "&amp;'1. Resumen'!Q4</f>
        <v>Cuadro N° 8: Participación de las empresas generadoras del COES en la máxima potencia coincidente (MW) en marzo</v>
      </c>
      <c r="B67" s="858"/>
      <c r="C67" s="858"/>
      <c r="D67" s="858"/>
      <c r="E67" s="132"/>
      <c r="F67" s="858" t="str">
        <f>"Gráfico N° 12: Comparación de la máxima potencia coincidente  (MW) de las empresas generadoras del COES en "&amp;'1. Resumen'!Q4</f>
        <v>Gráfico N° 12: Comparación de la máxima potencia coincidente  (MW) de las empresas generadoras del COES en marzo</v>
      </c>
      <c r="G67" s="858"/>
      <c r="H67" s="858"/>
      <c r="I67" s="858"/>
      <c r="J67" s="858"/>
      <c r="L67" s="588" t="s">
        <v>88</v>
      </c>
      <c r="M67" s="590">
        <v>988.41199000000006</v>
      </c>
      <c r="N67" s="590">
        <v>989.51923999999997</v>
      </c>
    </row>
    <row r="68" spans="1:15">
      <c r="A68" s="871"/>
      <c r="B68" s="871"/>
      <c r="C68" s="871"/>
      <c r="D68" s="871"/>
      <c r="E68" s="871"/>
      <c r="F68" s="871"/>
      <c r="G68" s="871"/>
      <c r="H68" s="871"/>
      <c r="I68" s="871"/>
      <c r="J68" s="871"/>
    </row>
    <row r="69" spans="1:15">
      <c r="A69" s="870"/>
      <c r="B69" s="870"/>
      <c r="C69" s="870"/>
      <c r="D69" s="870"/>
      <c r="E69" s="870"/>
      <c r="F69" s="870"/>
      <c r="G69" s="870"/>
      <c r="H69" s="870"/>
      <c r="I69" s="870"/>
      <c r="J69" s="870"/>
    </row>
  </sheetData>
  <mergeCells count="9">
    <mergeCell ref="A69:J69"/>
    <mergeCell ref="A68:J68"/>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Marzo 2021
INFSGI-MES-03-2021
13/04/2021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O61" sqref="O61"/>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1" width="9.28515625" style="554" customWidth="1"/>
    <col min="12" max="12" width="9.28515625" style="554"/>
    <col min="13" max="18" width="9.28515625" style="277"/>
    <col min="19" max="21" width="9.28515625" style="554"/>
    <col min="22" max="31" width="9.28515625" style="298"/>
    <col min="32" max="16384" width="9.28515625" style="46"/>
  </cols>
  <sheetData>
    <row r="1" spans="1:38" ht="11.25" customHeight="1"/>
    <row r="2" spans="1:38" ht="17.25" customHeight="1">
      <c r="A2" s="862" t="s">
        <v>250</v>
      </c>
      <c r="B2" s="862"/>
      <c r="C2" s="862"/>
      <c r="D2" s="862"/>
      <c r="E2" s="862"/>
      <c r="F2" s="862"/>
      <c r="G2" s="862"/>
      <c r="H2" s="862"/>
    </row>
    <row r="3" spans="1:38" ht="11.25" customHeight="1">
      <c r="A3" s="77"/>
      <c r="B3" s="77"/>
      <c r="C3" s="77"/>
      <c r="D3" s="77"/>
      <c r="E3" s="77"/>
      <c r="F3" s="82"/>
      <c r="G3" s="82"/>
      <c r="H3" s="82"/>
      <c r="I3" s="36"/>
      <c r="J3" s="300"/>
    </row>
    <row r="4" spans="1:38" ht="15.75" customHeight="1">
      <c r="A4" s="880" t="s">
        <v>434</v>
      </c>
      <c r="B4" s="880"/>
      <c r="C4" s="880"/>
      <c r="D4" s="880"/>
      <c r="E4" s="880"/>
      <c r="F4" s="880"/>
      <c r="G4" s="880"/>
      <c r="H4" s="880"/>
      <c r="I4" s="36"/>
      <c r="J4" s="300"/>
    </row>
    <row r="5" spans="1:38" ht="11.25" customHeight="1">
      <c r="A5" s="77"/>
      <c r="B5" s="164"/>
      <c r="C5" s="79"/>
      <c r="D5" s="79"/>
      <c r="E5" s="80"/>
      <c r="F5" s="76"/>
      <c r="G5" s="76"/>
      <c r="H5" s="81"/>
      <c r="I5" s="165"/>
      <c r="J5" s="783"/>
    </row>
    <row r="6" spans="1:38" ht="42.75" customHeight="1">
      <c r="A6" s="77"/>
      <c r="C6" s="381" t="s">
        <v>122</v>
      </c>
      <c r="D6" s="382" t="s">
        <v>789</v>
      </c>
      <c r="E6" s="382" t="s">
        <v>790</v>
      </c>
      <c r="F6" s="383" t="s">
        <v>123</v>
      </c>
      <c r="G6" s="169"/>
      <c r="H6" s="170"/>
    </row>
    <row r="7" spans="1:38" ht="11.25" customHeight="1">
      <c r="A7" s="77"/>
      <c r="C7" s="427" t="s">
        <v>124</v>
      </c>
      <c r="D7" s="428">
        <v>30.8020000457763</v>
      </c>
      <c r="E7" s="597">
        <v>31.917999269999999</v>
      </c>
      <c r="F7" s="429">
        <f>IF(E7=0,"",(D7-E7)/E7)</f>
        <v>-3.4964573273633628E-2</v>
      </c>
      <c r="G7" s="137"/>
      <c r="H7" s="265"/>
    </row>
    <row r="8" spans="1:38" ht="11.25" customHeight="1">
      <c r="A8" s="77"/>
      <c r="C8" s="430" t="s">
        <v>125</v>
      </c>
      <c r="D8" s="431">
        <v>114.197998046875</v>
      </c>
      <c r="E8" s="432">
        <v>126.5419998</v>
      </c>
      <c r="F8" s="433">
        <f t="shared" ref="F8:F20" si="0">IF(E8=0,"",(D8-E8)/E8)</f>
        <v>-9.754865398551256E-2</v>
      </c>
      <c r="G8" s="137"/>
      <c r="H8" s="265"/>
    </row>
    <row r="9" spans="1:38" ht="11.25" customHeight="1">
      <c r="A9" s="77"/>
      <c r="C9" s="434" t="s">
        <v>126</v>
      </c>
      <c r="D9" s="435">
        <v>104.43699645996</v>
      </c>
      <c r="E9" s="436">
        <v>103.38500209999999</v>
      </c>
      <c r="F9" s="437">
        <f t="shared" si="0"/>
        <v>1.0175502622154569E-2</v>
      </c>
      <c r="G9" s="137"/>
      <c r="H9" s="265"/>
      <c r="M9" s="732" t="s">
        <v>256</v>
      </c>
      <c r="N9" s="278"/>
      <c r="O9" s="278"/>
      <c r="P9" s="278"/>
      <c r="Q9" s="278"/>
      <c r="R9" s="278"/>
      <c r="S9" s="520"/>
      <c r="T9" s="520"/>
      <c r="U9" s="520"/>
      <c r="V9" s="299"/>
      <c r="W9" s="299"/>
      <c r="X9" s="299"/>
      <c r="Y9" s="299"/>
      <c r="Z9" s="299"/>
      <c r="AA9" s="299"/>
      <c r="AB9" s="299"/>
      <c r="AC9" s="299"/>
      <c r="AD9" s="299"/>
      <c r="AE9" s="299"/>
      <c r="AF9" s="216"/>
      <c r="AG9" s="216"/>
      <c r="AH9" s="216"/>
      <c r="AI9" s="216"/>
      <c r="AJ9" s="216"/>
      <c r="AK9" s="216"/>
      <c r="AL9" s="216"/>
    </row>
    <row r="10" spans="1:38" ht="11.25" customHeight="1">
      <c r="A10" s="77"/>
      <c r="C10" s="430" t="s">
        <v>127</v>
      </c>
      <c r="D10" s="431">
        <v>80.431999206542898</v>
      </c>
      <c r="E10" s="432">
        <v>79.813003539999997</v>
      </c>
      <c r="F10" s="433">
        <f t="shared" si="0"/>
        <v>7.7555741431617458E-3</v>
      </c>
      <c r="G10" s="137"/>
      <c r="H10" s="265"/>
      <c r="M10" s="732" t="s">
        <v>257</v>
      </c>
      <c r="N10" s="278"/>
      <c r="O10" s="278"/>
      <c r="P10" s="278"/>
      <c r="Q10" s="278"/>
      <c r="R10" s="278"/>
      <c r="S10" s="520"/>
      <c r="T10" s="520"/>
      <c r="AD10" s="299"/>
      <c r="AE10" s="299"/>
      <c r="AF10" s="216"/>
      <c r="AG10" s="216"/>
      <c r="AH10" s="216"/>
      <c r="AI10" s="216"/>
      <c r="AJ10" s="216"/>
      <c r="AK10" s="216"/>
      <c r="AL10" s="216"/>
    </row>
    <row r="11" spans="1:38" ht="11.25" customHeight="1">
      <c r="A11" s="77"/>
      <c r="C11" s="434" t="s">
        <v>128</v>
      </c>
      <c r="D11" s="435">
        <v>39.4140014648437</v>
      </c>
      <c r="E11" s="436">
        <v>34.536998750000002</v>
      </c>
      <c r="F11" s="437">
        <f>IF(E11=0,"",(D11-E11)/E11)</f>
        <v>0.14121095901084044</v>
      </c>
      <c r="G11" s="137"/>
      <c r="H11" s="265"/>
      <c r="M11" s="278"/>
      <c r="N11" s="734">
        <v>2018</v>
      </c>
      <c r="O11" s="734">
        <v>2019</v>
      </c>
      <c r="P11" s="734">
        <v>2020</v>
      </c>
      <c r="Q11" s="734">
        <v>2021</v>
      </c>
      <c r="R11" s="278"/>
      <c r="S11" s="520"/>
      <c r="T11" s="520"/>
      <c r="AD11" s="299"/>
      <c r="AE11" s="299"/>
      <c r="AF11" s="216"/>
      <c r="AG11" s="216"/>
      <c r="AH11" s="216"/>
      <c r="AI11" s="216"/>
      <c r="AJ11" s="216"/>
      <c r="AK11" s="216"/>
      <c r="AL11" s="216"/>
    </row>
    <row r="12" spans="1:38" ht="11.25" customHeight="1">
      <c r="A12" s="77"/>
      <c r="C12" s="430" t="s">
        <v>129</v>
      </c>
      <c r="D12" s="431">
        <v>20.5</v>
      </c>
      <c r="E12" s="432">
        <v>27.649999619999999</v>
      </c>
      <c r="F12" s="433">
        <f t="shared" si="0"/>
        <v>-0.25858950156470201</v>
      </c>
      <c r="G12" s="137"/>
      <c r="H12" s="265"/>
      <c r="M12" s="735">
        <v>1</v>
      </c>
      <c r="N12" s="736">
        <v>104.46</v>
      </c>
      <c r="O12" s="736">
        <v>117.2900009</v>
      </c>
      <c r="P12" s="736">
        <v>117.290000915527</v>
      </c>
      <c r="Q12" s="640">
        <v>129.00799559999999</v>
      </c>
      <c r="R12" s="278"/>
      <c r="S12" s="520"/>
      <c r="T12" s="520"/>
      <c r="AD12" s="299"/>
      <c r="AE12" s="299"/>
      <c r="AF12" s="216"/>
      <c r="AG12" s="216"/>
      <c r="AH12" s="216"/>
      <c r="AI12" s="216"/>
      <c r="AJ12" s="216"/>
      <c r="AK12" s="216"/>
      <c r="AL12" s="216"/>
    </row>
    <row r="13" spans="1:38" ht="11.25" customHeight="1">
      <c r="A13" s="77"/>
      <c r="C13" s="434" t="s">
        <v>130</v>
      </c>
      <c r="D13" s="435">
        <v>92.129997253417898</v>
      </c>
      <c r="E13" s="436">
        <v>100.13999939999999</v>
      </c>
      <c r="F13" s="437">
        <f t="shared" si="0"/>
        <v>-7.9988038691580984E-2</v>
      </c>
      <c r="G13" s="137"/>
      <c r="H13" s="265"/>
      <c r="M13" s="735">
        <v>2</v>
      </c>
      <c r="N13" s="736">
        <v>103.4720001</v>
      </c>
      <c r="O13" s="736">
        <v>116.0110016</v>
      </c>
      <c r="P13" s="736">
        <v>146.93600459999999</v>
      </c>
      <c r="Q13" s="640">
        <v>140.9219971</v>
      </c>
      <c r="R13" s="278"/>
      <c r="S13" s="520"/>
      <c r="T13" s="520"/>
      <c r="AD13" s="299"/>
      <c r="AE13" s="299"/>
      <c r="AF13" s="216"/>
      <c r="AG13" s="216"/>
      <c r="AH13" s="216"/>
      <c r="AI13" s="216"/>
      <c r="AJ13" s="216"/>
      <c r="AK13" s="216"/>
      <c r="AL13" s="216"/>
    </row>
    <row r="14" spans="1:38" ht="11.25" customHeight="1">
      <c r="A14" s="77"/>
      <c r="C14" s="430" t="s">
        <v>131</v>
      </c>
      <c r="D14" s="431">
        <v>252.59500122070301</v>
      </c>
      <c r="E14" s="432">
        <v>260.2999878</v>
      </c>
      <c r="F14" s="433">
        <f t="shared" si="0"/>
        <v>-2.9600410835274673E-2</v>
      </c>
      <c r="G14" s="137"/>
      <c r="H14" s="265"/>
      <c r="M14" s="735">
        <v>3</v>
      </c>
      <c r="N14" s="736">
        <v>106.08699799999999</v>
      </c>
      <c r="O14" s="736">
        <v>117.6</v>
      </c>
      <c r="P14" s="736">
        <v>149.93200680000001</v>
      </c>
      <c r="Q14" s="640">
        <v>146.8099976</v>
      </c>
      <c r="R14" s="278"/>
      <c r="S14" s="520"/>
      <c r="T14" s="520"/>
      <c r="AD14" s="299"/>
      <c r="AE14" s="299"/>
      <c r="AF14" s="216"/>
      <c r="AG14" s="216"/>
      <c r="AH14" s="216"/>
      <c r="AI14" s="216"/>
      <c r="AJ14" s="216"/>
      <c r="AK14" s="216"/>
      <c r="AL14" s="216"/>
    </row>
    <row r="15" spans="1:38" ht="11.25" customHeight="1">
      <c r="A15" s="77"/>
      <c r="C15" s="434" t="s">
        <v>132</v>
      </c>
      <c r="D15" s="435">
        <v>37.462001800537102</v>
      </c>
      <c r="E15" s="436">
        <v>68.730003359999998</v>
      </c>
      <c r="F15" s="437">
        <f t="shared" si="0"/>
        <v>-0.45493961924728321</v>
      </c>
      <c r="G15" s="137"/>
      <c r="H15" s="265"/>
      <c r="M15" s="735">
        <v>4</v>
      </c>
      <c r="N15" s="736">
        <v>112.7200012</v>
      </c>
      <c r="O15" s="736">
        <v>128.32000729999999</v>
      </c>
      <c r="P15" s="736">
        <v>152.6190033</v>
      </c>
      <c r="Q15" s="640">
        <v>159.0500031</v>
      </c>
      <c r="R15" s="278"/>
      <c r="S15" s="520"/>
      <c r="T15" s="520"/>
      <c r="AD15" s="299"/>
      <c r="AE15" s="299"/>
      <c r="AF15" s="216"/>
      <c r="AG15" s="216"/>
      <c r="AH15" s="216"/>
      <c r="AI15" s="216"/>
      <c r="AJ15" s="216"/>
      <c r="AK15" s="216"/>
      <c r="AL15" s="216"/>
    </row>
    <row r="16" spans="1:38" ht="11.25" customHeight="1">
      <c r="A16" s="77"/>
      <c r="C16" s="430" t="s">
        <v>133</v>
      </c>
      <c r="D16" s="431">
        <v>308.829986572265</v>
      </c>
      <c r="E16" s="432">
        <v>301.78900149999998</v>
      </c>
      <c r="F16" s="433">
        <f t="shared" si="0"/>
        <v>2.3330820663671592E-2</v>
      </c>
      <c r="G16" s="137"/>
      <c r="H16" s="265"/>
      <c r="M16" s="735">
        <v>5</v>
      </c>
      <c r="N16" s="736">
        <v>122.3190002</v>
      </c>
      <c r="O16" s="736">
        <v>139.2400055</v>
      </c>
      <c r="P16" s="736">
        <v>162.19599909999999</v>
      </c>
      <c r="Q16" s="640">
        <v>174.75</v>
      </c>
      <c r="R16" s="278"/>
      <c r="S16" s="520"/>
      <c r="T16" s="520"/>
      <c r="AD16" s="299"/>
      <c r="AE16" s="299"/>
      <c r="AF16" s="216"/>
      <c r="AG16" s="216"/>
      <c r="AH16" s="216"/>
      <c r="AI16" s="216"/>
      <c r="AJ16" s="216"/>
      <c r="AK16" s="216"/>
      <c r="AL16" s="216"/>
    </row>
    <row r="17" spans="1:38" ht="11.25" customHeight="1">
      <c r="A17" s="77"/>
      <c r="C17" s="434" t="s">
        <v>134</v>
      </c>
      <c r="D17" s="435">
        <v>132.63000488281199</v>
      </c>
      <c r="E17" s="436">
        <v>159.88000489999999</v>
      </c>
      <c r="F17" s="437">
        <f t="shared" si="0"/>
        <v>-0.1704403251315387</v>
      </c>
      <c r="G17" s="137"/>
      <c r="H17" s="265"/>
      <c r="M17" s="735">
        <v>6</v>
      </c>
      <c r="N17" s="736">
        <v>126.1559982</v>
      </c>
      <c r="O17" s="736">
        <v>150.94</v>
      </c>
      <c r="P17" s="736">
        <v>168.51100158691401</v>
      </c>
      <c r="Q17" s="640">
        <v>179.64900209999999</v>
      </c>
      <c r="R17" s="278"/>
      <c r="S17" s="520"/>
      <c r="T17" s="520"/>
      <c r="AD17" s="299"/>
      <c r="AE17" s="299"/>
      <c r="AF17" s="216"/>
      <c r="AG17" s="216"/>
      <c r="AH17" s="216"/>
      <c r="AI17" s="216"/>
      <c r="AJ17" s="216"/>
      <c r="AK17" s="216"/>
      <c r="AL17" s="216"/>
    </row>
    <row r="18" spans="1:38" ht="11.25" customHeight="1">
      <c r="A18" s="77"/>
      <c r="C18" s="430" t="s">
        <v>135</v>
      </c>
      <c r="D18" s="431">
        <v>21.027000427246001</v>
      </c>
      <c r="E18" s="432">
        <v>15.446000099999999</v>
      </c>
      <c r="F18" s="433">
        <f t="shared" si="0"/>
        <v>0.36132333880057416</v>
      </c>
      <c r="G18" s="137"/>
      <c r="H18" s="265"/>
      <c r="M18" s="735">
        <v>7</v>
      </c>
      <c r="N18" s="736">
        <v>142.9900055</v>
      </c>
      <c r="O18" s="736">
        <v>162.4909973</v>
      </c>
      <c r="P18" s="736">
        <v>175.46800229999999</v>
      </c>
      <c r="Q18" s="640">
        <v>184.3</v>
      </c>
      <c r="R18" s="278"/>
      <c r="S18" s="520"/>
      <c r="T18" s="520"/>
      <c r="AD18" s="299"/>
      <c r="AE18" s="299"/>
      <c r="AF18" s="216"/>
      <c r="AG18" s="216"/>
      <c r="AH18" s="216"/>
      <c r="AI18" s="216"/>
      <c r="AJ18" s="216"/>
      <c r="AK18" s="216"/>
      <c r="AL18" s="216"/>
    </row>
    <row r="19" spans="1:38" ht="12.75" customHeight="1">
      <c r="A19" s="77"/>
      <c r="C19" s="434" t="s">
        <v>136</v>
      </c>
      <c r="D19" s="435">
        <v>42.895000457763601</v>
      </c>
      <c r="E19" s="436">
        <v>50.415000919999997</v>
      </c>
      <c r="F19" s="437">
        <f t="shared" si="0"/>
        <v>-0.14916196221377351</v>
      </c>
      <c r="G19" s="137"/>
      <c r="H19" s="265"/>
      <c r="M19" s="735">
        <v>8</v>
      </c>
      <c r="N19" s="736">
        <v>134.13600159999999</v>
      </c>
      <c r="O19" s="736">
        <v>169.03700259999999</v>
      </c>
      <c r="P19" s="736">
        <v>188.82800292968699</v>
      </c>
      <c r="Q19" s="640">
        <v>186.76999999999998</v>
      </c>
      <c r="R19" s="278"/>
      <c r="S19" s="520"/>
      <c r="T19" s="520"/>
      <c r="AD19" s="299"/>
      <c r="AE19" s="299"/>
      <c r="AF19" s="216"/>
      <c r="AG19" s="216"/>
      <c r="AH19" s="216"/>
      <c r="AI19" s="216"/>
      <c r="AJ19" s="216"/>
      <c r="AK19" s="216"/>
      <c r="AL19" s="216"/>
    </row>
    <row r="20" spans="1:38" ht="13.5" customHeight="1">
      <c r="A20" s="77"/>
      <c r="C20" s="430" t="s">
        <v>137</v>
      </c>
      <c r="D20" s="431">
        <v>28.445999145507798</v>
      </c>
      <c r="E20" s="432">
        <v>26.44199944</v>
      </c>
      <c r="F20" s="433">
        <f t="shared" si="0"/>
        <v>7.5788508734186646E-2</v>
      </c>
      <c r="G20" s="137"/>
      <c r="H20" s="265"/>
      <c r="M20" s="735">
        <v>9</v>
      </c>
      <c r="N20" s="736">
        <v>153.34500120000001</v>
      </c>
      <c r="O20" s="736">
        <v>182.64300539999999</v>
      </c>
      <c r="P20" s="736">
        <v>196.47700499999999</v>
      </c>
      <c r="Q20" s="640">
        <v>193.21000671386699</v>
      </c>
      <c r="R20" s="278"/>
      <c r="S20" s="520"/>
      <c r="T20" s="520"/>
      <c r="AD20" s="299"/>
      <c r="AE20" s="299"/>
      <c r="AF20" s="216"/>
      <c r="AG20" s="216"/>
      <c r="AH20" s="216"/>
      <c r="AI20" s="216"/>
      <c r="AJ20" s="216"/>
      <c r="AK20" s="216"/>
      <c r="AL20" s="216"/>
    </row>
    <row r="21" spans="1:38" ht="11.25" customHeight="1">
      <c r="A21" s="77"/>
      <c r="C21" s="434" t="s">
        <v>138</v>
      </c>
      <c r="D21" s="435">
        <v>6.2150001525878897</v>
      </c>
      <c r="E21" s="436">
        <v>5.3769998550000002</v>
      </c>
      <c r="F21" s="437">
        <f t="shared" ref="F21:F27" si="1">IF(E21=0,"",(D21-E21)/E21)</f>
        <v>0.15584904597098775</v>
      </c>
      <c r="M21" s="735">
        <v>10</v>
      </c>
      <c r="N21" s="736">
        <v>153.0590057</v>
      </c>
      <c r="O21" s="736">
        <v>190.99600219999999</v>
      </c>
      <c r="P21" s="736">
        <v>199.98199460000001</v>
      </c>
      <c r="Q21" s="640">
        <v>196.71000670000001</v>
      </c>
      <c r="R21" s="278"/>
      <c r="S21" s="520"/>
      <c r="T21" s="520"/>
      <c r="AD21" s="299"/>
      <c r="AE21" s="299"/>
      <c r="AF21" s="216"/>
      <c r="AG21" s="216"/>
      <c r="AH21" s="216"/>
      <c r="AI21" s="216"/>
      <c r="AJ21" s="216"/>
      <c r="AK21" s="216"/>
      <c r="AL21" s="216"/>
    </row>
    <row r="22" spans="1:38" ht="11.25" customHeight="1">
      <c r="A22" s="77"/>
      <c r="C22" s="430" t="s">
        <v>139</v>
      </c>
      <c r="D22" s="431">
        <v>7.6560001373290998</v>
      </c>
      <c r="E22" s="432">
        <v>7.1290001869999999</v>
      </c>
      <c r="F22" s="433">
        <f t="shared" si="1"/>
        <v>7.3923402511631875E-2</v>
      </c>
      <c r="G22" s="137"/>
      <c r="H22" s="265"/>
      <c r="M22" s="735">
        <v>11</v>
      </c>
      <c r="N22" s="736">
        <v>162.93200680000001</v>
      </c>
      <c r="O22" s="736">
        <v>200.89500427246</v>
      </c>
      <c r="P22" s="736">
        <v>200.89500430000001</v>
      </c>
      <c r="Q22" s="718">
        <v>203.61799619999999</v>
      </c>
      <c r="AF22" s="266"/>
      <c r="AG22" s="266"/>
      <c r="AH22" s="266"/>
      <c r="AI22" s="266"/>
      <c r="AJ22" s="266"/>
      <c r="AK22" s="266"/>
      <c r="AL22" s="266"/>
    </row>
    <row r="23" spans="1:38" ht="11.25" customHeight="1">
      <c r="A23" s="77"/>
      <c r="C23" s="434" t="s">
        <v>414</v>
      </c>
      <c r="D23" s="435">
        <v>4.2059998512268004</v>
      </c>
      <c r="E23" s="436">
        <v>5.5029997829999999</v>
      </c>
      <c r="F23" s="437">
        <f t="shared" si="1"/>
        <v>-0.23568962073738819</v>
      </c>
      <c r="G23" s="137"/>
      <c r="H23" s="265"/>
      <c r="M23" s="735">
        <v>12</v>
      </c>
      <c r="N23" s="736">
        <v>172.76199339999999</v>
      </c>
      <c r="O23" s="736">
        <v>209.09500120000001</v>
      </c>
      <c r="P23" s="736">
        <v>210.61200000000002</v>
      </c>
      <c r="Q23" s="718">
        <v>209.9909973</v>
      </c>
      <c r="AF23" s="266"/>
      <c r="AG23" s="266"/>
      <c r="AH23" s="266"/>
      <c r="AI23" s="266"/>
      <c r="AJ23" s="266"/>
      <c r="AK23" s="266"/>
      <c r="AL23" s="266"/>
    </row>
    <row r="24" spans="1:38" ht="11.25" customHeight="1">
      <c r="A24" s="77"/>
      <c r="C24" s="430" t="s">
        <v>140</v>
      </c>
      <c r="D24" s="432">
        <v>209.99099731445301</v>
      </c>
      <c r="E24" s="432">
        <v>210.6119995</v>
      </c>
      <c r="F24" s="433">
        <f t="shared" si="1"/>
        <v>-2.9485603242990184E-3</v>
      </c>
      <c r="G24" s="137"/>
      <c r="H24" s="265"/>
      <c r="M24" s="735">
        <v>13</v>
      </c>
      <c r="N24" s="736">
        <v>182.13900760000001</v>
      </c>
      <c r="O24" s="736">
        <v>215.7310028</v>
      </c>
      <c r="P24" s="736">
        <v>221.91900634765599</v>
      </c>
      <c r="Q24" s="718">
        <v>219.56300350000001</v>
      </c>
      <c r="AF24" s="266"/>
      <c r="AG24" s="266"/>
      <c r="AH24" s="266"/>
      <c r="AI24" s="266"/>
      <c r="AJ24" s="266"/>
      <c r="AK24" s="266"/>
      <c r="AL24" s="266"/>
    </row>
    <row r="25" spans="1:38" ht="11.25" customHeight="1">
      <c r="A25" s="77"/>
      <c r="C25" s="434" t="s">
        <v>141</v>
      </c>
      <c r="D25" s="436">
        <v>42.518001556396399</v>
      </c>
      <c r="E25" s="436">
        <v>38.95500183</v>
      </c>
      <c r="F25" s="437">
        <f t="shared" si="1"/>
        <v>9.1464499012100256E-2</v>
      </c>
      <c r="G25" s="137"/>
      <c r="H25" s="265"/>
      <c r="M25" s="735">
        <v>14</v>
      </c>
      <c r="N25" s="736">
        <v>191.4750061</v>
      </c>
      <c r="O25" s="736">
        <v>219.1710052</v>
      </c>
      <c r="P25" s="736">
        <v>223.19599909999999</v>
      </c>
      <c r="Q25" s="718"/>
      <c r="AF25" s="266"/>
      <c r="AG25" s="266"/>
      <c r="AH25" s="266"/>
      <c r="AI25" s="266"/>
      <c r="AJ25" s="266"/>
      <c r="AK25" s="266"/>
      <c r="AL25" s="266"/>
    </row>
    <row r="26" spans="1:38" ht="11.25" customHeight="1">
      <c r="A26" s="77"/>
      <c r="C26" s="430" t="s">
        <v>142</v>
      </c>
      <c r="D26" s="432">
        <v>60.362000000000002</v>
      </c>
      <c r="E26" s="432">
        <v>63.003</v>
      </c>
      <c r="F26" s="433">
        <f t="shared" si="1"/>
        <v>-4.1918638794977987E-2</v>
      </c>
      <c r="G26" s="137"/>
      <c r="H26" s="137"/>
      <c r="M26" s="735">
        <v>15</v>
      </c>
      <c r="N26" s="736">
        <v>198.43899540000001</v>
      </c>
      <c r="O26" s="736">
        <v>220.17399599999999</v>
      </c>
      <c r="P26" s="736">
        <v>225.0500031</v>
      </c>
      <c r="Q26" s="718"/>
      <c r="AF26" s="266"/>
      <c r="AG26" s="266"/>
      <c r="AH26" s="266"/>
      <c r="AI26" s="266"/>
      <c r="AJ26" s="266"/>
      <c r="AK26" s="266"/>
      <c r="AL26" s="266"/>
    </row>
    <row r="27" spans="1:38" ht="11.25" customHeight="1">
      <c r="A27" s="77"/>
      <c r="C27" s="434" t="s">
        <v>143</v>
      </c>
      <c r="D27" s="435">
        <v>343.44100952148398</v>
      </c>
      <c r="E27" s="436">
        <v>105.5189972</v>
      </c>
      <c r="F27" s="437">
        <f t="shared" si="1"/>
        <v>2.2547789368252635</v>
      </c>
      <c r="G27" s="137"/>
      <c r="H27" s="137"/>
      <c r="M27" s="735">
        <v>16</v>
      </c>
      <c r="N27" s="736">
        <v>201.52999879999999</v>
      </c>
      <c r="O27" s="736">
        <v>220.3150024</v>
      </c>
      <c r="P27" s="736">
        <v>224.84800720000001</v>
      </c>
      <c r="Q27" s="718"/>
      <c r="AF27" s="266"/>
      <c r="AG27" s="266"/>
      <c r="AH27" s="266"/>
      <c r="AI27" s="266"/>
      <c r="AJ27" s="266"/>
      <c r="AK27" s="266"/>
      <c r="AL27" s="266"/>
    </row>
    <row r="28" spans="1:38" ht="26.25" customHeight="1">
      <c r="A28" s="77"/>
      <c r="C28" s="881"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marzo) </v>
      </c>
      <c r="D28" s="881"/>
      <c r="E28" s="881"/>
      <c r="F28" s="881"/>
      <c r="G28" s="137"/>
      <c r="H28" s="137"/>
      <c r="M28" s="735">
        <v>17</v>
      </c>
      <c r="N28" s="736">
        <v>206.03700259999999</v>
      </c>
      <c r="O28" s="736">
        <v>220.56</v>
      </c>
      <c r="P28" s="736">
        <v>225.27900695800699</v>
      </c>
      <c r="Q28" s="718"/>
      <c r="AF28" s="266"/>
      <c r="AG28" s="266"/>
      <c r="AH28" s="266"/>
      <c r="AI28" s="266"/>
      <c r="AJ28" s="266"/>
      <c r="AK28" s="266"/>
      <c r="AL28" s="266"/>
    </row>
    <row r="29" spans="1:38" ht="12" customHeight="1">
      <c r="A29" s="75"/>
      <c r="G29" s="137"/>
      <c r="H29" s="137"/>
      <c r="I29" s="167"/>
      <c r="J29" s="784"/>
      <c r="M29" s="735">
        <v>18</v>
      </c>
      <c r="N29" s="736">
        <v>213.67399599999999</v>
      </c>
      <c r="O29" s="736">
        <v>224.15199279999999</v>
      </c>
      <c r="P29" s="736">
        <v>226.44200129999999</v>
      </c>
      <c r="Q29" s="746"/>
      <c r="AF29" s="266"/>
      <c r="AG29" s="266"/>
      <c r="AH29" s="266"/>
      <c r="AI29" s="266"/>
      <c r="AJ29" s="266"/>
      <c r="AK29" s="266"/>
      <c r="AL29" s="266"/>
    </row>
    <row r="30" spans="1:38" ht="11.25" customHeight="1">
      <c r="A30" s="75"/>
      <c r="B30" s="173"/>
      <c r="C30" s="173"/>
      <c r="D30" s="173"/>
      <c r="E30" s="173"/>
      <c r="F30" s="171"/>
      <c r="G30" s="137"/>
      <c r="H30" s="137"/>
      <c r="M30" s="735">
        <v>19</v>
      </c>
      <c r="N30" s="736">
        <v>216.75700380000001</v>
      </c>
      <c r="O30" s="736">
        <v>224.378006</v>
      </c>
      <c r="P30" s="736">
        <v>227.14199830000001</v>
      </c>
      <c r="Q30" s="746"/>
      <c r="AF30" s="266"/>
      <c r="AG30" s="266"/>
      <c r="AH30" s="266"/>
      <c r="AI30" s="266"/>
      <c r="AJ30" s="266"/>
      <c r="AK30" s="266"/>
      <c r="AL30" s="266"/>
    </row>
    <row r="31" spans="1:38" ht="11.25" customHeight="1">
      <c r="A31" s="75"/>
      <c r="B31" s="173"/>
      <c r="C31" s="173"/>
      <c r="D31" s="173"/>
      <c r="E31" s="173"/>
      <c r="F31" s="171"/>
      <c r="G31" s="171"/>
      <c r="H31" s="171"/>
      <c r="I31" s="167"/>
      <c r="J31" s="784"/>
      <c r="M31" s="735">
        <v>20</v>
      </c>
      <c r="N31" s="736">
        <v>217.29400630000001</v>
      </c>
      <c r="O31" s="736">
        <v>224.60401920000001</v>
      </c>
      <c r="P31" s="736">
        <v>227.625</v>
      </c>
      <c r="Q31" s="746"/>
      <c r="AF31" s="266"/>
      <c r="AG31" s="266"/>
      <c r="AH31" s="266"/>
      <c r="AI31" s="266"/>
      <c r="AJ31" s="266"/>
      <c r="AK31" s="266"/>
      <c r="AL31" s="266"/>
    </row>
    <row r="32" spans="1:38" ht="13.5" customHeight="1">
      <c r="A32" s="880" t="s">
        <v>433</v>
      </c>
      <c r="B32" s="880"/>
      <c r="C32" s="880"/>
      <c r="D32" s="880"/>
      <c r="E32" s="880"/>
      <c r="F32" s="880"/>
      <c r="G32" s="880"/>
      <c r="H32" s="880"/>
      <c r="I32" s="56"/>
      <c r="J32" s="784"/>
      <c r="M32" s="735">
        <v>21</v>
      </c>
      <c r="N32" s="736">
        <v>218.3190002</v>
      </c>
      <c r="O32" s="736">
        <v>223.4909973</v>
      </c>
      <c r="P32" s="736">
        <v>227.75800000000001</v>
      </c>
      <c r="Q32" s="746"/>
      <c r="AF32" s="266"/>
      <c r="AG32" s="266"/>
      <c r="AH32" s="266"/>
      <c r="AI32" s="266"/>
      <c r="AJ32" s="266"/>
      <c r="AK32" s="266"/>
      <c r="AL32" s="266"/>
    </row>
    <row r="33" spans="1:38" ht="11.25" customHeight="1">
      <c r="A33" s="75"/>
      <c r="B33" s="82"/>
      <c r="C33" s="82"/>
      <c r="D33" s="82"/>
      <c r="E33" s="82"/>
      <c r="F33" s="82"/>
      <c r="G33" s="82"/>
      <c r="H33" s="82"/>
      <c r="I33" s="56"/>
      <c r="J33" s="784"/>
      <c r="M33" s="735">
        <v>22</v>
      </c>
      <c r="N33" s="736">
        <v>218.79899599999999</v>
      </c>
      <c r="O33" s="736">
        <v>222.62600710000001</v>
      </c>
      <c r="P33" s="736">
        <v>226.41700739999999</v>
      </c>
      <c r="Q33" s="746"/>
      <c r="AF33" s="266"/>
      <c r="AG33" s="266"/>
      <c r="AH33" s="266"/>
      <c r="AI33" s="266"/>
      <c r="AJ33" s="266"/>
      <c r="AK33" s="266"/>
      <c r="AL33" s="266"/>
    </row>
    <row r="34" spans="1:38" ht="11.25" customHeight="1">
      <c r="A34" s="75"/>
      <c r="B34" s="82"/>
      <c r="C34" s="82"/>
      <c r="D34" s="82"/>
      <c r="E34" s="82"/>
      <c r="F34" s="82"/>
      <c r="G34" s="82"/>
      <c r="H34" s="82"/>
      <c r="I34" s="56"/>
      <c r="J34" s="784"/>
      <c r="M34" s="735">
        <v>23</v>
      </c>
      <c r="N34" s="736">
        <v>217.8880005</v>
      </c>
      <c r="O34" s="736">
        <v>221.62399289999999</v>
      </c>
      <c r="P34" s="736">
        <v>224.4589996</v>
      </c>
      <c r="Q34" s="746"/>
      <c r="AF34" s="266"/>
      <c r="AG34" s="266"/>
      <c r="AH34" s="266"/>
      <c r="AI34" s="266"/>
      <c r="AJ34" s="266"/>
      <c r="AK34" s="266"/>
      <c r="AL34" s="266"/>
    </row>
    <row r="35" spans="1:38" ht="11.25" customHeight="1">
      <c r="A35" s="75"/>
      <c r="B35" s="82"/>
      <c r="C35" s="82"/>
      <c r="D35" s="82"/>
      <c r="E35" s="82"/>
      <c r="F35" s="82"/>
      <c r="G35" s="82"/>
      <c r="H35" s="82"/>
      <c r="I35" s="168"/>
      <c r="J35" s="784"/>
      <c r="M35" s="735">
        <v>24</v>
      </c>
      <c r="N35" s="736">
        <v>216.04899599999999</v>
      </c>
      <c r="O35" s="736">
        <v>218.3840027</v>
      </c>
      <c r="P35" s="736">
        <v>220.634994506835</v>
      </c>
      <c r="Q35" s="746"/>
      <c r="AF35" s="266"/>
      <c r="AG35" s="266"/>
      <c r="AH35" s="266"/>
      <c r="AI35" s="266"/>
      <c r="AJ35" s="266"/>
      <c r="AK35" s="266"/>
      <c r="AL35" s="266"/>
    </row>
    <row r="36" spans="1:38" ht="11.25" customHeight="1">
      <c r="A36" s="75"/>
      <c r="B36" s="82"/>
      <c r="C36" s="82"/>
      <c r="D36" s="82"/>
      <c r="E36" s="82"/>
      <c r="F36" s="82"/>
      <c r="G36" s="82"/>
      <c r="H36" s="82"/>
      <c r="I36" s="56"/>
      <c r="J36" s="784"/>
      <c r="M36" s="735">
        <v>25</v>
      </c>
      <c r="N36" s="736">
        <v>212.24600219999999</v>
      </c>
      <c r="O36" s="736">
        <v>215.08099369999999</v>
      </c>
      <c r="P36" s="736">
        <v>218.28599550000001</v>
      </c>
      <c r="Q36" s="746"/>
      <c r="AF36" s="266"/>
      <c r="AG36" s="266"/>
      <c r="AH36" s="266"/>
      <c r="AI36" s="266"/>
      <c r="AJ36" s="266"/>
      <c r="AK36" s="266"/>
      <c r="AL36" s="266"/>
    </row>
    <row r="37" spans="1:38" ht="11.25" customHeight="1">
      <c r="A37" s="75"/>
      <c r="B37" s="82"/>
      <c r="C37" s="82"/>
      <c r="D37" s="82"/>
      <c r="E37" s="82"/>
      <c r="F37" s="82"/>
      <c r="G37" s="82"/>
      <c r="H37" s="82"/>
      <c r="I37" s="56"/>
      <c r="J37" s="785"/>
      <c r="M37" s="735">
        <v>26</v>
      </c>
      <c r="N37" s="736">
        <v>210.22099299999999</v>
      </c>
      <c r="O37" s="736">
        <v>210.41900630000001</v>
      </c>
      <c r="P37" s="736">
        <v>214.90499879999999</v>
      </c>
      <c r="Q37" s="746"/>
      <c r="AF37" s="266"/>
      <c r="AG37" s="266"/>
      <c r="AH37" s="266"/>
      <c r="AI37" s="266"/>
      <c r="AJ37" s="266"/>
      <c r="AK37" s="266"/>
      <c r="AL37" s="266"/>
    </row>
    <row r="38" spans="1:38" ht="11.25" customHeight="1">
      <c r="A38" s="75"/>
      <c r="B38" s="82"/>
      <c r="C38" s="82"/>
      <c r="D38" s="82"/>
      <c r="E38" s="82"/>
      <c r="F38" s="82"/>
      <c r="G38" s="82"/>
      <c r="H38" s="82"/>
      <c r="I38" s="56"/>
      <c r="J38" s="785"/>
      <c r="M38" s="735">
        <v>27</v>
      </c>
      <c r="N38" s="736">
        <v>209.85200499999999</v>
      </c>
      <c r="O38" s="736">
        <v>204.23</v>
      </c>
      <c r="P38" s="736">
        <v>210.91799926757801</v>
      </c>
      <c r="Q38" s="746"/>
      <c r="AF38" s="266"/>
      <c r="AG38" s="266"/>
      <c r="AH38" s="266"/>
      <c r="AI38" s="266"/>
      <c r="AJ38" s="266"/>
      <c r="AK38" s="266"/>
      <c r="AL38" s="266"/>
    </row>
    <row r="39" spans="1:38" ht="11.25" customHeight="1">
      <c r="A39" s="75"/>
      <c r="B39" s="82"/>
      <c r="C39" s="82"/>
      <c r="D39" s="82"/>
      <c r="E39" s="82"/>
      <c r="F39" s="82"/>
      <c r="G39" s="82"/>
      <c r="H39" s="82"/>
      <c r="I39" s="56"/>
      <c r="J39" s="786"/>
      <c r="M39" s="735">
        <v>28</v>
      </c>
      <c r="N39" s="736">
        <v>203.92900090000001</v>
      </c>
      <c r="O39" s="743">
        <v>201.1309967</v>
      </c>
      <c r="P39" s="743">
        <v>207.96099849999999</v>
      </c>
      <c r="Q39" s="746"/>
      <c r="AF39" s="266"/>
      <c r="AG39" s="266"/>
      <c r="AH39" s="266"/>
      <c r="AI39" s="266"/>
      <c r="AJ39" s="266"/>
      <c r="AK39" s="266"/>
      <c r="AL39" s="266"/>
    </row>
    <row r="40" spans="1:38" ht="11.25" customHeight="1">
      <c r="A40" s="75"/>
      <c r="B40" s="82"/>
      <c r="C40" s="82"/>
      <c r="D40" s="82"/>
      <c r="E40" s="82"/>
      <c r="F40" s="82"/>
      <c r="G40" s="82"/>
      <c r="H40" s="82"/>
      <c r="I40" s="56"/>
      <c r="J40" s="786"/>
      <c r="M40" s="735">
        <v>29</v>
      </c>
      <c r="N40" s="736">
        <v>200.56300350000001</v>
      </c>
      <c r="O40" s="736">
        <v>196.16000366210901</v>
      </c>
      <c r="P40" s="736">
        <v>205.66700739999999</v>
      </c>
      <c r="Q40" s="746"/>
      <c r="AF40" s="266"/>
      <c r="AG40" s="266"/>
      <c r="AH40" s="266"/>
      <c r="AI40" s="266"/>
      <c r="AJ40" s="266"/>
      <c r="AK40" s="266"/>
      <c r="AL40" s="266"/>
    </row>
    <row r="41" spans="1:38" ht="11.25" customHeight="1">
      <c r="A41" s="75"/>
      <c r="B41" s="82"/>
      <c r="C41" s="82"/>
      <c r="D41" s="82"/>
      <c r="E41" s="82"/>
      <c r="F41" s="82"/>
      <c r="G41" s="82"/>
      <c r="H41" s="82"/>
      <c r="I41" s="56"/>
      <c r="J41" s="786"/>
      <c r="M41" s="735">
        <v>30</v>
      </c>
      <c r="N41" s="736">
        <v>194.94900509999999</v>
      </c>
      <c r="O41" s="736">
        <v>193.86</v>
      </c>
      <c r="P41" s="736">
        <v>197.3999939</v>
      </c>
      <c r="Q41" s="746"/>
      <c r="AF41" s="266"/>
      <c r="AG41" s="266"/>
      <c r="AH41" s="266"/>
      <c r="AI41" s="266"/>
      <c r="AJ41" s="266"/>
      <c r="AK41" s="266"/>
      <c r="AL41" s="266"/>
    </row>
    <row r="42" spans="1:38" ht="11.25" customHeight="1">
      <c r="A42" s="75"/>
      <c r="B42" s="82"/>
      <c r="C42" s="82"/>
      <c r="D42" s="82"/>
      <c r="E42" s="82"/>
      <c r="F42" s="82"/>
      <c r="G42" s="82"/>
      <c r="H42" s="82"/>
      <c r="I42" s="168"/>
      <c r="J42" s="785"/>
      <c r="M42" s="735">
        <v>31</v>
      </c>
      <c r="N42" s="736">
        <v>188.386</v>
      </c>
      <c r="O42" s="736">
        <v>186.24800110000001</v>
      </c>
      <c r="P42" s="736">
        <v>194.98199460000001</v>
      </c>
      <c r="Q42" s="746"/>
      <c r="AF42" s="266"/>
      <c r="AG42" s="266"/>
      <c r="AH42" s="266"/>
      <c r="AI42" s="266"/>
      <c r="AJ42" s="266"/>
      <c r="AK42" s="266"/>
      <c r="AL42" s="266"/>
    </row>
    <row r="43" spans="1:38" ht="11.25" customHeight="1">
      <c r="A43" s="75"/>
      <c r="B43" s="82"/>
      <c r="C43" s="82"/>
      <c r="D43" s="82"/>
      <c r="E43" s="82"/>
      <c r="F43" s="82"/>
      <c r="G43" s="82"/>
      <c r="H43" s="82"/>
      <c r="I43" s="56"/>
      <c r="J43" s="785"/>
      <c r="M43" s="735">
        <v>32</v>
      </c>
      <c r="N43" s="736">
        <v>184.72900390000001</v>
      </c>
      <c r="O43" s="736">
        <v>182.40899659999999</v>
      </c>
      <c r="P43" s="736">
        <v>190.13999938964801</v>
      </c>
      <c r="AF43" s="266"/>
      <c r="AG43" s="266"/>
      <c r="AH43" s="266"/>
      <c r="AI43" s="266"/>
      <c r="AJ43" s="266"/>
      <c r="AK43" s="266"/>
      <c r="AL43" s="266"/>
    </row>
    <row r="44" spans="1:38" ht="11.25" customHeight="1">
      <c r="A44" s="75"/>
      <c r="B44" s="82"/>
      <c r="C44" s="82"/>
      <c r="D44" s="82"/>
      <c r="E44" s="82"/>
      <c r="F44" s="82"/>
      <c r="G44" s="82"/>
      <c r="H44" s="82"/>
      <c r="I44" s="56"/>
      <c r="J44" s="785"/>
      <c r="M44" s="735">
        <v>33</v>
      </c>
      <c r="N44" s="736">
        <v>178.8809967</v>
      </c>
      <c r="O44" s="736">
        <v>178.6940002</v>
      </c>
      <c r="P44" s="736">
        <v>186.17300420000001</v>
      </c>
      <c r="AF44" s="266"/>
      <c r="AG44" s="266"/>
      <c r="AH44" s="266"/>
      <c r="AI44" s="266"/>
      <c r="AJ44" s="266"/>
      <c r="AK44" s="266"/>
      <c r="AL44" s="266"/>
    </row>
    <row r="45" spans="1:38" ht="11.25" customHeight="1">
      <c r="A45" s="75"/>
      <c r="B45" s="82"/>
      <c r="C45" s="82"/>
      <c r="D45" s="82"/>
      <c r="E45" s="82"/>
      <c r="F45" s="82"/>
      <c r="G45" s="82"/>
      <c r="H45" s="82"/>
      <c r="I45" s="59"/>
      <c r="J45" s="59"/>
      <c r="M45" s="735">
        <v>34</v>
      </c>
      <c r="N45" s="736">
        <v>176.98599239999999</v>
      </c>
      <c r="O45" s="736">
        <v>173.61300660000001</v>
      </c>
      <c r="P45" s="736">
        <v>183.14799500000001</v>
      </c>
      <c r="AF45" s="266"/>
      <c r="AG45" s="266"/>
      <c r="AH45" s="266"/>
      <c r="AI45" s="266"/>
      <c r="AJ45" s="266"/>
      <c r="AK45" s="266"/>
      <c r="AL45" s="266"/>
    </row>
    <row r="46" spans="1:38" ht="11.25" customHeight="1">
      <c r="A46" s="75"/>
      <c r="B46" s="82"/>
      <c r="C46" s="82"/>
      <c r="D46" s="82"/>
      <c r="E46" s="82"/>
      <c r="F46" s="82"/>
      <c r="G46" s="82"/>
      <c r="H46" s="82"/>
      <c r="I46" s="59"/>
      <c r="J46" s="59"/>
      <c r="M46" s="735">
        <v>35</v>
      </c>
      <c r="N46" s="744">
        <v>173.36999510000001</v>
      </c>
      <c r="O46" s="736">
        <v>170.0189972</v>
      </c>
      <c r="P46" s="736">
        <v>175.24000549316401</v>
      </c>
      <c r="AF46" s="266"/>
      <c r="AG46" s="266"/>
      <c r="AH46" s="266"/>
      <c r="AI46" s="266"/>
      <c r="AJ46" s="266"/>
      <c r="AK46" s="266"/>
      <c r="AL46" s="266"/>
    </row>
    <row r="47" spans="1:38" ht="11.25" customHeight="1">
      <c r="A47" s="75"/>
      <c r="B47" s="82"/>
      <c r="C47" s="82"/>
      <c r="D47" s="82"/>
      <c r="E47" s="82"/>
      <c r="F47" s="82"/>
      <c r="G47" s="82"/>
      <c r="H47" s="82"/>
      <c r="I47" s="59"/>
      <c r="J47" s="59"/>
      <c r="M47" s="735">
        <v>36</v>
      </c>
      <c r="N47" s="744">
        <v>167.63</v>
      </c>
      <c r="O47" s="736">
        <v>166.0690002</v>
      </c>
      <c r="P47" s="736">
        <v>171.61000061035099</v>
      </c>
      <c r="AF47" s="266"/>
      <c r="AG47" s="266"/>
      <c r="AH47" s="266"/>
      <c r="AI47" s="266"/>
      <c r="AJ47" s="266"/>
      <c r="AK47" s="266"/>
      <c r="AL47" s="266"/>
    </row>
    <row r="48" spans="1:38" ht="11.25" customHeight="1">
      <c r="A48" s="75"/>
      <c r="B48" s="82"/>
      <c r="C48" s="82"/>
      <c r="D48" s="82"/>
      <c r="E48" s="82"/>
      <c r="F48" s="82"/>
      <c r="G48" s="82"/>
      <c r="H48" s="82"/>
      <c r="I48" s="59"/>
      <c r="J48" s="59"/>
      <c r="M48" s="735">
        <v>37</v>
      </c>
      <c r="N48" s="736">
        <v>162.30700680000001</v>
      </c>
      <c r="O48" s="736">
        <v>159.17399599999999</v>
      </c>
      <c r="P48" s="736">
        <v>167.78999328613199</v>
      </c>
      <c r="AF48" s="266"/>
      <c r="AG48" s="266"/>
      <c r="AH48" s="266"/>
      <c r="AI48" s="266"/>
      <c r="AJ48" s="266"/>
      <c r="AK48" s="266"/>
      <c r="AL48" s="266"/>
    </row>
    <row r="49" spans="1:38" ht="11.25" customHeight="1">
      <c r="A49" s="75"/>
      <c r="B49" s="82"/>
      <c r="C49" s="82"/>
      <c r="D49" s="82"/>
      <c r="E49" s="82"/>
      <c r="F49" s="82"/>
      <c r="G49" s="82"/>
      <c r="H49" s="82"/>
      <c r="I49" s="59"/>
      <c r="J49" s="59"/>
      <c r="M49" s="735">
        <v>38</v>
      </c>
      <c r="N49" s="736">
        <v>159.02699279999999</v>
      </c>
      <c r="O49" s="736">
        <v>157.84</v>
      </c>
      <c r="P49" s="736">
        <v>170.03999328613199</v>
      </c>
      <c r="AF49" s="266"/>
      <c r="AG49" s="266"/>
      <c r="AH49" s="266"/>
      <c r="AI49" s="266"/>
      <c r="AJ49" s="266"/>
      <c r="AK49" s="266"/>
      <c r="AL49" s="266"/>
    </row>
    <row r="50" spans="1:38" ht="13.2">
      <c r="A50" s="75"/>
      <c r="B50" s="82"/>
      <c r="C50" s="82"/>
      <c r="D50" s="82"/>
      <c r="E50" s="82"/>
      <c r="F50" s="82"/>
      <c r="G50" s="82"/>
      <c r="H50" s="82"/>
      <c r="I50" s="59"/>
      <c r="J50" s="59"/>
      <c r="M50" s="735">
        <v>39</v>
      </c>
      <c r="N50" s="736">
        <v>153.61700440000001</v>
      </c>
      <c r="O50" s="736">
        <v>156.28199768066401</v>
      </c>
      <c r="P50" s="736">
        <v>159.69</v>
      </c>
      <c r="AF50" s="266"/>
      <c r="AG50" s="266"/>
      <c r="AH50" s="266"/>
      <c r="AI50" s="266"/>
      <c r="AJ50" s="266"/>
      <c r="AK50" s="266"/>
      <c r="AL50" s="266"/>
    </row>
    <row r="51" spans="1:38" ht="10.5" customHeight="1">
      <c r="A51" s="75"/>
      <c r="B51" s="82"/>
      <c r="C51" s="82"/>
      <c r="D51" s="82"/>
      <c r="E51" s="82"/>
      <c r="F51" s="82"/>
      <c r="G51" s="82"/>
      <c r="H51" s="82"/>
      <c r="I51" s="59"/>
      <c r="J51" s="59"/>
      <c r="M51" s="735">
        <v>40</v>
      </c>
      <c r="N51" s="736">
        <v>151.72999569999999</v>
      </c>
      <c r="O51" s="736">
        <v>148.3529968</v>
      </c>
      <c r="P51" s="736">
        <v>150.2969971</v>
      </c>
      <c r="AF51" s="266"/>
      <c r="AG51" s="266"/>
      <c r="AH51" s="266"/>
      <c r="AI51" s="266"/>
      <c r="AJ51" s="266"/>
      <c r="AK51" s="266"/>
      <c r="AL51" s="266"/>
    </row>
    <row r="52" spans="1:38" ht="13.2">
      <c r="A52" s="75"/>
      <c r="B52" s="82"/>
      <c r="C52" s="82"/>
      <c r="D52" s="82"/>
      <c r="E52" s="82"/>
      <c r="F52" s="82"/>
      <c r="G52" s="82"/>
      <c r="H52" s="82"/>
      <c r="I52" s="59"/>
      <c r="J52" s="59"/>
      <c r="M52" s="735">
        <v>41</v>
      </c>
      <c r="N52" s="736">
        <v>147.996002197265</v>
      </c>
      <c r="O52" s="736">
        <v>151.04400630000001</v>
      </c>
      <c r="P52" s="736">
        <v>146.7689972</v>
      </c>
      <c r="AF52" s="266"/>
      <c r="AG52" s="266"/>
      <c r="AH52" s="266"/>
      <c r="AI52" s="266"/>
      <c r="AJ52" s="266"/>
      <c r="AK52" s="266"/>
      <c r="AL52" s="266"/>
    </row>
    <row r="53" spans="1:38" ht="13.2">
      <c r="A53" s="75"/>
      <c r="B53" s="82"/>
      <c r="C53" s="82"/>
      <c r="D53" s="82"/>
      <c r="E53" s="82"/>
      <c r="F53" s="82"/>
      <c r="G53" s="82"/>
      <c r="H53" s="82"/>
      <c r="I53" s="59"/>
      <c r="J53" s="59"/>
      <c r="M53" s="735">
        <v>42</v>
      </c>
      <c r="N53" s="736">
        <v>144.53999328613199</v>
      </c>
      <c r="O53" s="736">
        <v>146.53</v>
      </c>
      <c r="P53" s="736">
        <v>142.69900512695301</v>
      </c>
      <c r="AF53" s="266"/>
      <c r="AG53" s="266"/>
      <c r="AH53" s="266"/>
      <c r="AI53" s="266"/>
      <c r="AJ53" s="266"/>
      <c r="AK53" s="266"/>
      <c r="AL53" s="266"/>
    </row>
    <row r="54" spans="1:38" ht="13.2">
      <c r="A54" s="75"/>
      <c r="B54" s="82"/>
      <c r="C54" s="82"/>
      <c r="D54" s="82"/>
      <c r="E54" s="82"/>
      <c r="F54" s="82"/>
      <c r="G54" s="82"/>
      <c r="H54" s="82"/>
      <c r="I54" s="59"/>
      <c r="J54" s="59"/>
      <c r="M54" s="735">
        <v>43</v>
      </c>
      <c r="N54" s="736">
        <v>143.72300720214801</v>
      </c>
      <c r="O54" s="736">
        <v>137.7400055</v>
      </c>
      <c r="P54" s="736">
        <v>135.75</v>
      </c>
      <c r="AF54" s="266"/>
      <c r="AG54" s="266"/>
      <c r="AH54" s="266"/>
      <c r="AI54" s="266"/>
      <c r="AJ54" s="266"/>
      <c r="AK54" s="266"/>
      <c r="AL54" s="266"/>
    </row>
    <row r="55" spans="1:38" ht="13.2">
      <c r="A55" s="75"/>
      <c r="B55" s="82"/>
      <c r="C55" s="82"/>
      <c r="D55" s="82"/>
      <c r="E55" s="82"/>
      <c r="F55" s="82"/>
      <c r="G55" s="82"/>
      <c r="H55" s="82"/>
      <c r="I55" s="59"/>
      <c r="J55" s="59"/>
      <c r="M55" s="735">
        <v>44</v>
      </c>
      <c r="N55" s="736">
        <v>142.33900449999999</v>
      </c>
      <c r="O55" s="736">
        <v>133.1380005</v>
      </c>
      <c r="P55" s="736">
        <v>130.27000430000001</v>
      </c>
      <c r="AF55" s="266"/>
      <c r="AG55" s="266"/>
      <c r="AH55" s="266"/>
      <c r="AI55" s="266"/>
      <c r="AJ55" s="266"/>
      <c r="AK55" s="266"/>
      <c r="AL55" s="266"/>
    </row>
    <row r="56" spans="1:38" ht="13.2">
      <c r="A56" s="75"/>
      <c r="B56" s="82"/>
      <c r="C56" s="82"/>
      <c r="D56" s="82"/>
      <c r="E56" s="82"/>
      <c r="F56" s="82"/>
      <c r="G56" s="82"/>
      <c r="H56" s="82"/>
      <c r="I56" s="59"/>
      <c r="J56" s="59"/>
      <c r="M56" s="735">
        <v>45</v>
      </c>
      <c r="N56" s="736">
        <v>143.13200380000001</v>
      </c>
      <c r="O56" s="736">
        <v>125.7330017</v>
      </c>
      <c r="P56" s="736">
        <v>124.5780029</v>
      </c>
      <c r="AF56" s="266"/>
      <c r="AG56" s="266"/>
      <c r="AH56" s="266"/>
      <c r="AI56" s="266"/>
      <c r="AJ56" s="266"/>
      <c r="AK56" s="266"/>
      <c r="AL56" s="266"/>
    </row>
    <row r="57" spans="1:38" ht="13.2">
      <c r="A57" s="75"/>
      <c r="B57" s="82"/>
      <c r="C57" s="82"/>
      <c r="D57" s="82"/>
      <c r="E57" s="82"/>
      <c r="F57" s="82"/>
      <c r="G57" s="82"/>
      <c r="H57" s="82"/>
      <c r="M57" s="735">
        <v>46</v>
      </c>
      <c r="N57" s="736">
        <v>141.37</v>
      </c>
      <c r="O57" s="736">
        <v>125.2030029</v>
      </c>
      <c r="P57" s="736">
        <v>120.7269974</v>
      </c>
      <c r="AF57" s="266"/>
      <c r="AG57" s="266"/>
      <c r="AH57" s="266"/>
      <c r="AI57" s="266"/>
      <c r="AJ57" s="266"/>
      <c r="AK57" s="266"/>
      <c r="AL57" s="266"/>
    </row>
    <row r="58" spans="1:38" ht="13.2">
      <c r="A58" s="75"/>
      <c r="B58" s="82"/>
      <c r="C58" s="82"/>
      <c r="D58" s="82"/>
      <c r="E58" s="82"/>
      <c r="F58" s="82"/>
      <c r="G58" s="82"/>
      <c r="H58" s="82"/>
      <c r="M58" s="735">
        <v>47</v>
      </c>
      <c r="N58" s="736">
        <v>140.33900449999999</v>
      </c>
      <c r="O58" s="736">
        <v>120.5130005</v>
      </c>
      <c r="P58" s="736">
        <v>113.7900009</v>
      </c>
      <c r="AF58" s="266"/>
      <c r="AG58" s="266"/>
      <c r="AH58" s="266"/>
      <c r="AI58" s="266"/>
      <c r="AJ58" s="266"/>
      <c r="AK58" s="266"/>
      <c r="AL58" s="266"/>
    </row>
    <row r="59" spans="1:38" ht="13.2">
      <c r="A59" s="263" t="s">
        <v>590</v>
      </c>
      <c r="B59" s="82"/>
      <c r="C59" s="82"/>
      <c r="D59" s="82"/>
      <c r="E59" s="82"/>
      <c r="F59" s="82"/>
      <c r="G59" s="82"/>
      <c r="H59" s="82"/>
      <c r="M59" s="735">
        <v>48</v>
      </c>
      <c r="N59" s="736">
        <v>137.8150024</v>
      </c>
      <c r="O59" s="736">
        <v>119.3089981</v>
      </c>
      <c r="P59" s="736">
        <v>104.1470032</v>
      </c>
      <c r="AF59" s="266"/>
      <c r="AG59" s="266"/>
      <c r="AH59" s="266"/>
      <c r="AI59" s="266"/>
      <c r="AJ59" s="266"/>
      <c r="AK59" s="266"/>
      <c r="AL59" s="266"/>
    </row>
    <row r="60" spans="1:38" ht="13.2">
      <c r="A60" s="54"/>
      <c r="B60" s="82"/>
      <c r="C60" s="82"/>
      <c r="D60" s="82"/>
      <c r="E60" s="82"/>
      <c r="F60" s="82"/>
      <c r="G60" s="82"/>
      <c r="H60" s="82"/>
      <c r="M60" s="735">
        <v>49</v>
      </c>
      <c r="N60" s="736">
        <v>129.0279999</v>
      </c>
      <c r="O60" s="736">
        <v>119.33200069999999</v>
      </c>
      <c r="P60" s="736">
        <v>104.8560028</v>
      </c>
      <c r="AF60" s="266"/>
      <c r="AG60" s="266"/>
      <c r="AH60" s="266"/>
      <c r="AI60" s="266"/>
      <c r="AJ60" s="266"/>
      <c r="AK60" s="266"/>
      <c r="AL60" s="266"/>
    </row>
    <row r="61" spans="1:38" ht="10.8">
      <c r="M61" s="735">
        <v>50</v>
      </c>
      <c r="N61" s="736">
        <v>129.30000000000001</v>
      </c>
      <c r="O61" s="736">
        <v>135.91499329999999</v>
      </c>
      <c r="P61" s="736">
        <v>105.70500180000001</v>
      </c>
      <c r="AD61" s="299"/>
      <c r="AE61" s="299"/>
      <c r="AF61" s="216"/>
      <c r="AG61" s="216"/>
      <c r="AH61" s="216"/>
      <c r="AI61" s="216"/>
      <c r="AJ61" s="216"/>
      <c r="AK61" s="216"/>
      <c r="AL61" s="216"/>
    </row>
    <row r="62" spans="1:38" ht="10.8">
      <c r="M62" s="735">
        <v>51</v>
      </c>
      <c r="N62" s="736">
        <v>129</v>
      </c>
      <c r="O62" s="736">
        <v>131.21000670000001</v>
      </c>
      <c r="P62" s="736">
        <v>110.41200259999999</v>
      </c>
      <c r="AD62" s="299"/>
      <c r="AE62" s="299"/>
      <c r="AF62" s="216"/>
      <c r="AG62" s="216"/>
      <c r="AH62" s="216"/>
      <c r="AI62" s="216"/>
      <c r="AJ62" s="216"/>
      <c r="AK62" s="216"/>
      <c r="AL62" s="216"/>
    </row>
    <row r="63" spans="1:38" ht="10.8">
      <c r="M63" s="735">
        <v>52</v>
      </c>
      <c r="N63" s="736">
        <v>130.4810028</v>
      </c>
      <c r="O63" s="736">
        <v>139.86399840000001</v>
      </c>
      <c r="P63" s="736">
        <v>119.1200027</v>
      </c>
      <c r="AD63" s="299"/>
      <c r="AE63" s="299"/>
      <c r="AF63" s="216"/>
      <c r="AG63" s="216"/>
      <c r="AH63" s="216"/>
      <c r="AI63" s="216"/>
      <c r="AJ63" s="216"/>
      <c r="AK63" s="216"/>
      <c r="AL63" s="216"/>
    </row>
    <row r="64" spans="1:38" ht="10.8">
      <c r="M64" s="735">
        <v>53</v>
      </c>
      <c r="N64" s="736"/>
      <c r="O64" s="736">
        <v>146.8090057</v>
      </c>
      <c r="P64" s="747"/>
      <c r="AD64" s="299"/>
      <c r="AE64" s="299"/>
      <c r="AF64" s="216"/>
      <c r="AG64" s="216"/>
      <c r="AH64" s="216"/>
      <c r="AI64" s="216"/>
      <c r="AJ64" s="216"/>
      <c r="AK64" s="216"/>
      <c r="AL64" s="216"/>
    </row>
    <row r="65" spans="13:38">
      <c r="M65" s="278"/>
      <c r="N65" s="278"/>
      <c r="O65" s="278"/>
      <c r="P65" s="278"/>
      <c r="Q65" s="278"/>
      <c r="R65" s="278"/>
      <c r="S65" s="520"/>
      <c r="T65" s="520"/>
      <c r="AD65" s="299"/>
      <c r="AE65" s="29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O61" sqref="O61"/>
    </sheetView>
  </sheetViews>
  <sheetFormatPr baseColWidth="10" defaultColWidth="9.28515625" defaultRowHeight="10.199999999999999"/>
  <cols>
    <col min="10" max="11" width="9.28515625" customWidth="1"/>
    <col min="13" max="13" width="9.28515625" style="520"/>
    <col min="14" max="26" width="9.28515625" style="278"/>
    <col min="27" max="28" width="9.28515625" style="520"/>
    <col min="29" max="31" width="9.28515625" style="330"/>
  </cols>
  <sheetData>
    <row r="1" spans="1:23" ht="11.25" customHeight="1"/>
    <row r="2" spans="1:23" ht="11.25" customHeight="1">
      <c r="A2" s="289"/>
      <c r="B2" s="296"/>
      <c r="C2" s="296"/>
      <c r="D2" s="296"/>
      <c r="E2" s="296"/>
      <c r="F2" s="296"/>
      <c r="G2" s="297"/>
      <c r="H2" s="297"/>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32" t="s">
        <v>258</v>
      </c>
      <c r="T4" s="733" t="s">
        <v>259</v>
      </c>
    </row>
    <row r="5" spans="1:23" ht="11.25" customHeight="1">
      <c r="A5" s="882"/>
      <c r="B5" s="882"/>
      <c r="C5" s="882"/>
      <c r="D5" s="882"/>
      <c r="E5" s="882"/>
      <c r="F5" s="882"/>
      <c r="G5" s="882"/>
      <c r="H5" s="882"/>
      <c r="I5" s="882"/>
      <c r="J5" s="12"/>
      <c r="K5" s="12"/>
      <c r="L5" s="8"/>
      <c r="O5" s="734">
        <v>2018</v>
      </c>
      <c r="P5" s="734">
        <v>2019</v>
      </c>
      <c r="Q5" s="734">
        <v>2020</v>
      </c>
      <c r="R5" s="734">
        <v>2021</v>
      </c>
      <c r="T5" s="734">
        <v>2018</v>
      </c>
      <c r="U5" s="734">
        <v>2019</v>
      </c>
      <c r="V5" s="734">
        <v>2020</v>
      </c>
      <c r="W5" s="734">
        <v>2021</v>
      </c>
    </row>
    <row r="6" spans="1:23" ht="11.25" customHeight="1">
      <c r="A6" s="17"/>
      <c r="B6" s="159"/>
      <c r="C6" s="68"/>
      <c r="D6" s="69"/>
      <c r="E6" s="69"/>
      <c r="F6" s="70"/>
      <c r="G6" s="66"/>
      <c r="H6" s="66"/>
      <c r="I6" s="71"/>
      <c r="J6" s="12"/>
      <c r="K6" s="12"/>
      <c r="L6" s="5"/>
      <c r="N6" s="735">
        <v>1</v>
      </c>
      <c r="O6" s="736">
        <v>34.76</v>
      </c>
      <c r="P6" s="736">
        <v>71.125</v>
      </c>
      <c r="Q6" s="737">
        <v>133.42999267578099</v>
      </c>
      <c r="R6" s="738">
        <v>78.003997799999993</v>
      </c>
      <c r="S6" s="735">
        <v>1</v>
      </c>
      <c r="T6" s="736">
        <v>210.20000000000002</v>
      </c>
      <c r="U6" s="736">
        <v>190.20000426299998</v>
      </c>
      <c r="V6" s="737">
        <v>186.65300035476668</v>
      </c>
      <c r="W6" s="738">
        <v>222.16899967999998</v>
      </c>
    </row>
    <row r="7" spans="1:23" ht="11.25" customHeight="1">
      <c r="A7" s="17"/>
      <c r="B7" s="883"/>
      <c r="C7" s="883"/>
      <c r="D7" s="160"/>
      <c r="E7" s="160"/>
      <c r="F7" s="70"/>
      <c r="G7" s="66"/>
      <c r="H7" s="66"/>
      <c r="I7" s="71"/>
      <c r="J7" s="3"/>
      <c r="K7" s="3"/>
      <c r="L7" s="15"/>
      <c r="N7" s="735">
        <v>2</v>
      </c>
      <c r="O7" s="736">
        <v>47.749000549999998</v>
      </c>
      <c r="P7" s="736">
        <v>79.228996280000004</v>
      </c>
      <c r="Q7" s="737">
        <v>141.27299500000001</v>
      </c>
      <c r="R7" s="738">
        <v>98.037002560000005</v>
      </c>
      <c r="S7" s="735">
        <v>2</v>
      </c>
      <c r="T7" s="736">
        <v>216.70300435500002</v>
      </c>
      <c r="U7" s="736">
        <v>185.80498987600001</v>
      </c>
      <c r="V7" s="737">
        <v>194.494995117</v>
      </c>
      <c r="W7" s="738">
        <v>243.88599584999997</v>
      </c>
    </row>
    <row r="8" spans="1:23" ht="11.25" customHeight="1">
      <c r="A8" s="17"/>
      <c r="B8" s="161"/>
      <c r="C8" s="39"/>
      <c r="D8" s="162"/>
      <c r="E8" s="162"/>
      <c r="F8" s="70"/>
      <c r="G8" s="66"/>
      <c r="H8" s="66"/>
      <c r="I8" s="71"/>
      <c r="J8" s="4"/>
      <c r="K8" s="4"/>
      <c r="L8" s="12"/>
      <c r="N8" s="735">
        <v>3</v>
      </c>
      <c r="O8" s="736">
        <v>67.130996699999997</v>
      </c>
      <c r="P8" s="736">
        <v>106.65</v>
      </c>
      <c r="Q8" s="737">
        <v>151.56199649999999</v>
      </c>
      <c r="R8" s="738">
        <v>137.10699460000001</v>
      </c>
      <c r="S8" s="735">
        <v>3</v>
      </c>
      <c r="T8" s="736">
        <v>232.83600043999999</v>
      </c>
      <c r="U8" s="736">
        <v>190.06000000000003</v>
      </c>
      <c r="V8" s="737">
        <v>212.15300178999999</v>
      </c>
      <c r="W8" s="738">
        <v>260.96799851000003</v>
      </c>
    </row>
    <row r="9" spans="1:23" ht="11.25" customHeight="1">
      <c r="A9" s="17"/>
      <c r="B9" s="161"/>
      <c r="C9" s="39"/>
      <c r="D9" s="162"/>
      <c r="E9" s="162"/>
      <c r="F9" s="70"/>
      <c r="G9" s="66"/>
      <c r="H9" s="66"/>
      <c r="I9" s="71"/>
      <c r="J9" s="3"/>
      <c r="K9" s="6"/>
      <c r="L9" s="15"/>
      <c r="N9" s="735">
        <v>4</v>
      </c>
      <c r="O9" s="736">
        <v>93.789001459999994</v>
      </c>
      <c r="P9" s="736">
        <v>140.34500120000001</v>
      </c>
      <c r="Q9" s="737">
        <v>167.9100037</v>
      </c>
      <c r="R9" s="738">
        <v>187.18600459999999</v>
      </c>
      <c r="S9" s="735">
        <v>4</v>
      </c>
      <c r="T9" s="736">
        <v>271.78000545999998</v>
      </c>
      <c r="U9" s="736">
        <v>198.06799936900001</v>
      </c>
      <c r="V9" s="737">
        <v>213.71899984999999</v>
      </c>
      <c r="W9" s="738">
        <v>282.90399740999999</v>
      </c>
    </row>
    <row r="10" spans="1:23" ht="11.25" customHeight="1">
      <c r="A10" s="17"/>
      <c r="B10" s="161"/>
      <c r="C10" s="39"/>
      <c r="D10" s="162"/>
      <c r="E10" s="162"/>
      <c r="F10" s="70"/>
      <c r="G10" s="66"/>
      <c r="H10" s="66"/>
      <c r="I10" s="71"/>
      <c r="J10" s="3"/>
      <c r="K10" s="3"/>
      <c r="L10" s="15"/>
      <c r="N10" s="735">
        <v>5</v>
      </c>
      <c r="O10" s="736">
        <v>111.01599880000001</v>
      </c>
      <c r="P10" s="736">
        <v>186.18299870000001</v>
      </c>
      <c r="Q10" s="737">
        <v>209.06850435244098</v>
      </c>
      <c r="R10" s="738">
        <v>240.25399780000001</v>
      </c>
      <c r="S10" s="735">
        <v>5</v>
      </c>
      <c r="T10" s="736">
        <v>269.07999802</v>
      </c>
      <c r="U10" s="736">
        <v>217.55805158600003</v>
      </c>
      <c r="V10" s="737">
        <v>219.56099320000001</v>
      </c>
      <c r="W10" s="738">
        <v>283.46798616000001</v>
      </c>
    </row>
    <row r="11" spans="1:23" ht="11.25" customHeight="1">
      <c r="A11" s="17"/>
      <c r="B11" s="162"/>
      <c r="C11" s="39"/>
      <c r="D11" s="162"/>
      <c r="E11" s="162"/>
      <c r="F11" s="70"/>
      <c r="G11" s="66"/>
      <c r="H11" s="66"/>
      <c r="I11" s="71"/>
      <c r="J11" s="3"/>
      <c r="K11" s="3"/>
      <c r="L11" s="15"/>
      <c r="N11" s="735">
        <v>6</v>
      </c>
      <c r="O11" s="736">
        <v>126.6029968</v>
      </c>
      <c r="P11" s="736">
        <v>222.22</v>
      </c>
      <c r="Q11" s="737">
        <v>250.22700500488199</v>
      </c>
      <c r="R11" s="738">
        <v>285.57900999999998</v>
      </c>
      <c r="S11" s="735">
        <v>6</v>
      </c>
      <c r="T11" s="736">
        <v>273.52000047000001</v>
      </c>
      <c r="U11" s="736">
        <v>279.10000000000002</v>
      </c>
      <c r="V11" s="737">
        <v>285.12099838256813</v>
      </c>
      <c r="W11" s="738">
        <v>323.49900059000004</v>
      </c>
    </row>
    <row r="12" spans="1:23" ht="11.25" customHeight="1">
      <c r="A12" s="17"/>
      <c r="B12" s="162"/>
      <c r="C12" s="39"/>
      <c r="D12" s="162"/>
      <c r="E12" s="162"/>
      <c r="F12" s="70"/>
      <c r="G12" s="66"/>
      <c r="H12" s="66"/>
      <c r="I12" s="71"/>
      <c r="J12" s="3"/>
      <c r="K12" s="3"/>
      <c r="L12" s="15"/>
      <c r="N12" s="735">
        <v>7</v>
      </c>
      <c r="O12" s="736">
        <v>135.7250061</v>
      </c>
      <c r="P12" s="736">
        <v>277.02099609999999</v>
      </c>
      <c r="Q12" s="737">
        <v>274.18798829999997</v>
      </c>
      <c r="R12" s="738">
        <v>286.72699999999998</v>
      </c>
      <c r="S12" s="735">
        <v>7</v>
      </c>
      <c r="T12" s="736">
        <v>302.63299941999998</v>
      </c>
      <c r="U12" s="736">
        <v>338.21854399</v>
      </c>
      <c r="V12" s="737">
        <v>329.34199910000001</v>
      </c>
      <c r="W12" s="738">
        <v>323.53270380002277</v>
      </c>
    </row>
    <row r="13" spans="1:23" ht="11.25" customHeight="1">
      <c r="A13" s="17"/>
      <c r="B13" s="162"/>
      <c r="C13" s="39"/>
      <c r="D13" s="162"/>
      <c r="E13" s="162"/>
      <c r="F13" s="70"/>
      <c r="G13" s="66"/>
      <c r="H13" s="66"/>
      <c r="I13" s="71"/>
      <c r="J13" s="4"/>
      <c r="K13" s="4"/>
      <c r="L13" s="12"/>
      <c r="N13" s="735">
        <v>8</v>
      </c>
      <c r="O13" s="736">
        <v>159.2149963</v>
      </c>
      <c r="P13" s="736">
        <v>293.06698610000001</v>
      </c>
      <c r="Q13" s="737">
        <v>291.3330078125</v>
      </c>
      <c r="R13" s="738">
        <v>276.42099999999999</v>
      </c>
      <c r="S13" s="735">
        <v>8</v>
      </c>
      <c r="T13" s="736">
        <v>328.23703</v>
      </c>
      <c r="U13" s="736">
        <v>388.64800643000001</v>
      </c>
      <c r="V13" s="737">
        <v>352.60932731628355</v>
      </c>
      <c r="W13" s="738">
        <v>320.11500000000001</v>
      </c>
    </row>
    <row r="14" spans="1:23" ht="11.25" customHeight="1">
      <c r="A14" s="17"/>
      <c r="B14" s="162"/>
      <c r="C14" s="39"/>
      <c r="D14" s="162"/>
      <c r="E14" s="162"/>
      <c r="F14" s="70"/>
      <c r="G14" s="66"/>
      <c r="H14" s="66"/>
      <c r="I14" s="71"/>
      <c r="J14" s="3"/>
      <c r="K14" s="6"/>
      <c r="L14" s="15"/>
      <c r="N14" s="735">
        <v>9</v>
      </c>
      <c r="O14" s="736">
        <v>186.18299870000001</v>
      </c>
      <c r="P14" s="736">
        <v>294.29501340000002</v>
      </c>
      <c r="Q14" s="737">
        <v>281.57400510000002</v>
      </c>
      <c r="R14" s="738">
        <v>271.92898559570301</v>
      </c>
      <c r="S14" s="735">
        <v>9</v>
      </c>
      <c r="T14" s="736">
        <v>343.54049999999995</v>
      </c>
      <c r="U14" s="736">
        <v>377.13099283000003</v>
      </c>
      <c r="V14" s="737">
        <v>377.95000650999998</v>
      </c>
      <c r="W14" s="738">
        <v>323.68899917602516</v>
      </c>
    </row>
    <row r="15" spans="1:23" ht="11.25" customHeight="1">
      <c r="A15" s="17"/>
      <c r="B15" s="162"/>
      <c r="C15" s="39"/>
      <c r="D15" s="162"/>
      <c r="E15" s="162"/>
      <c r="F15" s="70"/>
      <c r="G15" s="66"/>
      <c r="H15" s="66"/>
      <c r="I15" s="71"/>
      <c r="J15" s="3"/>
      <c r="K15" s="6"/>
      <c r="L15" s="15"/>
      <c r="N15" s="735">
        <v>10</v>
      </c>
      <c r="O15" s="736">
        <v>203.96099849999999</v>
      </c>
      <c r="P15" s="736">
        <v>291.91101070000002</v>
      </c>
      <c r="Q15" s="737">
        <v>277.58898929999998</v>
      </c>
      <c r="R15" s="738">
        <v>283.85998540000003</v>
      </c>
      <c r="S15" s="735">
        <v>10</v>
      </c>
      <c r="T15" s="736">
        <v>371.29100467000001</v>
      </c>
      <c r="U15" s="736">
        <v>385.62499995999997</v>
      </c>
      <c r="V15" s="737">
        <v>383.25900259000002</v>
      </c>
      <c r="W15" s="738">
        <v>329.89599799999996</v>
      </c>
    </row>
    <row r="16" spans="1:23" ht="11.25" customHeight="1">
      <c r="A16" s="17"/>
      <c r="B16" s="162"/>
      <c r="C16" s="39"/>
      <c r="D16" s="162"/>
      <c r="E16" s="162"/>
      <c r="F16" s="70"/>
      <c r="G16" s="66"/>
      <c r="H16" s="66"/>
      <c r="I16" s="71"/>
      <c r="J16" s="3"/>
      <c r="K16" s="6"/>
      <c r="L16" s="15"/>
      <c r="N16" s="735">
        <v>11</v>
      </c>
      <c r="O16" s="736">
        <v>230.18899540000001</v>
      </c>
      <c r="P16" s="736">
        <v>301.204986572265</v>
      </c>
      <c r="Q16" s="737">
        <v>288.4509888</v>
      </c>
      <c r="R16" s="739">
        <v>297.12600709999998</v>
      </c>
      <c r="S16" s="735">
        <v>11</v>
      </c>
      <c r="T16" s="736">
        <v>390.38299555999998</v>
      </c>
      <c r="U16" s="736">
        <v>389.38100242614604</v>
      </c>
      <c r="V16" s="737">
        <v>394.92200288000009</v>
      </c>
      <c r="W16" s="738">
        <v>345.04400820999996</v>
      </c>
    </row>
    <row r="17" spans="1:23" ht="11.25" customHeight="1">
      <c r="A17" s="17"/>
      <c r="B17" s="162"/>
      <c r="C17" s="39"/>
      <c r="D17" s="162"/>
      <c r="E17" s="162"/>
      <c r="F17" s="70"/>
      <c r="G17" s="66"/>
      <c r="H17" s="66"/>
      <c r="I17" s="71"/>
      <c r="J17" s="3"/>
      <c r="K17" s="6"/>
      <c r="L17" s="15"/>
      <c r="N17" s="735">
        <v>12</v>
      </c>
      <c r="O17" s="736">
        <v>282.71701050000001</v>
      </c>
      <c r="P17" s="736">
        <v>310.0090027</v>
      </c>
      <c r="Q17" s="737">
        <v>295.38400268554602</v>
      </c>
      <c r="R17" s="739">
        <v>303.54400629999998</v>
      </c>
      <c r="S17" s="735">
        <v>12</v>
      </c>
      <c r="T17" s="736">
        <v>412.41217171999995</v>
      </c>
      <c r="U17" s="736">
        <v>386.27799791999996</v>
      </c>
      <c r="V17" s="737">
        <v>390.290998458861</v>
      </c>
      <c r="W17" s="738">
        <v>376.08100894</v>
      </c>
    </row>
    <row r="18" spans="1:23" ht="11.25" customHeight="1">
      <c r="A18" s="17"/>
      <c r="B18" s="162"/>
      <c r="C18" s="39"/>
      <c r="D18" s="162"/>
      <c r="E18" s="162"/>
      <c r="F18" s="70"/>
      <c r="G18" s="66"/>
      <c r="H18" s="66"/>
      <c r="I18" s="71"/>
      <c r="J18" s="3"/>
      <c r="K18" s="6"/>
      <c r="L18" s="15"/>
      <c r="N18" s="735">
        <v>13</v>
      </c>
      <c r="O18" s="736">
        <v>329.68899540000001</v>
      </c>
      <c r="P18" s="736">
        <v>333.91799930000002</v>
      </c>
      <c r="Q18" s="737">
        <v>303.54400634765602</v>
      </c>
      <c r="R18" s="739">
        <v>310.60000609999997</v>
      </c>
      <c r="S18" s="735">
        <v>13</v>
      </c>
      <c r="T18" s="736">
        <v>410.83199501000001</v>
      </c>
      <c r="U18" s="736">
        <v>388.98099517000003</v>
      </c>
      <c r="V18" s="737">
        <v>402.17499160766499</v>
      </c>
      <c r="W18" s="738">
        <v>390.74499132000005</v>
      </c>
    </row>
    <row r="19" spans="1:23" ht="11.25" customHeight="1">
      <c r="A19" s="17"/>
      <c r="B19" s="162"/>
      <c r="C19" s="39"/>
      <c r="D19" s="162"/>
      <c r="E19" s="162"/>
      <c r="F19" s="70"/>
      <c r="G19" s="66"/>
      <c r="H19" s="66"/>
      <c r="I19" s="71"/>
      <c r="J19" s="3"/>
      <c r="K19" s="6"/>
      <c r="L19" s="15"/>
      <c r="N19" s="735">
        <v>14</v>
      </c>
      <c r="O19" s="736">
        <v>329.68899540000001</v>
      </c>
      <c r="P19" s="736">
        <v>335.73699950000002</v>
      </c>
      <c r="Q19" s="737">
        <v>296.54501340000002</v>
      </c>
      <c r="R19" s="277"/>
      <c r="S19" s="735">
        <v>14</v>
      </c>
      <c r="T19" s="736">
        <v>403.70400233999999</v>
      </c>
      <c r="U19" s="736">
        <v>393.36499596000004</v>
      </c>
      <c r="V19" s="737">
        <v>398.93495940999998</v>
      </c>
    </row>
    <row r="20" spans="1:23" ht="11.25" customHeight="1">
      <c r="A20" s="17"/>
      <c r="B20" s="162"/>
      <c r="C20" s="39"/>
      <c r="D20" s="162"/>
      <c r="E20" s="162"/>
      <c r="F20" s="70"/>
      <c r="G20" s="66"/>
      <c r="H20" s="66"/>
      <c r="I20" s="71"/>
      <c r="J20" s="3"/>
      <c r="K20" s="6"/>
      <c r="L20" s="15"/>
      <c r="N20" s="735">
        <v>15</v>
      </c>
      <c r="O20" s="736">
        <v>326.67999270000001</v>
      </c>
      <c r="P20" s="736">
        <v>335.73699950000002</v>
      </c>
      <c r="Q20" s="737">
        <v>289.60299680000003</v>
      </c>
      <c r="R20" s="277"/>
      <c r="S20" s="735">
        <v>15</v>
      </c>
      <c r="T20" s="736">
        <v>399.27400204999998</v>
      </c>
      <c r="U20" s="736">
        <v>385.77799804</v>
      </c>
      <c r="V20" s="737">
        <v>388.01895332999999</v>
      </c>
    </row>
    <row r="21" spans="1:23" ht="11.25" customHeight="1">
      <c r="A21" s="17"/>
      <c r="B21" s="162"/>
      <c r="C21" s="39"/>
      <c r="D21" s="162"/>
      <c r="E21" s="162"/>
      <c r="F21" s="70"/>
      <c r="G21" s="66"/>
      <c r="H21" s="66"/>
      <c r="I21" s="71"/>
      <c r="J21" s="3"/>
      <c r="K21" s="7"/>
      <c r="L21" s="16"/>
      <c r="N21" s="735">
        <v>16</v>
      </c>
      <c r="O21" s="736">
        <v>314.7409973</v>
      </c>
      <c r="P21" s="736">
        <v>335.73699950000002</v>
      </c>
      <c r="Q21" s="737">
        <v>285.006012</v>
      </c>
      <c r="R21" s="277"/>
      <c r="S21" s="735">
        <v>16</v>
      </c>
      <c r="T21" s="736">
        <v>394.58499913000003</v>
      </c>
      <c r="U21" s="736">
        <v>385.72399323999997</v>
      </c>
      <c r="V21" s="737">
        <v>383.39695458999995</v>
      </c>
    </row>
    <row r="22" spans="1:23" ht="11.25" customHeight="1">
      <c r="A22" s="77"/>
      <c r="B22" s="162"/>
      <c r="C22" s="39"/>
      <c r="D22" s="162"/>
      <c r="E22" s="162"/>
      <c r="F22" s="70"/>
      <c r="G22" s="66"/>
      <c r="H22" s="66"/>
      <c r="I22" s="71"/>
      <c r="J22" s="3"/>
      <c r="K22" s="6"/>
      <c r="L22" s="15"/>
      <c r="N22" s="735">
        <v>17</v>
      </c>
      <c r="O22" s="736">
        <v>305.89001459999997</v>
      </c>
      <c r="P22" s="736">
        <v>335.73699950000002</v>
      </c>
      <c r="Q22" s="737">
        <v>285.00601196289</v>
      </c>
      <c r="R22" s="277"/>
      <c r="S22" s="735">
        <v>17</v>
      </c>
      <c r="T22" s="736">
        <v>392.29800030000007</v>
      </c>
      <c r="U22" s="736">
        <v>388.74200823000001</v>
      </c>
      <c r="V22" s="737">
        <v>381.56399345397853</v>
      </c>
    </row>
    <row r="23" spans="1:23" ht="11.25" customHeight="1">
      <c r="A23" s="77"/>
      <c r="B23" s="162"/>
      <c r="C23" s="39"/>
      <c r="D23" s="162"/>
      <c r="E23" s="162"/>
      <c r="F23" s="70"/>
      <c r="G23" s="66"/>
      <c r="H23" s="66"/>
      <c r="I23" s="71"/>
      <c r="J23" s="3"/>
      <c r="K23" s="6"/>
      <c r="L23" s="15"/>
      <c r="N23" s="735">
        <v>18</v>
      </c>
      <c r="O23" s="736">
        <v>314.7409973</v>
      </c>
      <c r="P23" s="736">
        <v>335.73699950000002</v>
      </c>
      <c r="Q23" s="737">
        <v>285.006012</v>
      </c>
      <c r="R23" s="277"/>
      <c r="S23" s="735">
        <v>18</v>
      </c>
      <c r="T23" s="736">
        <v>390.15600400999995</v>
      </c>
      <c r="U23" s="736">
        <v>386.49800113000003</v>
      </c>
      <c r="V23" s="737">
        <v>379.87400246999994</v>
      </c>
    </row>
    <row r="24" spans="1:23" ht="11.25" customHeight="1">
      <c r="A24" s="77"/>
      <c r="B24" s="162"/>
      <c r="C24" s="39"/>
      <c r="D24" s="162"/>
      <c r="E24" s="162"/>
      <c r="F24" s="70"/>
      <c r="G24" s="66"/>
      <c r="H24" s="66"/>
      <c r="I24" s="71"/>
      <c r="J24" s="6"/>
      <c r="K24" s="6"/>
      <c r="L24" s="15"/>
      <c r="N24" s="735">
        <v>19</v>
      </c>
      <c r="O24" s="736">
        <v>314.7409973</v>
      </c>
      <c r="P24" s="736">
        <v>314.7409973</v>
      </c>
      <c r="Q24" s="737">
        <v>314.7409973</v>
      </c>
      <c r="R24" s="277"/>
      <c r="S24" s="735">
        <v>19</v>
      </c>
      <c r="T24" s="736">
        <v>386.47099490999994</v>
      </c>
      <c r="U24" s="736">
        <v>384.38200000000001</v>
      </c>
      <c r="V24" s="737">
        <v>375.69400404000004</v>
      </c>
    </row>
    <row r="25" spans="1:23" ht="11.25" customHeight="1">
      <c r="A25" s="264" t="s">
        <v>591</v>
      </c>
      <c r="B25" s="162"/>
      <c r="C25" s="39"/>
      <c r="D25" s="162"/>
      <c r="E25" s="162"/>
      <c r="F25" s="70"/>
      <c r="G25" s="66"/>
      <c r="H25" s="66"/>
      <c r="I25" s="71"/>
      <c r="J25" s="3"/>
      <c r="K25" s="7"/>
      <c r="L25" s="16"/>
      <c r="N25" s="740">
        <v>20</v>
      </c>
      <c r="O25" s="736">
        <v>314.7409973</v>
      </c>
      <c r="P25" s="736">
        <v>315.3340149</v>
      </c>
      <c r="Q25" s="737">
        <v>314.14801030000001</v>
      </c>
      <c r="R25" s="277"/>
      <c r="S25" s="735">
        <v>20</v>
      </c>
      <c r="T25" s="736">
        <v>382.00799562999993</v>
      </c>
      <c r="U25" s="736">
        <v>381.56399727000002</v>
      </c>
      <c r="V25" s="737">
        <v>370.56599616999995</v>
      </c>
      <c r="W25" s="741"/>
    </row>
    <row r="26" spans="1:23" ht="11.25" customHeight="1">
      <c r="A26" s="54"/>
      <c r="B26" s="162"/>
      <c r="C26" s="39"/>
      <c r="D26" s="162"/>
      <c r="E26" s="162"/>
      <c r="F26" s="70"/>
      <c r="G26" s="66"/>
      <c r="H26" s="66"/>
      <c r="I26" s="71"/>
      <c r="J26" s="4"/>
      <c r="K26" s="6"/>
      <c r="L26" s="15"/>
      <c r="N26" s="735">
        <v>21</v>
      </c>
      <c r="O26" s="736">
        <v>314.7409973</v>
      </c>
      <c r="P26" s="736">
        <v>311.78100590000003</v>
      </c>
      <c r="Q26" s="737">
        <v>312.37200927734301</v>
      </c>
      <c r="R26" s="742"/>
      <c r="S26" s="735">
        <v>21</v>
      </c>
      <c r="T26" s="736">
        <v>378.52099610999994</v>
      </c>
      <c r="U26" s="736">
        <v>376.47088237999998</v>
      </c>
      <c r="V26" s="737">
        <v>365.52200794219863</v>
      </c>
    </row>
    <row r="27" spans="1:23" ht="11.25" customHeight="1">
      <c r="A27" s="77"/>
      <c r="B27" s="162"/>
      <c r="C27" s="39"/>
      <c r="D27" s="162"/>
      <c r="E27" s="162"/>
      <c r="F27" s="73"/>
      <c r="G27" s="73"/>
      <c r="H27" s="73"/>
      <c r="I27" s="73"/>
      <c r="J27" s="4"/>
      <c r="K27" s="6"/>
      <c r="L27" s="15"/>
      <c r="N27" s="735">
        <v>22</v>
      </c>
      <c r="O27" s="736">
        <v>311.78100590000003</v>
      </c>
      <c r="P27" s="736">
        <v>310.60000609999997</v>
      </c>
      <c r="Q27" s="737">
        <v>310.60000609999997</v>
      </c>
      <c r="R27" s="742"/>
      <c r="S27" s="735">
        <v>22</v>
      </c>
      <c r="T27" s="736">
        <v>375.20999716</v>
      </c>
      <c r="U27" s="736">
        <v>370.73099807</v>
      </c>
      <c r="V27" s="737">
        <v>359.19900507300002</v>
      </c>
    </row>
    <row r="28" spans="1:23" ht="11.25" customHeight="1">
      <c r="A28" s="77"/>
      <c r="B28" s="162"/>
      <c r="C28" s="39"/>
      <c r="D28" s="162"/>
      <c r="E28" s="162"/>
      <c r="F28" s="73"/>
      <c r="G28" s="73"/>
      <c r="H28" s="73"/>
      <c r="I28" s="73"/>
      <c r="J28" s="4"/>
      <c r="K28" s="6"/>
      <c r="L28" s="15"/>
      <c r="N28" s="735">
        <v>23</v>
      </c>
      <c r="O28" s="736">
        <v>308.82998659999998</v>
      </c>
      <c r="P28" s="736">
        <v>307.06500240000003</v>
      </c>
      <c r="Q28" s="737">
        <v>307.06500240000003</v>
      </c>
      <c r="R28" s="742"/>
      <c r="S28" s="735">
        <v>23</v>
      </c>
      <c r="T28" s="736">
        <v>374.07600211999994</v>
      </c>
      <c r="U28" s="736">
        <v>363.24299430999997</v>
      </c>
      <c r="V28" s="737">
        <v>354.24799921000005</v>
      </c>
    </row>
    <row r="29" spans="1:23" ht="11.25" customHeight="1">
      <c r="A29" s="77"/>
      <c r="B29" s="162"/>
      <c r="C29" s="39"/>
      <c r="D29" s="162"/>
      <c r="E29" s="162"/>
      <c r="F29" s="73"/>
      <c r="G29" s="73"/>
      <c r="H29" s="73"/>
      <c r="I29" s="73"/>
      <c r="J29" s="4"/>
      <c r="K29" s="6"/>
      <c r="L29" s="15"/>
      <c r="N29" s="735">
        <v>24</v>
      </c>
      <c r="O29" s="736">
        <v>300.0379944</v>
      </c>
      <c r="P29" s="736">
        <v>302.9590149</v>
      </c>
      <c r="Q29" s="737">
        <v>300.621002197265</v>
      </c>
      <c r="R29" s="742"/>
      <c r="S29" s="735">
        <v>24</v>
      </c>
      <c r="T29" s="736">
        <v>370.89200402</v>
      </c>
      <c r="U29" s="736">
        <v>357.21200376000002</v>
      </c>
      <c r="V29" s="737">
        <v>348.87000203132561</v>
      </c>
    </row>
    <row r="30" spans="1:23" ht="11.25" customHeight="1">
      <c r="A30" s="74"/>
      <c r="B30" s="73"/>
      <c r="C30" s="73"/>
      <c r="D30" s="73"/>
      <c r="E30" s="73"/>
      <c r="F30" s="73"/>
      <c r="G30" s="73"/>
      <c r="H30" s="73"/>
      <c r="I30" s="73"/>
      <c r="J30" s="3"/>
      <c r="K30" s="6"/>
      <c r="L30" s="15"/>
      <c r="N30" s="735">
        <v>25</v>
      </c>
      <c r="O30" s="736">
        <v>294.22500609999997</v>
      </c>
      <c r="P30" s="736">
        <v>300.0379944</v>
      </c>
      <c r="Q30" s="737">
        <v>286.72698969999999</v>
      </c>
      <c r="R30" s="742"/>
      <c r="S30" s="735">
        <v>25</v>
      </c>
      <c r="T30" s="736">
        <v>366.71700096999996</v>
      </c>
      <c r="U30" s="736">
        <v>352.1909981</v>
      </c>
      <c r="V30" s="737">
        <v>343.83099551700002</v>
      </c>
    </row>
    <row r="31" spans="1:23" ht="11.25" customHeight="1">
      <c r="A31" s="74"/>
      <c r="B31" s="73"/>
      <c r="C31" s="73"/>
      <c r="D31" s="73"/>
      <c r="E31" s="73"/>
      <c r="F31" s="73"/>
      <c r="G31" s="73"/>
      <c r="H31" s="73"/>
      <c r="I31" s="73"/>
      <c r="J31" s="3"/>
      <c r="K31" s="6"/>
      <c r="L31" s="15"/>
      <c r="N31" s="735">
        <v>26</v>
      </c>
      <c r="O31" s="736">
        <v>282.71701050000001</v>
      </c>
      <c r="P31" s="736">
        <v>296.06698610000001</v>
      </c>
      <c r="Q31" s="737">
        <v>266.86801150000002</v>
      </c>
      <c r="R31" s="742"/>
      <c r="S31" s="735">
        <v>26</v>
      </c>
      <c r="T31" s="736">
        <v>361.43599508999995</v>
      </c>
      <c r="U31" s="736">
        <v>346.62612917400003</v>
      </c>
      <c r="V31" s="737">
        <v>338.47100355099997</v>
      </c>
    </row>
    <row r="32" spans="1:23" ht="11.25" customHeight="1">
      <c r="A32" s="74"/>
      <c r="B32" s="73"/>
      <c r="C32" s="73"/>
      <c r="D32" s="73"/>
      <c r="E32" s="73"/>
      <c r="F32" s="73"/>
      <c r="G32" s="73"/>
      <c r="H32" s="73"/>
      <c r="I32" s="73"/>
      <c r="J32" s="3"/>
      <c r="K32" s="6"/>
      <c r="L32" s="15"/>
      <c r="N32" s="735">
        <v>27</v>
      </c>
      <c r="O32" s="736">
        <v>271.36</v>
      </c>
      <c r="P32" s="736">
        <v>275.89</v>
      </c>
      <c r="Q32" s="737">
        <v>255.73500061035099</v>
      </c>
      <c r="R32" s="742"/>
      <c r="S32" s="735">
        <v>27</v>
      </c>
      <c r="T32" s="736">
        <v>355.34</v>
      </c>
      <c r="U32" s="736">
        <v>341.25900444999996</v>
      </c>
      <c r="V32" s="737">
        <v>333.23996639251612</v>
      </c>
    </row>
    <row r="33" spans="1:22" ht="11.25" customHeight="1">
      <c r="A33" s="74"/>
      <c r="B33" s="73"/>
      <c r="C33" s="73"/>
      <c r="D33" s="73"/>
      <c r="E33" s="73"/>
      <c r="F33" s="73"/>
      <c r="G33" s="73"/>
      <c r="H33" s="73"/>
      <c r="I33" s="73"/>
      <c r="J33" s="3"/>
      <c r="K33" s="6"/>
      <c r="L33" s="15"/>
      <c r="N33" s="735">
        <v>28</v>
      </c>
      <c r="O33" s="736">
        <v>260.16900629999998</v>
      </c>
      <c r="P33" s="743">
        <v>248.58200070000001</v>
      </c>
      <c r="Q33" s="737">
        <v>244.7590027</v>
      </c>
      <c r="R33" s="742"/>
      <c r="S33" s="735">
        <v>28</v>
      </c>
      <c r="T33" s="736">
        <v>349.01599981000004</v>
      </c>
      <c r="U33" s="736">
        <v>337.18899436699996</v>
      </c>
      <c r="V33" s="737">
        <v>327.71050074999999</v>
      </c>
    </row>
    <row r="34" spans="1:22" ht="11.25" customHeight="1">
      <c r="A34" s="74"/>
      <c r="B34" s="73"/>
      <c r="C34" s="73"/>
      <c r="D34" s="73"/>
      <c r="E34" s="73"/>
      <c r="F34" s="73"/>
      <c r="G34" s="73"/>
      <c r="H34" s="73"/>
      <c r="I34" s="73"/>
      <c r="J34" s="3"/>
      <c r="K34" s="6"/>
      <c r="L34" s="15"/>
      <c r="N34" s="735">
        <v>29</v>
      </c>
      <c r="O34" s="736">
        <v>251.88</v>
      </c>
      <c r="P34" s="736">
        <v>238.787994384765</v>
      </c>
      <c r="Q34" s="737">
        <v>231.25799559999999</v>
      </c>
      <c r="R34" s="742"/>
      <c r="S34" s="735">
        <v>29</v>
      </c>
      <c r="T34" s="736">
        <v>343.97999999999996</v>
      </c>
      <c r="U34" s="736">
        <v>333.50600986443789</v>
      </c>
      <c r="V34" s="737">
        <v>322.11699965099996</v>
      </c>
    </row>
    <row r="35" spans="1:22" ht="11.25" customHeight="1">
      <c r="A35" s="74"/>
      <c r="B35" s="73"/>
      <c r="C35" s="73"/>
      <c r="D35" s="73"/>
      <c r="E35" s="73"/>
      <c r="F35" s="73"/>
      <c r="G35" s="73"/>
      <c r="H35" s="73"/>
      <c r="I35" s="73"/>
      <c r="J35" s="6"/>
      <c r="K35" s="6"/>
      <c r="L35" s="15"/>
      <c r="N35" s="735">
        <v>30</v>
      </c>
      <c r="O35" s="736">
        <v>232.8650055</v>
      </c>
      <c r="P35" s="736">
        <v>229.12</v>
      </c>
      <c r="Q35" s="737">
        <v>219.58000179999999</v>
      </c>
      <c r="R35" s="742"/>
      <c r="S35" s="735">
        <v>30</v>
      </c>
      <c r="T35" s="736">
        <v>342.06599807739167</v>
      </c>
      <c r="U35" s="736">
        <v>324.04999999999995</v>
      </c>
      <c r="V35" s="737">
        <v>316.39600081599997</v>
      </c>
    </row>
    <row r="36" spans="1:22" ht="11.25" customHeight="1">
      <c r="A36" s="74"/>
      <c r="B36" s="73"/>
      <c r="C36" s="73"/>
      <c r="D36" s="73"/>
      <c r="E36" s="73"/>
      <c r="F36" s="73"/>
      <c r="G36" s="73"/>
      <c r="H36" s="73"/>
      <c r="I36" s="73"/>
      <c r="J36" s="3"/>
      <c r="K36" s="6"/>
      <c r="L36" s="15"/>
      <c r="N36" s="735">
        <v>31</v>
      </c>
      <c r="O36" s="736">
        <v>211.726</v>
      </c>
      <c r="P36" s="736">
        <v>219.05400090000001</v>
      </c>
      <c r="Q36" s="737">
        <v>209.128006</v>
      </c>
      <c r="R36" s="742"/>
      <c r="S36" s="735">
        <v>31</v>
      </c>
      <c r="T36" s="736">
        <v>335.23199999999997</v>
      </c>
      <c r="U36" s="736">
        <v>318.10600236499999</v>
      </c>
      <c r="V36" s="737">
        <v>310.66199637099999</v>
      </c>
    </row>
    <row r="37" spans="1:22" ht="11.25" customHeight="1">
      <c r="A37" s="74"/>
      <c r="B37" s="73"/>
      <c r="C37" s="73"/>
      <c r="D37" s="73"/>
      <c r="E37" s="73"/>
      <c r="F37" s="73"/>
      <c r="G37" s="73"/>
      <c r="H37" s="73"/>
      <c r="I37" s="73"/>
      <c r="J37" s="3"/>
      <c r="K37" s="10"/>
      <c r="L37" s="15"/>
      <c r="N37" s="735">
        <v>32</v>
      </c>
      <c r="O37" s="736">
        <v>181.19200129999999</v>
      </c>
      <c r="P37" s="736">
        <v>209.128006</v>
      </c>
      <c r="Q37" s="737">
        <v>201.39199830000001</v>
      </c>
      <c r="R37" s="277"/>
      <c r="S37" s="735">
        <v>32</v>
      </c>
      <c r="T37" s="736">
        <v>329.56800555999996</v>
      </c>
      <c r="U37" s="736">
        <v>312.078003352</v>
      </c>
      <c r="V37" s="737">
        <v>304.63100243800005</v>
      </c>
    </row>
    <row r="38" spans="1:22" ht="11.25" customHeight="1">
      <c r="A38" s="74"/>
      <c r="B38" s="73"/>
      <c r="C38" s="73"/>
      <c r="D38" s="73"/>
      <c r="E38" s="73"/>
      <c r="F38" s="73"/>
      <c r="G38" s="73"/>
      <c r="H38" s="73"/>
      <c r="I38" s="73"/>
      <c r="J38" s="3"/>
      <c r="K38" s="10"/>
      <c r="L38" s="38"/>
      <c r="N38" s="735">
        <v>33</v>
      </c>
      <c r="O38" s="736">
        <v>152.0650024</v>
      </c>
      <c r="P38" s="736">
        <v>199.85499569999999</v>
      </c>
      <c r="Q38" s="737">
        <v>189.6999969</v>
      </c>
      <c r="R38" s="277"/>
      <c r="S38" s="735">
        <v>33</v>
      </c>
      <c r="T38" s="736">
        <v>323.79099748000004</v>
      </c>
      <c r="U38" s="736">
        <v>312.078003352</v>
      </c>
      <c r="V38" s="737">
        <v>299.14499665</v>
      </c>
    </row>
    <row r="39" spans="1:22" ht="11.25" customHeight="1">
      <c r="A39" s="74"/>
      <c r="B39" s="73"/>
      <c r="C39" s="73"/>
      <c r="D39" s="73"/>
      <c r="E39" s="73"/>
      <c r="F39" s="73"/>
      <c r="G39" s="73"/>
      <c r="H39" s="73"/>
      <c r="I39" s="73"/>
      <c r="J39" s="3"/>
      <c r="K39" s="7"/>
      <c r="L39" s="15"/>
      <c r="N39" s="735">
        <v>34</v>
      </c>
      <c r="O39" s="736">
        <v>156.8220062</v>
      </c>
      <c r="P39" s="736">
        <v>188.69299319999999</v>
      </c>
      <c r="Q39" s="737">
        <v>178.71099849999999</v>
      </c>
      <c r="R39" s="277"/>
      <c r="S39" s="735">
        <v>34</v>
      </c>
      <c r="T39" s="736">
        <v>317.64699750999995</v>
      </c>
      <c r="U39" s="736">
        <v>299.58200316099999</v>
      </c>
      <c r="V39" s="737">
        <v>293.22399712800001</v>
      </c>
    </row>
    <row r="40" spans="1:22" ht="11.25" customHeight="1">
      <c r="A40" s="74"/>
      <c r="B40" s="73"/>
      <c r="C40" s="73"/>
      <c r="D40" s="73"/>
      <c r="E40" s="73"/>
      <c r="F40" s="73"/>
      <c r="G40" s="73"/>
      <c r="H40" s="73"/>
      <c r="I40" s="73"/>
      <c r="J40" s="3"/>
      <c r="K40" s="7"/>
      <c r="L40" s="15"/>
      <c r="N40" s="735">
        <v>35</v>
      </c>
      <c r="O40" s="736">
        <v>156.82</v>
      </c>
      <c r="P40" s="744">
        <v>177.72099299999999</v>
      </c>
      <c r="Q40" s="737">
        <v>167.91000366210901</v>
      </c>
      <c r="R40" s="277"/>
      <c r="S40" s="735">
        <v>35</v>
      </c>
      <c r="T40" s="736">
        <v>311.42</v>
      </c>
      <c r="U40" s="736">
        <v>292.71899843200003</v>
      </c>
      <c r="V40" s="737">
        <v>287.11000061035065</v>
      </c>
    </row>
    <row r="41" spans="1:22" ht="11.25" customHeight="1">
      <c r="A41" s="74"/>
      <c r="B41" s="73"/>
      <c r="C41" s="73"/>
      <c r="D41" s="73"/>
      <c r="E41" s="73"/>
      <c r="F41" s="73"/>
      <c r="G41" s="73"/>
      <c r="H41" s="73"/>
      <c r="I41" s="73"/>
      <c r="J41" s="3"/>
      <c r="K41" s="7"/>
      <c r="L41" s="15"/>
      <c r="N41" s="735">
        <v>36</v>
      </c>
      <c r="O41" s="736">
        <v>159.21</v>
      </c>
      <c r="P41" s="744">
        <v>164.99800110000001</v>
      </c>
      <c r="Q41" s="737">
        <v>158.25599670410099</v>
      </c>
      <c r="R41" s="277"/>
      <c r="S41" s="735">
        <v>36</v>
      </c>
      <c r="T41" s="736">
        <v>305.20999999999998</v>
      </c>
      <c r="U41" s="736">
        <v>286.64699412499999</v>
      </c>
      <c r="V41" s="737">
        <v>280.34500217437699</v>
      </c>
    </row>
    <row r="42" spans="1:22" ht="11.25" customHeight="1">
      <c r="A42" s="74"/>
      <c r="B42" s="73"/>
      <c r="C42" s="73"/>
      <c r="D42" s="73"/>
      <c r="E42" s="73"/>
      <c r="F42" s="73"/>
      <c r="G42" s="73"/>
      <c r="H42" s="73"/>
      <c r="I42" s="73"/>
      <c r="J42" s="6"/>
      <c r="K42" s="10"/>
      <c r="L42" s="15"/>
      <c r="N42" s="735">
        <v>37</v>
      </c>
      <c r="O42" s="736">
        <v>159.2149963</v>
      </c>
      <c r="P42" s="744">
        <v>154.53400055</v>
      </c>
      <c r="Q42" s="737">
        <v>147.34800720214801</v>
      </c>
      <c r="R42" s="277"/>
      <c r="S42" s="735">
        <v>37</v>
      </c>
      <c r="T42" s="736">
        <v>299.17000225600003</v>
      </c>
      <c r="U42" s="736">
        <v>280.605003845</v>
      </c>
      <c r="V42" s="737">
        <v>273.90200042724575</v>
      </c>
    </row>
    <row r="43" spans="1:22" ht="11.25" customHeight="1">
      <c r="A43" s="74"/>
      <c r="B43" s="73"/>
      <c r="C43" s="73"/>
      <c r="D43" s="73"/>
      <c r="E43" s="73"/>
      <c r="F43" s="73"/>
      <c r="G43" s="73"/>
      <c r="H43" s="73"/>
      <c r="I43" s="73"/>
      <c r="J43" s="3"/>
      <c r="K43" s="10"/>
      <c r="L43" s="15"/>
      <c r="N43" s="735">
        <v>38</v>
      </c>
      <c r="O43" s="736">
        <v>149.70199579999999</v>
      </c>
      <c r="P43" s="744">
        <v>144.07</v>
      </c>
      <c r="Q43" s="737">
        <v>136.64599609375</v>
      </c>
      <c r="R43" s="277"/>
      <c r="S43" s="735">
        <v>38</v>
      </c>
      <c r="T43" s="736">
        <v>292.45899891799996</v>
      </c>
      <c r="U43" s="736">
        <v>274.21999999999997</v>
      </c>
      <c r="V43" s="737">
        <v>267.16300058364783</v>
      </c>
    </row>
    <row r="44" spans="1:22" ht="11.25" customHeight="1">
      <c r="A44" s="74"/>
      <c r="B44" s="73"/>
      <c r="C44" s="73"/>
      <c r="D44" s="73"/>
      <c r="E44" s="73"/>
      <c r="F44" s="73"/>
      <c r="G44" s="73"/>
      <c r="H44" s="73"/>
      <c r="I44" s="73"/>
      <c r="J44" s="3"/>
      <c r="K44" s="10"/>
      <c r="L44" s="15"/>
      <c r="N44" s="735">
        <v>39</v>
      </c>
      <c r="O44" s="736">
        <v>117.6380005</v>
      </c>
      <c r="P44" s="744">
        <v>135.725006103515</v>
      </c>
      <c r="Q44" s="737">
        <v>131.14500430000001</v>
      </c>
      <c r="R44" s="277"/>
      <c r="S44" s="735">
        <v>39</v>
      </c>
      <c r="T44" s="736">
        <v>286.11999916000002</v>
      </c>
      <c r="U44" s="736">
        <v>267.58499765396107</v>
      </c>
      <c r="V44" s="737">
        <v>262.426999588</v>
      </c>
    </row>
    <row r="45" spans="1:22" ht="11.25" customHeight="1">
      <c r="A45" s="74"/>
      <c r="B45" s="73"/>
      <c r="C45" s="73"/>
      <c r="D45" s="73"/>
      <c r="E45" s="73"/>
      <c r="F45" s="73"/>
      <c r="G45" s="73"/>
      <c r="H45" s="73"/>
      <c r="I45" s="73"/>
      <c r="J45" s="11"/>
      <c r="K45" s="11"/>
      <c r="L45" s="11"/>
      <c r="N45" s="735">
        <v>40</v>
      </c>
      <c r="O45" s="736">
        <v>91.680000309999997</v>
      </c>
      <c r="P45" s="736">
        <v>127.0559998</v>
      </c>
      <c r="Q45" s="737">
        <v>120.7580032</v>
      </c>
      <c r="R45" s="277"/>
      <c r="S45" s="735">
        <v>40</v>
      </c>
      <c r="T45" s="736">
        <v>278.57999837699998</v>
      </c>
      <c r="U45" s="736">
        <v>260.96199703900004</v>
      </c>
      <c r="V45" s="737">
        <v>258.968997</v>
      </c>
    </row>
    <row r="46" spans="1:22" ht="11.25" customHeight="1">
      <c r="A46" s="74"/>
      <c r="B46" s="73"/>
      <c r="C46" s="73"/>
      <c r="D46" s="73"/>
      <c r="E46" s="73"/>
      <c r="F46" s="73"/>
      <c r="G46" s="73"/>
      <c r="H46" s="73"/>
      <c r="I46" s="73"/>
      <c r="J46" s="11"/>
      <c r="K46" s="11"/>
      <c r="L46" s="11"/>
      <c r="N46" s="735">
        <v>41</v>
      </c>
      <c r="O46" s="736">
        <v>71.125</v>
      </c>
      <c r="P46" s="736">
        <v>110.13999939999999</v>
      </c>
      <c r="Q46" s="737">
        <v>102.3249969</v>
      </c>
      <c r="R46" s="277"/>
      <c r="S46" s="735">
        <v>41</v>
      </c>
      <c r="T46" s="736">
        <v>271.23250496387476</v>
      </c>
      <c r="U46" s="736">
        <v>253.29600046600001</v>
      </c>
      <c r="V46" s="737">
        <v>255.76199719799999</v>
      </c>
    </row>
    <row r="47" spans="1:22" ht="11.25" customHeight="1">
      <c r="A47" s="74"/>
      <c r="B47" s="73"/>
      <c r="C47" s="73"/>
      <c r="D47" s="73"/>
      <c r="E47" s="73"/>
      <c r="F47" s="73"/>
      <c r="G47" s="73"/>
      <c r="H47" s="73"/>
      <c r="I47" s="73"/>
      <c r="J47" s="11"/>
      <c r="K47" s="11"/>
      <c r="L47" s="11"/>
      <c r="N47" s="735">
        <v>42</v>
      </c>
      <c r="O47" s="736">
        <v>59.261001586913999</v>
      </c>
      <c r="P47" s="736">
        <v>100.61</v>
      </c>
      <c r="Q47" s="737">
        <v>92.944999694824205</v>
      </c>
      <c r="R47" s="277"/>
      <c r="S47" s="735">
        <v>42</v>
      </c>
      <c r="T47" s="736">
        <v>256.27199935913058</v>
      </c>
      <c r="U47" s="736">
        <v>246.06</v>
      </c>
      <c r="V47" s="737">
        <v>251.31199836730943</v>
      </c>
    </row>
    <row r="48" spans="1:22" ht="11.25" customHeight="1">
      <c r="A48" s="74"/>
      <c r="B48" s="73"/>
      <c r="C48" s="73"/>
      <c r="D48" s="73"/>
      <c r="E48" s="73"/>
      <c r="F48" s="73"/>
      <c r="G48" s="73"/>
      <c r="H48" s="73"/>
      <c r="I48" s="73"/>
      <c r="J48" s="11"/>
      <c r="K48" s="11"/>
      <c r="L48" s="11"/>
      <c r="N48" s="735">
        <v>43</v>
      </c>
      <c r="O48" s="736">
        <v>47.749000549316399</v>
      </c>
      <c r="P48" s="736">
        <v>95.484001160000005</v>
      </c>
      <c r="Q48" s="737">
        <v>84.166999820000001</v>
      </c>
      <c r="R48" s="277"/>
      <c r="S48" s="735">
        <v>43</v>
      </c>
      <c r="T48" s="736">
        <v>249.67099761962871</v>
      </c>
      <c r="U48" s="736">
        <v>241.02699661899999</v>
      </c>
      <c r="V48" s="737">
        <v>245.88199755799999</v>
      </c>
    </row>
    <row r="49" spans="1:22" ht="11.25" customHeight="1">
      <c r="A49" s="74"/>
      <c r="B49" s="73"/>
      <c r="C49" s="73"/>
      <c r="D49" s="73"/>
      <c r="E49" s="73"/>
      <c r="F49" s="73"/>
      <c r="G49" s="73"/>
      <c r="H49" s="73"/>
      <c r="I49" s="73"/>
      <c r="J49" s="11"/>
      <c r="K49" s="11"/>
      <c r="L49" s="11"/>
      <c r="N49" s="735">
        <v>44</v>
      </c>
      <c r="O49" s="736">
        <v>38.424999239999998</v>
      </c>
      <c r="P49" s="736">
        <v>89.581001279999995</v>
      </c>
      <c r="Q49" s="737">
        <v>82.51499939</v>
      </c>
      <c r="R49" s="277"/>
      <c r="S49" s="735">
        <v>44</v>
      </c>
      <c r="T49" s="736">
        <v>249.67099761962871</v>
      </c>
      <c r="U49" s="736">
        <v>234.19399833099999</v>
      </c>
      <c r="V49" s="737">
        <v>239.051002463</v>
      </c>
    </row>
    <row r="50" spans="1:22" ht="13.2">
      <c r="A50" s="74"/>
      <c r="B50" s="73"/>
      <c r="C50" s="73"/>
      <c r="D50" s="73"/>
      <c r="E50" s="73"/>
      <c r="F50" s="73"/>
      <c r="G50" s="73"/>
      <c r="H50" s="73"/>
      <c r="I50" s="73"/>
      <c r="J50" s="11"/>
      <c r="K50" s="11"/>
      <c r="L50" s="11"/>
      <c r="N50" s="735">
        <v>45</v>
      </c>
      <c r="O50" s="736">
        <v>31.142000199999998</v>
      </c>
      <c r="P50" s="736">
        <v>79.638999940000005</v>
      </c>
      <c r="Q50" s="737">
        <v>72.33000183</v>
      </c>
      <c r="R50" s="277"/>
      <c r="S50" s="735">
        <v>45</v>
      </c>
      <c r="T50" s="736">
        <v>243.378839739</v>
      </c>
      <c r="U50" s="736">
        <v>228.64612817499997</v>
      </c>
      <c r="V50" s="737">
        <v>232.679000852</v>
      </c>
    </row>
    <row r="51" spans="1:22" ht="13.2">
      <c r="A51" s="74"/>
      <c r="B51" s="73"/>
      <c r="C51" s="73"/>
      <c r="D51" s="73"/>
      <c r="E51" s="73"/>
      <c r="F51" s="73"/>
      <c r="G51" s="73"/>
      <c r="H51" s="73"/>
      <c r="I51" s="73"/>
      <c r="J51" s="11"/>
      <c r="K51" s="11"/>
      <c r="L51" s="11"/>
      <c r="N51" s="735">
        <v>46</v>
      </c>
      <c r="O51" s="736">
        <v>22.26</v>
      </c>
      <c r="P51" s="736">
        <v>80.049003600000006</v>
      </c>
      <c r="Q51" s="737">
        <v>57.318000789999999</v>
      </c>
      <c r="R51" s="277"/>
      <c r="S51" s="735">
        <v>46</v>
      </c>
      <c r="T51" s="736">
        <v>236.34</v>
      </c>
      <c r="U51" s="736">
        <v>222.81199835999999</v>
      </c>
      <c r="V51" s="737">
        <v>225.80399990800001</v>
      </c>
    </row>
    <row r="52" spans="1:22" ht="13.2">
      <c r="A52" s="74"/>
      <c r="B52" s="73"/>
      <c r="C52" s="73"/>
      <c r="D52" s="73"/>
      <c r="E52" s="73"/>
      <c r="F52" s="73"/>
      <c r="G52" s="73"/>
      <c r="H52" s="73"/>
      <c r="I52" s="73"/>
      <c r="J52" s="11"/>
      <c r="K52" s="11"/>
      <c r="L52" s="11"/>
      <c r="N52" s="735">
        <v>47</v>
      </c>
      <c r="O52" s="736">
        <v>17.044000629999999</v>
      </c>
      <c r="P52" s="736">
        <v>85.825996399999994</v>
      </c>
      <c r="Q52" s="737">
        <v>44.738998410000001</v>
      </c>
      <c r="R52" s="277"/>
      <c r="S52" s="735">
        <v>47</v>
      </c>
      <c r="T52" s="736">
        <v>227.62000255999999</v>
      </c>
      <c r="U52" s="736">
        <v>216.31200409100001</v>
      </c>
      <c r="V52" s="737">
        <v>219.24500608799997</v>
      </c>
    </row>
    <row r="53" spans="1:22" ht="13.2">
      <c r="A53" s="74"/>
      <c r="B53" s="73"/>
      <c r="C53" s="73"/>
      <c r="D53" s="73"/>
      <c r="E53" s="73"/>
      <c r="F53" s="73"/>
      <c r="G53" s="73"/>
      <c r="H53" s="73"/>
      <c r="I53" s="73"/>
      <c r="J53" s="11"/>
      <c r="K53" s="11"/>
      <c r="L53" s="11"/>
      <c r="N53" s="735">
        <v>48</v>
      </c>
      <c r="O53" s="736">
        <v>36.5890007</v>
      </c>
      <c r="P53" s="736">
        <v>77.596000669999995</v>
      </c>
      <c r="Q53" s="737">
        <v>34.763999939999998</v>
      </c>
      <c r="R53" s="277"/>
      <c r="S53" s="735">
        <v>48</v>
      </c>
      <c r="T53" s="736">
        <v>220.01436420799999</v>
      </c>
      <c r="U53" s="736">
        <v>210.250997547</v>
      </c>
      <c r="V53" s="737">
        <v>212.09200192</v>
      </c>
    </row>
    <row r="54" spans="1:22" ht="13.2">
      <c r="A54" s="74"/>
      <c r="B54" s="73"/>
      <c r="C54" s="73"/>
      <c r="D54" s="73"/>
      <c r="E54" s="73"/>
      <c r="F54" s="73"/>
      <c r="G54" s="73"/>
      <c r="H54" s="73"/>
      <c r="I54" s="73"/>
      <c r="J54" s="11"/>
      <c r="K54" s="11"/>
      <c r="L54" s="11"/>
      <c r="N54" s="735">
        <v>49</v>
      </c>
      <c r="O54" s="745">
        <v>36.590000000000003</v>
      </c>
      <c r="P54" s="736">
        <v>54.613998410000001</v>
      </c>
      <c r="Q54" s="737">
        <v>27.915000920000001</v>
      </c>
      <c r="R54" s="277"/>
      <c r="S54" s="735">
        <v>49</v>
      </c>
      <c r="T54" s="736">
        <v>212.37999999999997</v>
      </c>
      <c r="U54" s="736">
        <v>202.73299884100001</v>
      </c>
      <c r="V54" s="737">
        <v>206.70499944799997</v>
      </c>
    </row>
    <row r="55" spans="1:22" ht="13.2">
      <c r="A55" s="74"/>
      <c r="B55" s="73"/>
      <c r="C55" s="73"/>
      <c r="D55" s="73"/>
      <c r="E55" s="73"/>
      <c r="F55" s="73"/>
      <c r="G55" s="73"/>
      <c r="H55" s="73"/>
      <c r="I55" s="73"/>
      <c r="J55" s="11"/>
      <c r="K55" s="11"/>
      <c r="L55" s="11"/>
      <c r="N55" s="735">
        <v>50</v>
      </c>
      <c r="O55" s="736">
        <v>34.763999939999998</v>
      </c>
      <c r="P55" s="736">
        <v>64.358001709999996</v>
      </c>
      <c r="Q55" s="737">
        <v>19.81399918</v>
      </c>
      <c r="R55" s="277"/>
      <c r="S55" s="735">
        <v>50</v>
      </c>
      <c r="T55" s="736">
        <v>205.46782675599999</v>
      </c>
      <c r="U55" s="736">
        <v>195.51400422099999</v>
      </c>
      <c r="V55" s="737">
        <v>200.08300209800001</v>
      </c>
    </row>
    <row r="56" spans="1:22" ht="13.2">
      <c r="A56" s="74"/>
      <c r="B56" s="73"/>
      <c r="C56" s="73"/>
      <c r="D56" s="73"/>
      <c r="E56" s="73"/>
      <c r="F56" s="73"/>
      <c r="G56" s="73"/>
      <c r="H56" s="73"/>
      <c r="I56" s="73"/>
      <c r="J56" s="11"/>
      <c r="K56" s="11"/>
      <c r="L56" s="11"/>
      <c r="N56" s="735">
        <v>51</v>
      </c>
      <c r="O56" s="736">
        <v>38.4</v>
      </c>
      <c r="P56" s="736">
        <v>80.049003600000006</v>
      </c>
      <c r="Q56" s="737">
        <v>22.256999969999999</v>
      </c>
      <c r="R56" s="277"/>
      <c r="S56" s="735">
        <v>51</v>
      </c>
      <c r="T56" s="736">
        <v>199</v>
      </c>
      <c r="U56" s="736">
        <v>188.995997891</v>
      </c>
      <c r="V56" s="737">
        <v>200.81900405299996</v>
      </c>
    </row>
    <row r="57" spans="1:22" ht="13.2">
      <c r="A57" s="74"/>
      <c r="B57" s="73"/>
      <c r="C57" s="73"/>
      <c r="D57" s="73"/>
      <c r="E57" s="73"/>
      <c r="F57" s="73"/>
      <c r="G57" s="73"/>
      <c r="H57" s="73"/>
      <c r="I57" s="73"/>
      <c r="N57" s="735">
        <v>52</v>
      </c>
      <c r="O57" s="736">
        <v>59.261001589999999</v>
      </c>
      <c r="P57" s="736">
        <v>108.82900239999999</v>
      </c>
      <c r="Q57" s="737">
        <v>51.54700089</v>
      </c>
      <c r="R57" s="277"/>
      <c r="S57" s="735">
        <v>52</v>
      </c>
      <c r="T57" s="736">
        <v>192.88799664499999</v>
      </c>
      <c r="U57" s="736">
        <v>184.65400219100002</v>
      </c>
      <c r="V57" s="737">
        <v>217.92999649000001</v>
      </c>
    </row>
    <row r="58" spans="1:22" ht="13.2">
      <c r="A58" s="74"/>
      <c r="B58" s="73"/>
      <c r="C58" s="73"/>
      <c r="D58" s="73"/>
      <c r="E58" s="73"/>
      <c r="F58" s="73"/>
      <c r="G58" s="73"/>
      <c r="H58" s="73"/>
      <c r="I58" s="73"/>
      <c r="N58" s="735">
        <v>53</v>
      </c>
      <c r="O58" s="277"/>
      <c r="P58" s="277">
        <v>140.34500120000001</v>
      </c>
      <c r="Q58" s="277"/>
      <c r="R58" s="277"/>
      <c r="S58" s="735">
        <v>53</v>
      </c>
      <c r="T58" s="736"/>
      <c r="U58" s="736">
        <v>183.63100289100001</v>
      </c>
      <c r="V58" s="737"/>
    </row>
    <row r="59" spans="1:22" ht="13.2">
      <c r="B59" s="73"/>
      <c r="C59" s="73"/>
      <c r="D59" s="73"/>
      <c r="E59" s="73"/>
      <c r="F59" s="73"/>
      <c r="G59" s="73"/>
      <c r="H59" s="73"/>
      <c r="I59" s="73"/>
    </row>
    <row r="60" spans="1:22" ht="13.2">
      <c r="A60" s="74"/>
      <c r="B60" s="73"/>
      <c r="C60" s="73"/>
      <c r="D60" s="73"/>
      <c r="E60" s="73"/>
      <c r="F60" s="73"/>
      <c r="G60" s="73"/>
      <c r="H60" s="73"/>
      <c r="I60" s="73"/>
    </row>
    <row r="63" spans="1:22">
      <c r="A63" s="264" t="s">
        <v>592</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47"/>
  <sheetViews>
    <sheetView showGridLines="0" view="pageBreakPreview" zoomScaleNormal="100" zoomScaleSheetLayoutView="100" zoomScalePageLayoutView="130" workbookViewId="0">
      <selection activeCell="O61" sqref="O61"/>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55"/>
    <col min="12" max="12" width="3.140625" style="555" bestFit="1" customWidth="1"/>
    <col min="13" max="15" width="9.28515625" style="277"/>
    <col min="16" max="16" width="9.28515625" style="554"/>
    <col min="17" max="19" width="9.28515625" style="520"/>
    <col min="20" max="21" width="9.28515625" style="340"/>
  </cols>
  <sheetData>
    <row r="1" spans="1:15" ht="11.25" customHeight="1"/>
    <row r="2" spans="1:15" ht="11.25" customHeight="1">
      <c r="A2" s="17"/>
      <c r="B2" s="17"/>
      <c r="C2" s="17"/>
      <c r="D2" s="17"/>
      <c r="E2" s="73"/>
      <c r="F2" s="73"/>
      <c r="G2" s="73"/>
    </row>
    <row r="3" spans="1:15" ht="17.25" customHeight="1">
      <c r="A3" s="884" t="s">
        <v>381</v>
      </c>
      <c r="B3" s="884"/>
      <c r="C3" s="884"/>
      <c r="D3" s="884"/>
      <c r="E3" s="884"/>
      <c r="F3" s="884"/>
      <c r="G3" s="884"/>
      <c r="H3" s="36"/>
      <c r="I3" s="36"/>
      <c r="K3" s="555" t="s">
        <v>260</v>
      </c>
      <c r="M3" s="277" t="s">
        <v>261</v>
      </c>
      <c r="N3" s="277" t="s">
        <v>262</v>
      </c>
      <c r="O3" s="277" t="s">
        <v>263</v>
      </c>
    </row>
    <row r="4" spans="1:15" ht="11.25" customHeight="1">
      <c r="A4" s="74"/>
      <c r="B4" s="73"/>
      <c r="C4" s="73"/>
      <c r="D4" s="73"/>
      <c r="E4" s="73"/>
      <c r="F4" s="73"/>
      <c r="G4" s="73"/>
      <c r="H4" s="36"/>
      <c r="I4" s="36"/>
      <c r="J4" s="277">
        <v>2018</v>
      </c>
      <c r="K4" s="555">
        <v>1</v>
      </c>
      <c r="L4" s="555">
        <v>1</v>
      </c>
      <c r="M4" s="746">
        <v>29.44</v>
      </c>
      <c r="N4" s="746">
        <v>69.087142857142865</v>
      </c>
      <c r="O4" s="746">
        <v>15.747142857142856</v>
      </c>
    </row>
    <row r="5" spans="1:15" ht="11.25" customHeight="1">
      <c r="A5" s="74"/>
      <c r="B5" s="73"/>
      <c r="C5" s="73"/>
      <c r="D5" s="73"/>
      <c r="E5" s="73"/>
      <c r="F5" s="73"/>
      <c r="G5" s="73"/>
      <c r="H5" s="12"/>
      <c r="I5" s="12"/>
      <c r="L5" s="555">
        <v>2</v>
      </c>
      <c r="M5" s="746">
        <v>42.880857194285717</v>
      </c>
      <c r="N5" s="746">
        <v>96.785858138571413</v>
      </c>
      <c r="O5" s="746">
        <v>37.6</v>
      </c>
    </row>
    <row r="6" spans="1:15" ht="29.25" customHeight="1">
      <c r="A6" s="136"/>
      <c r="C6" s="381" t="s">
        <v>144</v>
      </c>
      <c r="D6" s="384" t="str">
        <f>UPPER('1. Resumen'!Q4)&amp;"
 "&amp;'1. Resumen'!Q5</f>
        <v>MARZO
 2021</v>
      </c>
      <c r="E6" s="385" t="str">
        <f>UPPER('1. Resumen'!Q4)&amp;"
 "&amp;'1. Resumen'!Q5-1</f>
        <v>MARZO
 2020</v>
      </c>
      <c r="F6" s="386" t="s">
        <v>435</v>
      </c>
      <c r="G6" s="138"/>
      <c r="H6" s="24"/>
      <c r="I6" s="12"/>
      <c r="L6" s="555">
        <v>3</v>
      </c>
      <c r="M6" s="746">
        <v>74.002572194285705</v>
      </c>
      <c r="N6" s="746">
        <v>158.17728531428571</v>
      </c>
      <c r="O6" s="746">
        <v>101.26128550142856</v>
      </c>
    </row>
    <row r="7" spans="1:15" ht="11.25" customHeight="1">
      <c r="A7" s="174"/>
      <c r="C7" s="438" t="s">
        <v>145</v>
      </c>
      <c r="D7" s="439">
        <v>62.701225896035439</v>
      </c>
      <c r="E7" s="598">
        <v>134.15262024978074</v>
      </c>
      <c r="F7" s="440">
        <f>IF(E7=0,"",(D7-E7)/E7)</f>
        <v>-0.53261273779601848</v>
      </c>
      <c r="G7" s="138"/>
      <c r="H7" s="25"/>
      <c r="I7" s="3"/>
      <c r="L7" s="555">
        <v>4</v>
      </c>
      <c r="M7" s="746">
        <v>77.812570845714291</v>
      </c>
      <c r="N7" s="746">
        <v>167.02357267142858</v>
      </c>
      <c r="O7" s="746">
        <v>77.354000085714276</v>
      </c>
    </row>
    <row r="8" spans="1:15" ht="11.25" customHeight="1">
      <c r="A8" s="174"/>
      <c r="C8" s="441" t="s">
        <v>151</v>
      </c>
      <c r="D8" s="442">
        <v>31.842161301643571</v>
      </c>
      <c r="E8" s="442">
        <v>42.143965556703726</v>
      </c>
      <c r="F8" s="443">
        <f t="shared" ref="F8:F30" si="0">IF(E8=0,"",(D8-E8)/E8)</f>
        <v>-0.24444316330885657</v>
      </c>
      <c r="G8" s="138"/>
      <c r="H8" s="23"/>
      <c r="I8" s="3"/>
      <c r="L8" s="555">
        <v>5</v>
      </c>
      <c r="M8" s="746">
        <v>61.531714848571433</v>
      </c>
      <c r="N8" s="746">
        <v>113.19585745142855</v>
      </c>
      <c r="O8" s="746">
        <v>30.667142595714285</v>
      </c>
    </row>
    <row r="9" spans="1:15" ht="11.25" customHeight="1">
      <c r="A9" s="174"/>
      <c r="C9" s="444" t="s">
        <v>152</v>
      </c>
      <c r="D9" s="445">
        <v>143.31454910770518</v>
      </c>
      <c r="E9" s="445">
        <v>185.65662147258868</v>
      </c>
      <c r="F9" s="446">
        <f t="shared" si="0"/>
        <v>-0.22806658889424589</v>
      </c>
      <c r="G9" s="138"/>
      <c r="H9" s="25"/>
      <c r="I9" s="3"/>
      <c r="L9" s="555">
        <v>6</v>
      </c>
      <c r="M9" s="746">
        <v>54.024142672857138</v>
      </c>
      <c r="N9" s="746">
        <v>88.535714287142852</v>
      </c>
      <c r="O9" s="746">
        <v>32.444142750000005</v>
      </c>
    </row>
    <row r="10" spans="1:15" ht="11.25" customHeight="1">
      <c r="A10" s="174"/>
      <c r="C10" s="441" t="s">
        <v>159</v>
      </c>
      <c r="D10" s="442">
        <v>152.93945078695924</v>
      </c>
      <c r="E10" s="442">
        <v>147.58244876203835</v>
      </c>
      <c r="F10" s="443">
        <f t="shared" si="0"/>
        <v>3.6298367928279243E-2</v>
      </c>
      <c r="G10" s="138"/>
      <c r="H10" s="25"/>
      <c r="I10" s="3"/>
      <c r="L10" s="555">
        <v>7</v>
      </c>
      <c r="M10" s="746">
        <v>59.271427155714285</v>
      </c>
      <c r="N10" s="746">
        <v>99.37822619047617</v>
      </c>
      <c r="O10" s="746">
        <v>30.338148809523812</v>
      </c>
    </row>
    <row r="11" spans="1:15" ht="11.25" customHeight="1">
      <c r="A11" s="174"/>
      <c r="C11" s="444" t="s">
        <v>160</v>
      </c>
      <c r="D11" s="445">
        <v>130.6881927982451</v>
      </c>
      <c r="E11" s="445">
        <v>18.562344682627668</v>
      </c>
      <c r="F11" s="446">
        <f t="shared" si="0"/>
        <v>6.0405002726059172</v>
      </c>
      <c r="G11" s="138"/>
      <c r="H11" s="25"/>
      <c r="I11" s="3"/>
      <c r="K11" s="555">
        <v>8</v>
      </c>
      <c r="L11" s="555">
        <v>8</v>
      </c>
      <c r="M11" s="746">
        <v>78.025571005714284</v>
      </c>
      <c r="N11" s="746">
        <v>140.28</v>
      </c>
      <c r="O11" s="746">
        <v>62.97</v>
      </c>
    </row>
    <row r="12" spans="1:15" ht="11.25" customHeight="1">
      <c r="A12" s="174"/>
      <c r="C12" s="441" t="s">
        <v>162</v>
      </c>
      <c r="D12" s="442">
        <v>96.651226105228389</v>
      </c>
      <c r="E12" s="442">
        <v>15.395137951291803</v>
      </c>
      <c r="F12" s="443">
        <f t="shared" si="0"/>
        <v>5.2780357286190087</v>
      </c>
      <c r="G12" s="138"/>
      <c r="H12" s="25"/>
      <c r="I12" s="3"/>
      <c r="L12" s="555">
        <v>9</v>
      </c>
      <c r="M12" s="746">
        <v>61.11871501571428</v>
      </c>
      <c r="N12" s="746">
        <v>102.99642836285715</v>
      </c>
      <c r="O12" s="746">
        <v>31.244571685714288</v>
      </c>
    </row>
    <row r="13" spans="1:15" ht="11.25" customHeight="1">
      <c r="A13" s="174"/>
      <c r="C13" s="444" t="s">
        <v>150</v>
      </c>
      <c r="D13" s="445">
        <v>102.23118279569893</v>
      </c>
      <c r="E13" s="445">
        <v>82.215053763440864</v>
      </c>
      <c r="F13" s="446">
        <f t="shared" si="0"/>
        <v>0.24346063301072454</v>
      </c>
      <c r="G13" s="138"/>
      <c r="H13" s="23"/>
      <c r="I13" s="3"/>
      <c r="L13" s="555">
        <v>10</v>
      </c>
      <c r="M13" s="746">
        <v>84.500714981428573</v>
      </c>
      <c r="N13" s="746">
        <v>175.90485927142853</v>
      </c>
      <c r="O13" s="746">
        <v>36.038285662857142</v>
      </c>
    </row>
    <row r="14" spans="1:15" ht="11.25" customHeight="1">
      <c r="A14" s="174"/>
      <c r="C14" s="441" t="s">
        <v>251</v>
      </c>
      <c r="D14" s="442">
        <v>66.426475155738032</v>
      </c>
      <c r="E14" s="442">
        <v>96.691268000109332</v>
      </c>
      <c r="F14" s="443">
        <f t="shared" si="0"/>
        <v>-0.31300440536509544</v>
      </c>
      <c r="G14" s="138"/>
      <c r="H14" s="25"/>
      <c r="I14" s="3"/>
      <c r="L14" s="555">
        <v>11</v>
      </c>
      <c r="M14" s="746">
        <v>83.643855504285725</v>
      </c>
      <c r="N14" s="746">
        <v>169.64671761428571</v>
      </c>
      <c r="O14" s="746">
        <v>25.076428275714282</v>
      </c>
    </row>
    <row r="15" spans="1:15" ht="11.25" customHeight="1">
      <c r="A15" s="174"/>
      <c r="C15" s="444" t="s">
        <v>252</v>
      </c>
      <c r="D15" s="445">
        <v>240.36677551269483</v>
      </c>
      <c r="E15" s="445">
        <v>464.86137916301846</v>
      </c>
      <c r="F15" s="446">
        <f t="shared" si="0"/>
        <v>-0.48292805923031401</v>
      </c>
      <c r="G15" s="138"/>
      <c r="H15" s="25"/>
      <c r="I15" s="3"/>
      <c r="L15" s="555">
        <v>12</v>
      </c>
      <c r="M15" s="746">
        <v>98.99</v>
      </c>
      <c r="N15" s="746">
        <v>198.22</v>
      </c>
      <c r="O15" s="746">
        <v>24.63</v>
      </c>
    </row>
    <row r="16" spans="1:15" ht="11.25" customHeight="1">
      <c r="A16" s="174"/>
      <c r="C16" s="441" t="s">
        <v>157</v>
      </c>
      <c r="D16" s="442">
        <v>85.782096493628629</v>
      </c>
      <c r="E16" s="442">
        <v>66.494482763882289</v>
      </c>
      <c r="F16" s="443">
        <f t="shared" si="0"/>
        <v>0.29006336959166129</v>
      </c>
      <c r="G16" s="138"/>
      <c r="H16" s="25"/>
      <c r="I16" s="3"/>
      <c r="L16" s="555">
        <v>13</v>
      </c>
      <c r="M16" s="746">
        <v>106.64928652857144</v>
      </c>
      <c r="N16" s="746">
        <v>312.6314304857143</v>
      </c>
      <c r="O16" s="746">
        <v>38.701428550000003</v>
      </c>
    </row>
    <row r="17" spans="1:15" ht="11.25" customHeight="1">
      <c r="A17" s="174"/>
      <c r="C17" s="444" t="s">
        <v>161</v>
      </c>
      <c r="D17" s="445">
        <v>26.320451459576965</v>
      </c>
      <c r="E17" s="445">
        <v>22.355620778840123</v>
      </c>
      <c r="F17" s="446">
        <f t="shared" si="0"/>
        <v>0.17735274363258141</v>
      </c>
      <c r="G17" s="138"/>
      <c r="H17" s="25"/>
      <c r="I17" s="3"/>
      <c r="L17" s="555">
        <v>14</v>
      </c>
      <c r="M17" s="746">
        <v>86.488428389999996</v>
      </c>
      <c r="N17" s="746">
        <v>235.31328691428573</v>
      </c>
      <c r="O17" s="746">
        <v>94.596427907142839</v>
      </c>
    </row>
    <row r="18" spans="1:15" ht="11.25" customHeight="1">
      <c r="A18" s="174"/>
      <c r="C18" s="441" t="s">
        <v>253</v>
      </c>
      <c r="D18" s="442">
        <v>13.43650516386951</v>
      </c>
      <c r="E18" s="442">
        <v>20.001722796209894</v>
      </c>
      <c r="F18" s="443">
        <f t="shared" si="0"/>
        <v>-0.32823260772239177</v>
      </c>
      <c r="G18" s="138"/>
      <c r="H18" s="25"/>
      <c r="I18" s="3"/>
      <c r="L18" s="555">
        <v>15</v>
      </c>
      <c r="M18" s="746">
        <v>88.217001778571429</v>
      </c>
      <c r="N18" s="746">
        <v>294.1721409428572</v>
      </c>
      <c r="O18" s="746">
        <v>92.07</v>
      </c>
    </row>
    <row r="19" spans="1:15" ht="11.25" customHeight="1">
      <c r="A19" s="174"/>
      <c r="C19" s="444" t="s">
        <v>254</v>
      </c>
      <c r="D19" s="445">
        <v>31.565456989247263</v>
      </c>
      <c r="E19" s="445">
        <v>36.801275416666698</v>
      </c>
      <c r="F19" s="446">
        <f t="shared" si="0"/>
        <v>-0.14227274376062027</v>
      </c>
      <c r="G19" s="138"/>
      <c r="H19" s="25"/>
      <c r="I19" s="3"/>
      <c r="K19" s="555">
        <v>16</v>
      </c>
      <c r="L19" s="555">
        <v>16</v>
      </c>
      <c r="M19" s="746">
        <v>65.84</v>
      </c>
      <c r="N19" s="746">
        <v>149.18</v>
      </c>
      <c r="O19" s="746">
        <v>45.4</v>
      </c>
    </row>
    <row r="20" spans="1:15" ht="11.25" customHeight="1">
      <c r="A20" s="174"/>
      <c r="C20" s="441" t="s">
        <v>255</v>
      </c>
      <c r="D20" s="442">
        <v>1.45116128075507</v>
      </c>
      <c r="E20" s="442">
        <v>1.473241378521092</v>
      </c>
      <c r="F20" s="443">
        <f t="shared" si="0"/>
        <v>-1.4987427103213099E-2</v>
      </c>
      <c r="G20" s="138"/>
      <c r="H20" s="25"/>
      <c r="I20" s="3"/>
      <c r="L20" s="555">
        <v>17</v>
      </c>
      <c r="M20" s="746">
        <v>51.88</v>
      </c>
      <c r="N20" s="746">
        <v>104.35</v>
      </c>
      <c r="O20" s="746">
        <v>41.47</v>
      </c>
    </row>
    <row r="21" spans="1:15" ht="11.25" customHeight="1">
      <c r="A21" s="174"/>
      <c r="C21" s="444" t="s">
        <v>148</v>
      </c>
      <c r="D21" s="445">
        <v>293.04683931412194</v>
      </c>
      <c r="E21" s="445">
        <v>394.67272475670092</v>
      </c>
      <c r="F21" s="446">
        <f t="shared" si="0"/>
        <v>-0.25749406804138047</v>
      </c>
      <c r="G21" s="138"/>
      <c r="H21" s="25"/>
      <c r="I21" s="3"/>
      <c r="L21" s="555">
        <v>18</v>
      </c>
      <c r="M21" s="746">
        <v>49.672285897142856</v>
      </c>
      <c r="N21" s="746">
        <v>78.038143701428567</v>
      </c>
      <c r="O21" s="746">
        <v>65.800999782857133</v>
      </c>
    </row>
    <row r="22" spans="1:15" ht="11.25" customHeight="1">
      <c r="A22" s="174"/>
      <c r="C22" s="441" t="s">
        <v>146</v>
      </c>
      <c r="D22" s="442">
        <v>0.3729999959468841</v>
      </c>
      <c r="E22" s="442">
        <v>0</v>
      </c>
      <c r="F22" s="443" t="str">
        <f t="shared" si="0"/>
        <v/>
      </c>
      <c r="G22" s="138"/>
      <c r="H22" s="25"/>
      <c r="I22" s="3"/>
      <c r="L22" s="555">
        <v>19</v>
      </c>
      <c r="M22" s="746">
        <v>45.203000204285708</v>
      </c>
      <c r="N22" s="746">
        <v>78.313856942857129</v>
      </c>
      <c r="O22" s="746">
        <v>75.104713441428572</v>
      </c>
    </row>
    <row r="23" spans="1:15" ht="11.25" customHeight="1">
      <c r="A23" s="174"/>
      <c r="C23" s="444" t="s">
        <v>147</v>
      </c>
      <c r="D23" s="445">
        <v>23.13683823616271</v>
      </c>
      <c r="E23" s="445">
        <v>21.203620121396781</v>
      </c>
      <c r="F23" s="446">
        <f t="shared" si="0"/>
        <v>9.1173964808730898E-2</v>
      </c>
      <c r="G23" s="138"/>
      <c r="H23" s="25"/>
      <c r="I23" s="3"/>
      <c r="L23" s="555">
        <v>20</v>
      </c>
      <c r="M23" s="746">
        <v>37.385857718571437</v>
      </c>
      <c r="N23" s="746">
        <v>130.92628696285712</v>
      </c>
      <c r="O23" s="746">
        <v>97.861000055714285</v>
      </c>
    </row>
    <row r="24" spans="1:15" ht="11.25" customHeight="1">
      <c r="A24" s="174"/>
      <c r="C24" s="441" t="s">
        <v>163</v>
      </c>
      <c r="D24" s="442">
        <v>34.035903130808137</v>
      </c>
      <c r="E24" s="442">
        <v>30.218758681724758</v>
      </c>
      <c r="F24" s="443">
        <f t="shared" si="0"/>
        <v>0.12631704992541121</v>
      </c>
      <c r="G24" s="138"/>
      <c r="H24" s="26"/>
      <c r="I24" s="3"/>
      <c r="L24" s="555">
        <v>21</v>
      </c>
      <c r="M24" s="746">
        <v>31.609713962857143</v>
      </c>
      <c r="N24" s="746">
        <v>64.449287412857146</v>
      </c>
      <c r="O24" s="746">
        <v>107.7964292242857</v>
      </c>
    </row>
    <row r="25" spans="1:15" ht="11.25" customHeight="1">
      <c r="A25" s="138"/>
      <c r="C25" s="444" t="s">
        <v>153</v>
      </c>
      <c r="D25" s="445">
        <v>0</v>
      </c>
      <c r="E25" s="445">
        <v>0</v>
      </c>
      <c r="F25" s="446" t="str">
        <f t="shared" si="0"/>
        <v/>
      </c>
      <c r="G25" s="158"/>
      <c r="H25" s="25"/>
      <c r="I25" s="3"/>
      <c r="L25" s="555">
        <v>22</v>
      </c>
      <c r="M25" s="746">
        <v>23.360142844285715</v>
      </c>
      <c r="N25" s="746">
        <v>64.449287412857146</v>
      </c>
      <c r="O25" s="746">
        <v>107.7964292242857</v>
      </c>
    </row>
    <row r="26" spans="1:15" ht="11.25" customHeight="1">
      <c r="A26" s="175"/>
      <c r="C26" s="441" t="s">
        <v>154</v>
      </c>
      <c r="D26" s="442">
        <v>0.52399999383957141</v>
      </c>
      <c r="E26" s="442">
        <v>0.71227588119177954</v>
      </c>
      <c r="F26" s="443">
        <f t="shared" si="0"/>
        <v>-0.26433000516202376</v>
      </c>
      <c r="G26" s="138"/>
      <c r="H26" s="23"/>
      <c r="I26" s="3"/>
      <c r="L26" s="555">
        <v>23</v>
      </c>
      <c r="M26" s="746">
        <v>22.118571418571431</v>
      </c>
      <c r="N26" s="746">
        <v>39.50100054</v>
      </c>
      <c r="O26" s="746">
        <v>35.176713670000005</v>
      </c>
    </row>
    <row r="27" spans="1:15" ht="11.25" customHeight="1">
      <c r="A27" s="138"/>
      <c r="C27" s="444" t="s">
        <v>155</v>
      </c>
      <c r="D27" s="445">
        <v>0</v>
      </c>
      <c r="E27" s="445">
        <v>0</v>
      </c>
      <c r="F27" s="446" t="str">
        <f t="shared" si="0"/>
        <v/>
      </c>
      <c r="G27" s="138"/>
      <c r="H27" s="23"/>
      <c r="I27" s="3"/>
      <c r="K27" s="555">
        <v>24</v>
      </c>
      <c r="L27" s="555">
        <v>24</v>
      </c>
      <c r="M27" s="746">
        <v>18.655142918571432</v>
      </c>
      <c r="N27" s="746">
        <v>33.690285274285714</v>
      </c>
      <c r="O27" s="746">
        <v>23.41942841571429</v>
      </c>
    </row>
    <row r="28" spans="1:15" ht="11.25" customHeight="1">
      <c r="A28" s="138"/>
      <c r="C28" s="441" t="s">
        <v>156</v>
      </c>
      <c r="D28" s="442">
        <v>0</v>
      </c>
      <c r="E28" s="442">
        <v>0</v>
      </c>
      <c r="F28" s="443" t="str">
        <f t="shared" si="0"/>
        <v/>
      </c>
      <c r="G28" s="138"/>
      <c r="H28" s="23"/>
      <c r="I28" s="3"/>
      <c r="L28" s="555">
        <v>25</v>
      </c>
      <c r="M28" s="746">
        <v>15.664428437142856</v>
      </c>
      <c r="N28" s="746">
        <v>30.228428704285715</v>
      </c>
      <c r="O28" s="746">
        <v>15.98614284142857</v>
      </c>
    </row>
    <row r="29" spans="1:15" ht="11.25" customHeight="1">
      <c r="A29" s="158"/>
      <c r="C29" s="444" t="s">
        <v>158</v>
      </c>
      <c r="D29" s="445">
        <v>3.7639551225208456</v>
      </c>
      <c r="E29" s="445">
        <v>0.44132758625622354</v>
      </c>
      <c r="F29" s="446">
        <f t="shared" si="0"/>
        <v>7.5287102817442948</v>
      </c>
      <c r="G29" s="176"/>
      <c r="H29" s="23"/>
      <c r="I29" s="3"/>
      <c r="L29" s="555">
        <v>26</v>
      </c>
      <c r="M29" s="746">
        <v>13.848143032857147</v>
      </c>
      <c r="N29" s="746">
        <v>27.872285568571431</v>
      </c>
      <c r="O29" s="746">
        <v>14.09042848857143</v>
      </c>
    </row>
    <row r="30" spans="1:15" ht="11.25" customHeight="1">
      <c r="A30" s="175"/>
      <c r="C30" s="447" t="s">
        <v>149</v>
      </c>
      <c r="D30" s="448">
        <v>1.2258064516129032</v>
      </c>
      <c r="E30" s="448">
        <v>2.9455645161290325</v>
      </c>
      <c r="F30" s="449">
        <f t="shared" si="0"/>
        <v>-0.58384668035592058</v>
      </c>
      <c r="G30" s="138"/>
      <c r="H30" s="25"/>
      <c r="I30" s="3"/>
      <c r="L30" s="555">
        <v>27</v>
      </c>
      <c r="M30" s="746">
        <v>12.865857259999999</v>
      </c>
      <c r="N30" s="746">
        <v>27.257571358571429</v>
      </c>
      <c r="O30" s="746">
        <v>11.838857105714284</v>
      </c>
    </row>
    <row r="31" spans="1:15" ht="11.25" customHeight="1">
      <c r="A31" s="137"/>
      <c r="C31" s="265" t="str">
        <f>"Cuadro N°10: Promedio de caudales en "&amp;'1. Resumen'!Q4</f>
        <v>Cuadro N°10: Promedio de caudales en marzo</v>
      </c>
      <c r="D31" s="137"/>
      <c r="E31" s="137"/>
      <c r="F31" s="137"/>
      <c r="G31" s="137"/>
      <c r="H31" s="25"/>
      <c r="I31" s="6"/>
      <c r="L31" s="555">
        <v>28</v>
      </c>
      <c r="M31" s="746">
        <v>12.915285789999999</v>
      </c>
      <c r="N31" s="746">
        <v>27.217285974285712</v>
      </c>
      <c r="O31" s="746">
        <v>9.7789998731428565</v>
      </c>
    </row>
    <row r="32" spans="1:15" ht="11.25" customHeight="1">
      <c r="A32" s="137"/>
      <c r="B32" s="137"/>
      <c r="C32" s="137"/>
      <c r="D32" s="137"/>
      <c r="E32" s="137"/>
      <c r="F32" s="137"/>
      <c r="G32" s="137"/>
      <c r="H32" s="25"/>
      <c r="I32" s="6"/>
      <c r="L32" s="555">
        <v>29</v>
      </c>
      <c r="M32" s="746">
        <v>15.908571428571426</v>
      </c>
      <c r="N32" s="746">
        <v>24.955714285714286</v>
      </c>
      <c r="O32" s="746">
        <v>8.4957142857142856</v>
      </c>
    </row>
    <row r="33" spans="1:15" ht="11.25" customHeight="1">
      <c r="A33" s="137"/>
      <c r="B33" s="137"/>
      <c r="C33" s="137"/>
      <c r="D33" s="137"/>
      <c r="E33" s="137"/>
      <c r="F33" s="137"/>
      <c r="G33" s="137"/>
      <c r="H33" s="25"/>
      <c r="I33" s="6"/>
      <c r="L33" s="555">
        <v>30</v>
      </c>
      <c r="M33" s="746">
        <v>16.584000042857145</v>
      </c>
      <c r="N33" s="746">
        <v>24.80942862142857</v>
      </c>
      <c r="O33" s="746">
        <v>7.807428428142857</v>
      </c>
    </row>
    <row r="34" spans="1:15" ht="11.25" customHeight="1">
      <c r="A34" s="137"/>
      <c r="B34" s="137"/>
      <c r="C34" s="137"/>
      <c r="D34" s="137"/>
      <c r="E34" s="137"/>
      <c r="F34" s="137"/>
      <c r="G34" s="137"/>
      <c r="H34" s="25"/>
      <c r="I34" s="6"/>
      <c r="L34" s="555">
        <v>31</v>
      </c>
      <c r="M34" s="746">
        <v>18.553000000000001</v>
      </c>
      <c r="N34" s="746">
        <v>25.690999999999999</v>
      </c>
      <c r="O34" s="746">
        <v>7.53</v>
      </c>
    </row>
    <row r="35" spans="1:15" ht="17.25" customHeight="1">
      <c r="A35" s="884" t="s">
        <v>382</v>
      </c>
      <c r="B35" s="884"/>
      <c r="C35" s="884"/>
      <c r="D35" s="884"/>
      <c r="E35" s="884"/>
      <c r="F35" s="884"/>
      <c r="G35" s="884"/>
      <c r="H35" s="25"/>
      <c r="I35" s="6"/>
      <c r="K35" s="555">
        <v>32</v>
      </c>
      <c r="L35" s="555">
        <v>32</v>
      </c>
      <c r="M35" s="746">
        <v>17.769714355714285</v>
      </c>
      <c r="N35" s="746">
        <v>27.630000251428573</v>
      </c>
      <c r="O35" s="746">
        <v>6.4074286734285701</v>
      </c>
    </row>
    <row r="36" spans="1:15" ht="11.25" customHeight="1">
      <c r="A36" s="137"/>
      <c r="B36" s="137"/>
      <c r="C36" s="137"/>
      <c r="D36" s="137"/>
      <c r="E36" s="137"/>
      <c r="F36" s="137"/>
      <c r="G36" s="137"/>
      <c r="H36" s="25"/>
      <c r="I36" s="6"/>
      <c r="L36" s="555">
        <v>33</v>
      </c>
      <c r="M36" s="746">
        <v>14.782857348571428</v>
      </c>
      <c r="N36" s="746">
        <v>23.78</v>
      </c>
      <c r="O36" s="746">
        <v>4.9400000000000004</v>
      </c>
    </row>
    <row r="37" spans="1:15" ht="11.25" customHeight="1">
      <c r="A37" s="136"/>
      <c r="B37" s="138"/>
      <c r="C37" s="138"/>
      <c r="D37" s="138"/>
      <c r="E37" s="138"/>
      <c r="F37" s="138"/>
      <c r="G37" s="138"/>
      <c r="H37" s="26"/>
      <c r="I37" s="6"/>
      <c r="L37" s="555">
        <v>34</v>
      </c>
      <c r="M37" s="746">
        <v>15.984000069999999</v>
      </c>
      <c r="N37" s="746">
        <v>23.527999878571428</v>
      </c>
      <c r="O37" s="746">
        <v>4.6688571658571432</v>
      </c>
    </row>
    <row r="38" spans="1:15" ht="11.25" customHeight="1">
      <c r="A38" s="74"/>
      <c r="B38" s="73"/>
      <c r="C38" s="73"/>
      <c r="D38" s="73"/>
      <c r="E38" s="73"/>
      <c r="F38" s="73"/>
      <c r="G38" s="73"/>
      <c r="H38" s="3"/>
      <c r="I38" s="6"/>
      <c r="L38" s="555">
        <v>35</v>
      </c>
      <c r="M38" s="746">
        <v>15.55</v>
      </c>
      <c r="N38" s="746">
        <v>23.29</v>
      </c>
      <c r="O38" s="746">
        <v>4.5999999999999996</v>
      </c>
    </row>
    <row r="39" spans="1:15" ht="11.25" customHeight="1">
      <c r="A39" s="74"/>
      <c r="B39" s="73"/>
      <c r="C39" s="73"/>
      <c r="D39" s="73"/>
      <c r="E39" s="73"/>
      <c r="F39" s="73"/>
      <c r="G39" s="73"/>
      <c r="H39" s="3"/>
      <c r="I39" s="10"/>
      <c r="L39" s="555">
        <v>36</v>
      </c>
      <c r="M39" s="746">
        <v>15.042857142857143</v>
      </c>
      <c r="N39" s="746">
        <v>23.007142857142856</v>
      </c>
      <c r="O39" s="746">
        <v>3.9657142857142857</v>
      </c>
    </row>
    <row r="40" spans="1:15" ht="11.25" customHeight="1">
      <c r="A40" s="74"/>
      <c r="B40" s="73"/>
      <c r="C40" s="73"/>
      <c r="D40" s="73"/>
      <c r="E40" s="73"/>
      <c r="F40" s="73"/>
      <c r="G40" s="73"/>
      <c r="H40" s="3"/>
      <c r="I40" s="10"/>
      <c r="L40" s="555">
        <v>37</v>
      </c>
      <c r="M40" s="746">
        <v>13.386857033</v>
      </c>
      <c r="N40" s="746">
        <v>23.173571724285711</v>
      </c>
      <c r="O40" s="746">
        <v>3.5334285327142858</v>
      </c>
    </row>
    <row r="41" spans="1:15" ht="11.25" customHeight="1">
      <c r="A41" s="74"/>
      <c r="B41" s="73"/>
      <c r="C41" s="73"/>
      <c r="D41" s="73"/>
      <c r="E41" s="73"/>
      <c r="F41" s="73"/>
      <c r="G41" s="73"/>
      <c r="H41" s="3"/>
      <c r="I41" s="7"/>
      <c r="L41" s="555">
        <v>38</v>
      </c>
      <c r="M41" s="746">
        <v>12.963714189999999</v>
      </c>
      <c r="N41" s="746">
        <v>26.454000201428567</v>
      </c>
      <c r="O41" s="746">
        <v>6.4914285118571433</v>
      </c>
    </row>
    <row r="42" spans="1:15" ht="11.25" customHeight="1">
      <c r="A42" s="74"/>
      <c r="B42" s="73"/>
      <c r="C42" s="73"/>
      <c r="D42" s="73"/>
      <c r="E42" s="73"/>
      <c r="F42" s="73"/>
      <c r="G42" s="73"/>
      <c r="H42" s="3"/>
      <c r="I42" s="7"/>
      <c r="L42" s="555">
        <v>39</v>
      </c>
      <c r="M42" s="746">
        <v>9.4700000000000006</v>
      </c>
      <c r="N42" s="746">
        <v>23.7</v>
      </c>
      <c r="O42" s="746">
        <v>4.9000000000000004</v>
      </c>
    </row>
    <row r="43" spans="1:15" ht="11.25" customHeight="1">
      <c r="A43" s="74"/>
      <c r="B43" s="73"/>
      <c r="C43" s="73"/>
      <c r="D43" s="73"/>
      <c r="E43" s="73"/>
      <c r="F43" s="73"/>
      <c r="G43" s="73"/>
      <c r="H43" s="3"/>
      <c r="I43" s="7"/>
      <c r="K43" s="555">
        <v>40</v>
      </c>
      <c r="L43" s="555">
        <v>40</v>
      </c>
      <c r="M43" s="746">
        <v>9.6714286802857146</v>
      </c>
      <c r="N43" s="746">
        <v>23.695143017142858</v>
      </c>
      <c r="O43" s="746">
        <v>4.898285797571428</v>
      </c>
    </row>
    <row r="44" spans="1:15" ht="11.25" customHeight="1">
      <c r="A44" s="74"/>
      <c r="B44" s="73"/>
      <c r="C44" s="73"/>
      <c r="D44" s="73"/>
      <c r="E44" s="73"/>
      <c r="F44" s="73"/>
      <c r="G44" s="73"/>
      <c r="H44" s="6"/>
      <c r="I44" s="10"/>
      <c r="L44" s="555">
        <v>41</v>
      </c>
      <c r="M44" s="746">
        <v>13.23900018419533</v>
      </c>
      <c r="N44" s="746">
        <v>28.113285882132363</v>
      </c>
      <c r="O44" s="746">
        <v>8.3430000032697169</v>
      </c>
    </row>
    <row r="45" spans="1:15" ht="11.25" customHeight="1">
      <c r="A45" s="74"/>
      <c r="B45" s="73"/>
      <c r="C45" s="73"/>
      <c r="D45" s="73"/>
      <c r="E45" s="73"/>
      <c r="F45" s="73"/>
      <c r="G45" s="73"/>
      <c r="H45" s="3"/>
      <c r="I45" s="10"/>
      <c r="L45" s="555">
        <v>42</v>
      </c>
      <c r="M45" s="746">
        <v>13.085142816816015</v>
      </c>
      <c r="N45" s="746">
        <v>37.073285511561743</v>
      </c>
      <c r="O45" s="746">
        <v>7.2735712868826683</v>
      </c>
    </row>
    <row r="46" spans="1:15" ht="11.25" customHeight="1">
      <c r="A46" s="74"/>
      <c r="B46" s="73"/>
      <c r="C46" s="73"/>
      <c r="D46" s="73"/>
      <c r="E46" s="73"/>
      <c r="F46" s="73"/>
      <c r="G46" s="73"/>
      <c r="H46" s="3"/>
      <c r="I46" s="10"/>
      <c r="L46" s="555">
        <v>43</v>
      </c>
      <c r="M46" s="746">
        <v>24.981571742466489</v>
      </c>
      <c r="N46" s="746">
        <v>70.535571507045162</v>
      </c>
      <c r="O46" s="746">
        <v>7.4324284962245324</v>
      </c>
    </row>
    <row r="47" spans="1:15" ht="11.25" customHeight="1">
      <c r="A47" s="74"/>
      <c r="B47" s="73"/>
      <c r="C47" s="73"/>
      <c r="D47" s="73"/>
      <c r="E47" s="73"/>
      <c r="F47" s="73"/>
      <c r="G47" s="73"/>
      <c r="H47" s="11"/>
      <c r="I47" s="11"/>
      <c r="L47" s="555">
        <v>44</v>
      </c>
      <c r="M47" s="746">
        <v>20.55814279714286</v>
      </c>
      <c r="N47" s="746">
        <v>55.183714184285712</v>
      </c>
      <c r="O47" s="746">
        <v>15.801856994857145</v>
      </c>
    </row>
    <row r="48" spans="1:15" ht="11.25" customHeight="1">
      <c r="A48" s="74"/>
      <c r="B48" s="73"/>
      <c r="C48" s="73"/>
      <c r="D48" s="73"/>
      <c r="E48" s="73"/>
      <c r="F48" s="73"/>
      <c r="G48" s="73"/>
      <c r="H48" s="11"/>
      <c r="I48" s="11"/>
      <c r="L48" s="555">
        <v>45</v>
      </c>
      <c r="M48" s="746">
        <v>26.170000077142856</v>
      </c>
      <c r="N48" s="746">
        <v>60.445714132857141</v>
      </c>
      <c r="O48" s="746">
        <v>26.432857787142858</v>
      </c>
    </row>
    <row r="49" spans="1:15" ht="11.25" customHeight="1">
      <c r="A49" s="74"/>
      <c r="B49" s="73"/>
      <c r="C49" s="73"/>
      <c r="D49" s="73"/>
      <c r="E49" s="73"/>
      <c r="F49" s="73"/>
      <c r="G49" s="73"/>
      <c r="H49" s="11"/>
      <c r="I49" s="11"/>
      <c r="L49" s="555">
        <v>46</v>
      </c>
      <c r="M49" s="746">
        <v>19.728571428571428</v>
      </c>
      <c r="N49" s="746">
        <v>57.005714285714291</v>
      </c>
      <c r="O49" s="746">
        <v>53.502857142857145</v>
      </c>
    </row>
    <row r="50" spans="1:15" ht="11.25" customHeight="1">
      <c r="A50" s="74"/>
      <c r="B50" s="73"/>
      <c r="C50" s="73"/>
      <c r="D50" s="73"/>
      <c r="E50" s="73"/>
      <c r="F50" s="73"/>
      <c r="G50" s="73"/>
      <c r="H50" s="11"/>
      <c r="I50" s="11"/>
      <c r="L50" s="555">
        <v>47</v>
      </c>
      <c r="M50" s="746">
        <v>39.656714302857139</v>
      </c>
      <c r="N50" s="746">
        <v>103.00771440714287</v>
      </c>
      <c r="O50" s="746">
        <v>53.459142955714292</v>
      </c>
    </row>
    <row r="51" spans="1:15" ht="11.25" customHeight="1">
      <c r="A51" s="74"/>
      <c r="B51" s="73"/>
      <c r="C51" s="73"/>
      <c r="D51" s="73"/>
      <c r="E51" s="73"/>
      <c r="F51" s="73"/>
      <c r="G51" s="73"/>
      <c r="H51" s="11"/>
      <c r="I51" s="11"/>
      <c r="L51" s="555">
        <v>48</v>
      </c>
      <c r="M51" s="746">
        <v>39.656714302857139</v>
      </c>
      <c r="N51" s="746">
        <v>99.828000734285709</v>
      </c>
      <c r="O51" s="746">
        <v>45.539571760000008</v>
      </c>
    </row>
    <row r="52" spans="1:15" ht="11.25" customHeight="1">
      <c r="A52" s="74"/>
      <c r="B52" s="73"/>
      <c r="C52" s="73"/>
      <c r="D52" s="73"/>
      <c r="E52" s="73"/>
      <c r="F52" s="73"/>
      <c r="G52" s="73"/>
      <c r="H52" s="11"/>
      <c r="I52" s="11"/>
      <c r="L52" s="555">
        <v>49</v>
      </c>
      <c r="M52" s="746">
        <v>22.62857142857143</v>
      </c>
      <c r="N52" s="746">
        <v>60.27571428571428</v>
      </c>
      <c r="O52" s="746">
        <v>17.955714285714286</v>
      </c>
    </row>
    <row r="53" spans="1:15" ht="11.25" customHeight="1">
      <c r="A53" s="74"/>
      <c r="B53" s="73"/>
      <c r="C53" s="73"/>
      <c r="D53" s="73"/>
      <c r="E53" s="73"/>
      <c r="F53" s="73"/>
      <c r="G53" s="73"/>
      <c r="H53" s="11"/>
      <c r="I53" s="11"/>
      <c r="L53" s="555">
        <v>50</v>
      </c>
      <c r="M53" s="746">
        <v>17.776714461428572</v>
      </c>
      <c r="N53" s="746">
        <v>46.701999664285715</v>
      </c>
      <c r="O53" s="746">
        <v>13.432571411428571</v>
      </c>
    </row>
    <row r="54" spans="1:15" ht="11.25" customHeight="1">
      <c r="A54" s="74"/>
      <c r="B54" s="73"/>
      <c r="C54" s="73"/>
      <c r="D54" s="73"/>
      <c r="E54" s="73"/>
      <c r="F54" s="73"/>
      <c r="G54" s="73"/>
      <c r="H54" s="11"/>
      <c r="I54" s="11"/>
      <c r="L54" s="555">
        <v>51</v>
      </c>
      <c r="M54" s="746">
        <v>34.085714285714282</v>
      </c>
      <c r="N54" s="746">
        <v>68.7</v>
      </c>
      <c r="O54" s="746">
        <v>39.414285714285711</v>
      </c>
    </row>
    <row r="55" spans="1:15" ht="13.2">
      <c r="A55" s="74"/>
      <c r="B55" s="73"/>
      <c r="C55" s="73"/>
      <c r="D55" s="73"/>
      <c r="E55" s="73"/>
      <c r="F55" s="73"/>
      <c r="G55" s="73"/>
      <c r="H55" s="11"/>
      <c r="I55" s="11"/>
      <c r="K55" s="555">
        <v>52</v>
      </c>
      <c r="L55" s="555">
        <v>52</v>
      </c>
      <c r="M55" s="746">
        <v>52.094142914285719</v>
      </c>
      <c r="N55" s="746">
        <v>97.347143448571416</v>
      </c>
      <c r="O55" s="746">
        <v>65.679429182857149</v>
      </c>
    </row>
    <row r="56" spans="1:15" ht="13.2">
      <c r="A56" s="74"/>
      <c r="B56" s="73"/>
      <c r="C56" s="73"/>
      <c r="D56" s="73"/>
      <c r="E56" s="73"/>
      <c r="F56" s="73"/>
      <c r="G56" s="73"/>
      <c r="H56" s="11"/>
      <c r="I56" s="11"/>
      <c r="J56" s="277">
        <v>2019</v>
      </c>
      <c r="K56" s="555">
        <v>1</v>
      </c>
      <c r="L56" s="555">
        <v>1</v>
      </c>
      <c r="M56" s="746">
        <v>27.79999951142857</v>
      </c>
      <c r="N56" s="746">
        <v>78.298570904285711</v>
      </c>
      <c r="O56" s="746">
        <v>21.927143370000003</v>
      </c>
    </row>
    <row r="57" spans="1:15" ht="13.2">
      <c r="A57" s="74"/>
      <c r="B57" s="73"/>
      <c r="C57" s="73"/>
      <c r="D57" s="73"/>
      <c r="E57" s="73"/>
      <c r="F57" s="73"/>
      <c r="G57" s="73"/>
      <c r="H57" s="11"/>
      <c r="I57" s="11"/>
      <c r="L57" s="555">
        <v>2</v>
      </c>
      <c r="M57" s="746">
        <v>28.678571428571427</v>
      </c>
      <c r="N57" s="746">
        <v>95.081715179999989</v>
      </c>
      <c r="O57" s="746">
        <v>22.397999900000002</v>
      </c>
    </row>
    <row r="58" spans="1:15" ht="13.2">
      <c r="A58" s="74"/>
      <c r="B58" s="73"/>
      <c r="C58" s="73"/>
      <c r="D58" s="73"/>
      <c r="E58" s="73"/>
      <c r="F58" s="73"/>
      <c r="G58" s="73"/>
      <c r="H58" s="11"/>
      <c r="I58" s="11"/>
      <c r="L58" s="555">
        <v>3</v>
      </c>
      <c r="M58" s="746">
        <v>44.51</v>
      </c>
      <c r="N58" s="746">
        <v>95.65</v>
      </c>
      <c r="O58" s="746">
        <v>17.61</v>
      </c>
    </row>
    <row r="59" spans="1:15" ht="13.2">
      <c r="A59" s="74"/>
      <c r="B59" s="73"/>
      <c r="C59" s="73"/>
      <c r="D59" s="73"/>
      <c r="E59" s="73"/>
      <c r="F59" s="73"/>
      <c r="G59" s="73"/>
      <c r="H59" s="11"/>
      <c r="I59" s="11"/>
      <c r="L59" s="555">
        <v>4</v>
      </c>
      <c r="M59" s="746">
        <v>73.323141914285699</v>
      </c>
      <c r="N59" s="746">
        <v>109.29957036285714</v>
      </c>
      <c r="O59" s="746">
        <v>17.638000354285712</v>
      </c>
    </row>
    <row r="60" spans="1:15" ht="13.2">
      <c r="A60" s="74"/>
      <c r="B60" s="73"/>
      <c r="C60" s="73"/>
      <c r="D60" s="73"/>
      <c r="E60" s="73"/>
      <c r="F60" s="73"/>
      <c r="G60" s="73"/>
      <c r="H60" s="11"/>
      <c r="I60" s="11"/>
      <c r="L60" s="555">
        <v>5</v>
      </c>
      <c r="M60" s="746">
        <v>103.17716724333333</v>
      </c>
      <c r="N60" s="746">
        <v>149.65083311999999</v>
      </c>
      <c r="O60" s="746">
        <v>19.218833289999999</v>
      </c>
    </row>
    <row r="61" spans="1:15" ht="13.2">
      <c r="A61" s="265" t="s">
        <v>593</v>
      </c>
      <c r="B61" s="73"/>
      <c r="C61" s="73"/>
      <c r="D61" s="73"/>
      <c r="E61" s="73"/>
      <c r="F61" s="73"/>
      <c r="G61" s="73"/>
      <c r="H61" s="11"/>
      <c r="I61" s="11"/>
      <c r="L61" s="555">
        <v>6</v>
      </c>
      <c r="M61" s="746">
        <v>79.165714285714287</v>
      </c>
      <c r="N61" s="746">
        <v>136.57714285714286</v>
      </c>
      <c r="O61" s="746">
        <v>57.185714285714276</v>
      </c>
    </row>
    <row r="62" spans="1:15">
      <c r="L62" s="555">
        <v>7</v>
      </c>
      <c r="M62" s="746">
        <v>120.02256992142858</v>
      </c>
      <c r="N62" s="746">
        <v>224.71071514285714</v>
      </c>
      <c r="O62" s="746">
        <v>118.06042697857141</v>
      </c>
    </row>
    <row r="63" spans="1:15">
      <c r="K63" s="555">
        <v>8</v>
      </c>
      <c r="L63" s="555">
        <v>8</v>
      </c>
      <c r="M63" s="746">
        <v>97.560142514285715</v>
      </c>
      <c r="N63" s="746">
        <v>198.04342652857142</v>
      </c>
      <c r="O63" s="746">
        <v>106.29885756428571</v>
      </c>
    </row>
    <row r="64" spans="1:15">
      <c r="L64" s="555">
        <v>9</v>
      </c>
      <c r="M64" s="746">
        <v>97.560142514285715</v>
      </c>
      <c r="N64" s="746">
        <v>191.0112849857143</v>
      </c>
      <c r="O64" s="746">
        <v>142.12385776285717</v>
      </c>
    </row>
    <row r="65" spans="11:15">
      <c r="L65" s="555">
        <v>10</v>
      </c>
      <c r="M65" s="746">
        <v>97.497286117142863</v>
      </c>
      <c r="N65" s="746">
        <v>215.64014109999999</v>
      </c>
      <c r="O65" s="746">
        <v>164.59685624285717</v>
      </c>
    </row>
    <row r="66" spans="11:15">
      <c r="L66" s="555">
        <v>11</v>
      </c>
      <c r="M66" s="746">
        <v>98.21585736955906</v>
      </c>
      <c r="N66" s="746">
        <v>236.76099940708642</v>
      </c>
      <c r="O66" s="746">
        <v>121.6507121494835</v>
      </c>
    </row>
    <row r="67" spans="11:15">
      <c r="L67" s="555">
        <v>12</v>
      </c>
      <c r="M67" s="746">
        <v>91.857713972857141</v>
      </c>
      <c r="N67" s="746">
        <v>250.8679761904763</v>
      </c>
      <c r="O67" s="746">
        <v>166.63136904761905</v>
      </c>
    </row>
    <row r="68" spans="11:15">
      <c r="L68" s="555">
        <v>13</v>
      </c>
      <c r="M68" s="746">
        <v>100.0137132957143</v>
      </c>
      <c r="N68" s="746">
        <v>301.45971681428574</v>
      </c>
      <c r="O68" s="746">
        <v>180.07000078571429</v>
      </c>
    </row>
    <row r="69" spans="11:15">
      <c r="L69" s="555">
        <v>14</v>
      </c>
      <c r="M69" s="746">
        <v>84.272714885714294</v>
      </c>
      <c r="N69" s="746">
        <v>253.08542525714284</v>
      </c>
      <c r="O69" s="746">
        <v>143.43971579999999</v>
      </c>
    </row>
    <row r="70" spans="11:15">
      <c r="L70" s="555">
        <v>15</v>
      </c>
      <c r="M70" s="746">
        <v>61.074856892857142</v>
      </c>
      <c r="N70" s="746">
        <v>253.08542525714284</v>
      </c>
      <c r="O70" s="746">
        <v>152.6561442857143</v>
      </c>
    </row>
    <row r="71" spans="11:15">
      <c r="K71" s="555">
        <v>16</v>
      </c>
      <c r="L71" s="555">
        <v>16</v>
      </c>
      <c r="M71" s="746">
        <v>47.843714031428576</v>
      </c>
      <c r="N71" s="746">
        <v>141.0458592</v>
      </c>
      <c r="O71" s="746">
        <v>83.844285145714295</v>
      </c>
    </row>
    <row r="72" spans="11:15">
      <c r="L72" s="555">
        <v>17</v>
      </c>
      <c r="M72" s="746">
        <v>50.907143728571427</v>
      </c>
      <c r="N72" s="746">
        <v>123.86656951428571</v>
      </c>
      <c r="O72" s="746">
        <v>125.28814153857142</v>
      </c>
    </row>
    <row r="73" spans="11:15">
      <c r="L73" s="555">
        <v>18</v>
      </c>
      <c r="M73" s="746">
        <v>39.120999471428568</v>
      </c>
      <c r="N73" s="746">
        <v>85.173857551428583</v>
      </c>
      <c r="O73" s="746">
        <v>66.347143447142855</v>
      </c>
    </row>
    <row r="74" spans="11:15">
      <c r="L74" s="555">
        <v>19</v>
      </c>
      <c r="M74" s="746">
        <v>35.410856791428571</v>
      </c>
      <c r="N74" s="746">
        <v>71.224285714285699</v>
      </c>
      <c r="O74" s="746">
        <v>42.216071428571425</v>
      </c>
    </row>
    <row r="75" spans="11:15">
      <c r="L75" s="555">
        <v>20</v>
      </c>
      <c r="M75" s="746">
        <v>32.405142920000003</v>
      </c>
      <c r="N75" s="746">
        <v>76.857142859999996</v>
      </c>
      <c r="O75" s="746">
        <v>58.324429100000003</v>
      </c>
    </row>
    <row r="76" spans="11:15">
      <c r="L76" s="555">
        <v>21</v>
      </c>
      <c r="M76" s="746">
        <v>26.58385740142857</v>
      </c>
      <c r="N76" s="746">
        <v>47.97114345</v>
      </c>
      <c r="O76" s="746">
        <v>34.032571519999998</v>
      </c>
    </row>
    <row r="77" spans="11:15">
      <c r="L77" s="555">
        <v>22</v>
      </c>
      <c r="M77" s="746">
        <v>19.653714315714286</v>
      </c>
      <c r="N77" s="746">
        <v>37.624285945285713</v>
      </c>
      <c r="O77" s="746">
        <v>40.524285998571429</v>
      </c>
    </row>
    <row r="78" spans="11:15">
      <c r="L78" s="555">
        <v>23</v>
      </c>
      <c r="M78" s="746">
        <v>16.50400011857143</v>
      </c>
      <c r="N78" s="746">
        <v>37.806285858571421</v>
      </c>
      <c r="O78" s="746">
        <v>25.010571342857141</v>
      </c>
    </row>
    <row r="79" spans="11:15">
      <c r="L79" s="555">
        <v>24</v>
      </c>
      <c r="M79" s="746">
        <v>14.890428544285713</v>
      </c>
      <c r="N79" s="746">
        <v>35.468714032857143</v>
      </c>
      <c r="O79" s="746">
        <v>18.242713997857145</v>
      </c>
    </row>
    <row r="80" spans="11:15">
      <c r="L80" s="555">
        <v>25</v>
      </c>
      <c r="M80" s="746">
        <v>15.340000017142858</v>
      </c>
      <c r="N80" s="746">
        <v>33.200142724285719</v>
      </c>
      <c r="O80" s="746">
        <v>16.013142995714286</v>
      </c>
    </row>
    <row r="81" spans="11:15">
      <c r="K81" s="555">
        <v>26</v>
      </c>
      <c r="L81" s="555">
        <v>26</v>
      </c>
      <c r="M81" s="746">
        <v>15.521142687142857</v>
      </c>
      <c r="N81" s="746">
        <v>28.376285825714287</v>
      </c>
      <c r="O81" s="746">
        <v>12.961571557142857</v>
      </c>
    </row>
    <row r="82" spans="11:15">
      <c r="L82" s="555">
        <v>27</v>
      </c>
      <c r="M82" s="746">
        <v>15.32</v>
      </c>
      <c r="N82" s="746">
        <v>28.47</v>
      </c>
      <c r="O82" s="746">
        <v>11.39</v>
      </c>
    </row>
    <row r="83" spans="11:15">
      <c r="L83" s="555">
        <v>28</v>
      </c>
      <c r="M83" s="746">
        <v>14.809428488571427</v>
      </c>
      <c r="N83" s="746">
        <v>28.920333226666667</v>
      </c>
      <c r="O83" s="746">
        <v>11.405166626666668</v>
      </c>
    </row>
    <row r="84" spans="11:15">
      <c r="L84" s="555">
        <v>29</v>
      </c>
      <c r="M84" s="746">
        <v>13.666428565978956</v>
      </c>
      <c r="N84" s="746">
        <v>24.422333717346149</v>
      </c>
      <c r="O84" s="746">
        <v>10.173999945322651</v>
      </c>
    </row>
    <row r="85" spans="11:15">
      <c r="L85" s="555">
        <v>30</v>
      </c>
      <c r="M85" s="746">
        <v>13.392857142857142</v>
      </c>
      <c r="N85" s="746">
        <v>24.086666666666662</v>
      </c>
      <c r="O85" s="746">
        <v>9.1716666666666669</v>
      </c>
    </row>
    <row r="86" spans="11:15">
      <c r="L86" s="555">
        <v>31</v>
      </c>
      <c r="M86" s="746">
        <v>13.098428589999999</v>
      </c>
      <c r="N86" s="746">
        <v>22.471285411428575</v>
      </c>
      <c r="O86" s="746">
        <v>8.5915715354285727</v>
      </c>
    </row>
    <row r="87" spans="11:15">
      <c r="L87" s="555">
        <v>32</v>
      </c>
      <c r="M87" s="746">
        <v>12.228285654285713</v>
      </c>
      <c r="N87" s="746">
        <v>25.212714058571429</v>
      </c>
      <c r="O87" s="746">
        <v>6.6260000637142857</v>
      </c>
    </row>
    <row r="88" spans="11:15">
      <c r="L88" s="555">
        <v>33</v>
      </c>
      <c r="M88" s="746">
        <v>12.838714327142856</v>
      </c>
      <c r="N88" s="746">
        <v>28.061000278571431</v>
      </c>
      <c r="O88" s="746">
        <v>5.9311428751428581</v>
      </c>
    </row>
    <row r="89" spans="11:15">
      <c r="K89" s="555">
        <v>34</v>
      </c>
      <c r="L89" s="555">
        <v>34</v>
      </c>
      <c r="M89" s="746">
        <v>12.37928554</v>
      </c>
      <c r="N89" s="746">
        <v>28.455856868571431</v>
      </c>
      <c r="O89" s="746">
        <v>5.2604285648571434</v>
      </c>
    </row>
    <row r="90" spans="11:15">
      <c r="L90" s="555">
        <v>35</v>
      </c>
      <c r="M90" s="746">
        <v>11.92371409142857</v>
      </c>
      <c r="N90" s="746">
        <v>26.646000226666668</v>
      </c>
      <c r="O90" s="746">
        <v>4.7316666444999997</v>
      </c>
    </row>
    <row r="91" spans="11:15">
      <c r="L91" s="555">
        <v>36</v>
      </c>
      <c r="M91" s="746">
        <v>10.731857162857143</v>
      </c>
      <c r="N91" s="746">
        <v>27.720570974285714</v>
      </c>
      <c r="O91" s="746">
        <v>4.5542856622857144</v>
      </c>
    </row>
    <row r="92" spans="11:15">
      <c r="L92" s="555">
        <v>37</v>
      </c>
      <c r="M92" s="746">
        <v>11.481428825714286</v>
      </c>
      <c r="N92" s="746">
        <v>27.967571258571429</v>
      </c>
      <c r="O92" s="746">
        <v>4.1919999124285718</v>
      </c>
    </row>
    <row r="93" spans="11:15">
      <c r="L93" s="555">
        <v>38</v>
      </c>
      <c r="M93" s="746">
        <v>12.217142857142859</v>
      </c>
      <c r="N93" s="746">
        <v>31.354000000000003</v>
      </c>
      <c r="O93" s="746">
        <v>4.1759999999999993</v>
      </c>
    </row>
    <row r="94" spans="11:15">
      <c r="L94" s="555">
        <v>39</v>
      </c>
      <c r="M94" s="746">
        <v>15.0261430740356</v>
      </c>
      <c r="N94" s="746">
        <v>37.146399307250938</v>
      </c>
      <c r="O94" s="746">
        <v>4.8932001113891559</v>
      </c>
    </row>
    <row r="95" spans="11:15">
      <c r="L95" s="555">
        <v>40</v>
      </c>
      <c r="M95" s="746">
        <v>13.292000225714288</v>
      </c>
      <c r="N95" s="746">
        <v>29.934999783333328</v>
      </c>
      <c r="O95" s="746">
        <v>5.3130000431666664</v>
      </c>
    </row>
    <row r="96" spans="11:15">
      <c r="L96" s="555">
        <v>41</v>
      </c>
      <c r="M96" s="746">
        <v>15.472143037142859</v>
      </c>
      <c r="N96" s="746">
        <v>31.668000084285715</v>
      </c>
      <c r="O96" s="746">
        <v>8.3924286701428574</v>
      </c>
    </row>
    <row r="97" spans="10:15">
      <c r="L97" s="555">
        <v>42</v>
      </c>
      <c r="M97" s="746">
        <v>14.602857142857143</v>
      </c>
      <c r="N97" s="746">
        <v>30.061428571428571</v>
      </c>
      <c r="O97" s="746">
        <v>9.2871428571428574</v>
      </c>
    </row>
    <row r="98" spans="10:15">
      <c r="L98" s="555">
        <v>43</v>
      </c>
      <c r="M98" s="746">
        <v>18.763999527142854</v>
      </c>
      <c r="N98" s="746">
        <v>48.129999975714291</v>
      </c>
      <c r="O98" s="746">
        <v>18.153714861428572</v>
      </c>
    </row>
    <row r="99" spans="10:15">
      <c r="K99" s="555">
        <v>44</v>
      </c>
      <c r="L99" s="555">
        <v>44</v>
      </c>
      <c r="M99" s="746">
        <v>12.722428322857143</v>
      </c>
      <c r="N99" s="746">
        <v>37.781833011666663</v>
      </c>
      <c r="O99" s="746">
        <v>19.903499760000003</v>
      </c>
    </row>
    <row r="100" spans="10:15">
      <c r="L100" s="555">
        <v>45</v>
      </c>
      <c r="M100" s="746">
        <v>22.372000012857146</v>
      </c>
      <c r="N100" s="746">
        <v>60.721429549999996</v>
      </c>
      <c r="O100" s="746">
        <v>69.077428547142844</v>
      </c>
    </row>
    <row r="101" spans="10:15">
      <c r="L101" s="555">
        <v>46</v>
      </c>
      <c r="M101" s="746">
        <v>28.101571491428576</v>
      </c>
      <c r="N101" s="746">
        <v>68.569856369999997</v>
      </c>
      <c r="O101" s="746">
        <v>51.190428054285711</v>
      </c>
    </row>
    <row r="102" spans="10:15">
      <c r="L102" s="555">
        <v>47</v>
      </c>
      <c r="M102" s="746">
        <v>22.222285951428574</v>
      </c>
      <c r="N102" s="746">
        <v>51.534999302857152</v>
      </c>
      <c r="O102" s="746">
        <v>21.676285608571426</v>
      </c>
    </row>
    <row r="103" spans="10:15">
      <c r="L103" s="555">
        <v>48</v>
      </c>
      <c r="M103" s="746">
        <v>18.796428408571426</v>
      </c>
      <c r="N103" s="746">
        <v>45.115714484285718</v>
      </c>
      <c r="O103" s="746">
        <v>19.428714208571428</v>
      </c>
    </row>
    <row r="104" spans="10:15">
      <c r="L104" s="555">
        <v>49</v>
      </c>
      <c r="M104" s="746">
        <v>40.459857124285712</v>
      </c>
      <c r="N104" s="746">
        <v>84.846428458571424</v>
      </c>
      <c r="O104" s="746">
        <v>67.787142617142862</v>
      </c>
    </row>
    <row r="105" spans="10:15">
      <c r="L105" s="555">
        <v>50</v>
      </c>
      <c r="M105" s="746">
        <v>55.208571570000004</v>
      </c>
      <c r="N105" s="746">
        <v>99.139714364285723</v>
      </c>
      <c r="O105" s="746">
        <v>46.000713344285714</v>
      </c>
    </row>
    <row r="106" spans="10:15">
      <c r="L106" s="555">
        <v>51</v>
      </c>
      <c r="M106" s="746">
        <v>84.778857641428559</v>
      </c>
      <c r="N106" s="746">
        <v>201.52657207142857</v>
      </c>
      <c r="O106" s="746">
        <v>43.586286274285712</v>
      </c>
    </row>
    <row r="107" spans="10:15">
      <c r="K107" s="555">
        <v>52</v>
      </c>
      <c r="L107" s="555">
        <v>52</v>
      </c>
      <c r="M107" s="746">
        <v>90.21400125571428</v>
      </c>
      <c r="N107" s="746">
        <v>224.1094316857143</v>
      </c>
      <c r="O107" s="746">
        <v>50.483570642857153</v>
      </c>
    </row>
    <row r="108" spans="10:15">
      <c r="L108" s="555">
        <v>53</v>
      </c>
      <c r="M108" s="746">
        <v>80.061285835714287</v>
      </c>
      <c r="N108" s="746">
        <v>205.2461395</v>
      </c>
      <c r="O108" s="746">
        <v>83.637714931428576</v>
      </c>
    </row>
    <row r="109" spans="10:15">
      <c r="J109" s="277">
        <v>2020</v>
      </c>
      <c r="L109" s="555">
        <v>1</v>
      </c>
      <c r="M109" s="746">
        <v>42.7519994463239</v>
      </c>
      <c r="N109" s="746">
        <v>129.33128356933543</v>
      </c>
      <c r="O109" s="746">
        <v>35.412713732038192</v>
      </c>
    </row>
    <row r="110" spans="10:15">
      <c r="L110" s="555">
        <v>2</v>
      </c>
      <c r="M110" s="746">
        <v>30.679571151428568</v>
      </c>
      <c r="N110" s="746">
        <v>73.393001012857141</v>
      </c>
      <c r="O110" s="746">
        <v>22.044856754285714</v>
      </c>
    </row>
    <row r="111" spans="10:15">
      <c r="L111" s="555">
        <v>3</v>
      </c>
      <c r="M111" s="746">
        <v>46.443999700000006</v>
      </c>
      <c r="N111" s="746">
        <v>73.092571804285726</v>
      </c>
      <c r="O111" s="746">
        <v>18.210142817142859</v>
      </c>
    </row>
    <row r="112" spans="10:15">
      <c r="L112" s="555">
        <v>4</v>
      </c>
      <c r="M112" s="746">
        <v>56.559571404285713</v>
      </c>
      <c r="N112" s="746">
        <v>140.69343129999999</v>
      </c>
      <c r="O112" s="746">
        <v>15.934428624285713</v>
      </c>
    </row>
    <row r="113" spans="11:15">
      <c r="L113" s="555">
        <v>5</v>
      </c>
      <c r="M113" s="746">
        <v>85.997285015714283</v>
      </c>
      <c r="N113" s="746">
        <v>189.96014404285714</v>
      </c>
      <c r="O113" s="746">
        <v>16.347999845714288</v>
      </c>
    </row>
    <row r="114" spans="11:15">
      <c r="L114" s="555">
        <v>6</v>
      </c>
      <c r="M114" s="746">
        <v>79.643857683454215</v>
      </c>
      <c r="N114" s="746">
        <v>184.55100359235459</v>
      </c>
      <c r="O114" s="746">
        <v>24.545571190970243</v>
      </c>
    </row>
    <row r="115" spans="11:15">
      <c r="L115" s="555">
        <v>7</v>
      </c>
      <c r="M115" s="746">
        <v>62.11542837857143</v>
      </c>
      <c r="N115" s="746">
        <v>141.4891401142857</v>
      </c>
      <c r="O115" s="746">
        <v>17.933714184285712</v>
      </c>
    </row>
    <row r="116" spans="11:15">
      <c r="K116" s="555">
        <v>8</v>
      </c>
      <c r="L116" s="555">
        <v>8</v>
      </c>
      <c r="M116" s="746">
        <v>41.134571620396166</v>
      </c>
      <c r="N116" s="746">
        <v>83.969571794782198</v>
      </c>
      <c r="O116" s="746">
        <v>15.5625712530953</v>
      </c>
    </row>
    <row r="117" spans="11:15">
      <c r="L117" s="555">
        <v>9</v>
      </c>
      <c r="M117" s="746">
        <v>70.027142117142859</v>
      </c>
      <c r="N117" s="746">
        <v>124.34114185428572</v>
      </c>
      <c r="O117" s="746">
        <v>23.340428760000002</v>
      </c>
    </row>
    <row r="118" spans="11:15">
      <c r="L118" s="555">
        <v>10</v>
      </c>
      <c r="M118" s="746">
        <v>51.713285718571434</v>
      </c>
      <c r="N118" s="746">
        <v>110.96499854142857</v>
      </c>
      <c r="O118" s="746">
        <v>51.143429344285714</v>
      </c>
    </row>
    <row r="119" spans="11:15">
      <c r="L119" s="555">
        <v>11</v>
      </c>
      <c r="M119" s="746">
        <v>64.999999455714274</v>
      </c>
      <c r="N119" s="746">
        <v>130.17914037142856</v>
      </c>
      <c r="O119" s="746">
        <v>73.820713587142862</v>
      </c>
    </row>
    <row r="120" spans="11:15">
      <c r="L120" s="555">
        <v>12</v>
      </c>
      <c r="M120" s="746">
        <v>70.530143192836164</v>
      </c>
      <c r="N120" s="746">
        <v>127.86657169886942</v>
      </c>
      <c r="O120" s="746">
        <v>34.1388571602957</v>
      </c>
    </row>
    <row r="121" spans="11:15">
      <c r="L121" s="555">
        <v>13</v>
      </c>
      <c r="M121" s="746">
        <v>73.710714612688278</v>
      </c>
      <c r="N121" s="746">
        <v>138.12900325230143</v>
      </c>
      <c r="O121" s="746">
        <v>66.457714898245612</v>
      </c>
    </row>
    <row r="122" spans="11:15">
      <c r="L122" s="555">
        <v>14</v>
      </c>
      <c r="M122" s="746">
        <v>57.796857017142862</v>
      </c>
      <c r="N122" s="746">
        <v>109.14457049285714</v>
      </c>
      <c r="O122" s="746">
        <v>82.626999985714278</v>
      </c>
    </row>
    <row r="123" spans="11:15">
      <c r="L123" s="555">
        <v>15</v>
      </c>
      <c r="M123" s="746">
        <v>44.430285317142861</v>
      </c>
      <c r="N123" s="746">
        <v>80.133571635714276</v>
      </c>
      <c r="O123" s="746">
        <v>89.91342707714287</v>
      </c>
    </row>
    <row r="124" spans="11:15">
      <c r="K124" s="555">
        <v>16</v>
      </c>
      <c r="L124" s="555">
        <v>16</v>
      </c>
      <c r="M124" s="746">
        <v>30.701856885714285</v>
      </c>
      <c r="N124" s="746">
        <v>57.13714327142857</v>
      </c>
      <c r="O124" s="746">
        <v>73.487428932857142</v>
      </c>
    </row>
    <row r="125" spans="11:15">
      <c r="L125" s="555">
        <v>17</v>
      </c>
      <c r="M125" s="746">
        <v>24.932857240949314</v>
      </c>
      <c r="N125" s="746">
        <v>55.184285845075259</v>
      </c>
      <c r="O125" s="746">
        <v>80.585714067731558</v>
      </c>
    </row>
    <row r="126" spans="11:15">
      <c r="L126" s="555">
        <v>18</v>
      </c>
      <c r="M126" s="746">
        <v>46.867285591428576</v>
      </c>
      <c r="N126" s="746">
        <v>80.201000221428572</v>
      </c>
      <c r="O126" s="746">
        <v>93.131286082857144</v>
      </c>
    </row>
    <row r="127" spans="11:15">
      <c r="L127" s="555">
        <v>19</v>
      </c>
      <c r="M127" s="746">
        <v>39.880857740000003</v>
      </c>
      <c r="N127" s="746">
        <v>73.398713792857151</v>
      </c>
      <c r="O127" s="746">
        <v>43.960427964285714</v>
      </c>
    </row>
    <row r="128" spans="11:15">
      <c r="L128" s="555">
        <v>20</v>
      </c>
      <c r="M128" s="746">
        <v>34.332998821428575</v>
      </c>
      <c r="N128" s="746">
        <v>57.629714421428567</v>
      </c>
      <c r="O128" s="746">
        <v>29.038571492857141</v>
      </c>
    </row>
    <row r="129" spans="11:15">
      <c r="L129" s="555">
        <v>21</v>
      </c>
      <c r="M129" s="746">
        <v>28.39914212908057</v>
      </c>
      <c r="N129" s="746">
        <v>47.208427974155924</v>
      </c>
      <c r="O129" s="746">
        <v>20.747856957571798</v>
      </c>
    </row>
    <row r="130" spans="11:15">
      <c r="L130" s="555">
        <v>22</v>
      </c>
      <c r="M130" s="746">
        <v>19.016142710000004</v>
      </c>
      <c r="N130" s="746">
        <v>39.635571071428572</v>
      </c>
      <c r="O130" s="746">
        <v>28.597570964285715</v>
      </c>
    </row>
    <row r="131" spans="11:15">
      <c r="L131" s="555">
        <v>23</v>
      </c>
      <c r="M131" s="746">
        <v>16.323713982857143</v>
      </c>
      <c r="N131" s="746">
        <v>49.136857168571431</v>
      </c>
      <c r="O131" s="746">
        <v>19.104714530000003</v>
      </c>
    </row>
    <row r="132" spans="11:15">
      <c r="K132" s="555">
        <v>24</v>
      </c>
      <c r="L132" s="555">
        <v>24</v>
      </c>
      <c r="M132" s="746">
        <v>14.458999906267413</v>
      </c>
      <c r="N132" s="746">
        <v>34.150428227015844</v>
      </c>
      <c r="O132" s="746">
        <v>14.211285591125442</v>
      </c>
    </row>
    <row r="133" spans="11:15">
      <c r="L133" s="555">
        <v>25</v>
      </c>
      <c r="M133" s="746">
        <v>13.476999827142858</v>
      </c>
      <c r="N133" s="746">
        <v>32.288857598571425</v>
      </c>
      <c r="O133" s="746">
        <v>11.628714288571429</v>
      </c>
    </row>
    <row r="134" spans="11:15">
      <c r="L134" s="555">
        <v>26</v>
      </c>
      <c r="M134" s="746">
        <v>14.175142699999999</v>
      </c>
      <c r="N134" s="746">
        <v>29.45585686714286</v>
      </c>
      <c r="O134" s="746">
        <v>11.67571422</v>
      </c>
    </row>
    <row r="135" spans="11:15">
      <c r="L135" s="555">
        <v>27</v>
      </c>
      <c r="M135" s="746">
        <v>12.859571456909155</v>
      </c>
      <c r="N135" s="788">
        <v>27.986428669520745</v>
      </c>
      <c r="O135" s="746">
        <v>27.48885754176543</v>
      </c>
    </row>
    <row r="136" spans="11:15">
      <c r="L136" s="555">
        <v>28</v>
      </c>
      <c r="M136" s="746">
        <v>11.472142902857144</v>
      </c>
      <c r="N136" s="788">
        <v>24.371857235714284</v>
      </c>
      <c r="O136" s="746">
        <v>32.395143782857147</v>
      </c>
    </row>
    <row r="137" spans="11:15">
      <c r="L137" s="555">
        <v>29</v>
      </c>
      <c r="M137" s="746">
        <v>11.32885715142857</v>
      </c>
      <c r="N137" s="788">
        <v>23.620857238571428</v>
      </c>
      <c r="O137" s="746">
        <v>14.974999971428572</v>
      </c>
    </row>
    <row r="138" spans="11:15">
      <c r="L138" s="555">
        <v>30</v>
      </c>
      <c r="M138" s="746">
        <v>11.152000155714285</v>
      </c>
      <c r="N138" s="788">
        <v>26.757428577142853</v>
      </c>
      <c r="O138" s="746">
        <v>14.12842846</v>
      </c>
    </row>
    <row r="139" spans="11:15">
      <c r="L139" s="555">
        <v>31</v>
      </c>
      <c r="M139" s="746">
        <v>10.852571488571428</v>
      </c>
      <c r="N139" s="788">
        <v>26.481285638571428</v>
      </c>
      <c r="O139" s="746">
        <v>10.121857098285714</v>
      </c>
    </row>
    <row r="140" spans="11:15">
      <c r="K140" s="555">
        <v>32</v>
      </c>
      <c r="L140" s="555">
        <v>32</v>
      </c>
      <c r="M140" s="746">
        <v>10.338285718645329</v>
      </c>
      <c r="N140" s="788">
        <v>25.506571633475126</v>
      </c>
      <c r="O140" s="746">
        <v>7.7241428239004906</v>
      </c>
    </row>
    <row r="141" spans="11:15">
      <c r="L141" s="555">
        <v>33</v>
      </c>
      <c r="M141" s="746">
        <v>11.413999967142857</v>
      </c>
      <c r="N141" s="788">
        <v>31.441428594285707</v>
      </c>
      <c r="O141" s="746">
        <v>8.5772858349999996</v>
      </c>
    </row>
    <row r="142" spans="11:15">
      <c r="L142" s="555">
        <v>34</v>
      </c>
      <c r="M142" s="746">
        <v>11.662143027142859</v>
      </c>
      <c r="N142" s="788">
        <v>33.365713935714282</v>
      </c>
      <c r="O142" s="746">
        <v>6.7090001108571427</v>
      </c>
    </row>
    <row r="143" spans="11:15">
      <c r="L143" s="555">
        <v>35</v>
      </c>
      <c r="M143" s="746">
        <v>11.541428702218141</v>
      </c>
      <c r="N143" s="746">
        <v>29.068999699183816</v>
      </c>
      <c r="O143" s="746">
        <v>5.7295714105878517</v>
      </c>
    </row>
    <row r="144" spans="11:15">
      <c r="L144" s="555">
        <v>36</v>
      </c>
      <c r="M144" s="746">
        <v>13.286857196262856</v>
      </c>
      <c r="N144" s="746">
        <v>26.005428859165701</v>
      </c>
      <c r="O144" s="746">
        <v>5.6865714618137853</v>
      </c>
    </row>
    <row r="145" spans="11:15">
      <c r="L145" s="555">
        <v>37</v>
      </c>
      <c r="M145" s="746">
        <v>15.49071434565947</v>
      </c>
      <c r="N145" s="746">
        <v>25.021857125418485</v>
      </c>
      <c r="O145" s="746">
        <v>5.3568570954459016</v>
      </c>
    </row>
    <row r="146" spans="11:15">
      <c r="L146" s="555">
        <v>38</v>
      </c>
      <c r="M146" s="746">
        <v>16.166143281119158</v>
      </c>
      <c r="N146" s="746">
        <v>27.854714257376486</v>
      </c>
      <c r="O146" s="746">
        <v>6.9268571308680906</v>
      </c>
    </row>
    <row r="147" spans="11:15">
      <c r="L147" s="555">
        <v>39</v>
      </c>
      <c r="M147" s="746">
        <v>16.810999734285712</v>
      </c>
      <c r="N147" s="789">
        <v>27.986571175714282</v>
      </c>
      <c r="O147" s="746">
        <v>9.9768571861428565</v>
      </c>
    </row>
    <row r="148" spans="11:15">
      <c r="K148" s="555">
        <v>40</v>
      </c>
      <c r="L148" s="555">
        <v>40</v>
      </c>
      <c r="M148" s="746">
        <v>14.579285758571428</v>
      </c>
      <c r="N148" s="789">
        <v>25.258999961428572</v>
      </c>
      <c r="O148" s="746">
        <v>7.1328571184285705</v>
      </c>
    </row>
    <row r="149" spans="11:15">
      <c r="L149" s="555">
        <v>41</v>
      </c>
      <c r="M149" s="746">
        <v>13.048857279999998</v>
      </c>
      <c r="N149" s="789">
        <v>25.185571671428566</v>
      </c>
      <c r="O149" s="746">
        <v>4.9102856772857146</v>
      </c>
    </row>
    <row r="150" spans="11:15">
      <c r="L150" s="555">
        <v>42</v>
      </c>
      <c r="M150" s="746">
        <v>14.871000289916955</v>
      </c>
      <c r="N150" s="789">
        <v>33.125999450683558</v>
      </c>
      <c r="O150" s="746">
        <v>6.3367142677306969</v>
      </c>
    </row>
    <row r="151" spans="11:15">
      <c r="L151" s="555">
        <v>43</v>
      </c>
      <c r="M151" s="746">
        <v>21.991714477142857</v>
      </c>
      <c r="N151" s="789">
        <v>41.127143314285711</v>
      </c>
      <c r="O151" s="746">
        <v>11.867142950714285</v>
      </c>
    </row>
    <row r="152" spans="11:15">
      <c r="L152" s="555">
        <v>44</v>
      </c>
      <c r="M152" s="746">
        <v>13.904857091428573</v>
      </c>
      <c r="N152" s="746">
        <v>33.038428169999996</v>
      </c>
      <c r="O152" s="746">
        <v>5.2337141718571427</v>
      </c>
    </row>
    <row r="153" spans="11:15">
      <c r="L153" s="555">
        <v>45</v>
      </c>
      <c r="M153" s="746">
        <v>13.184428621428571</v>
      </c>
      <c r="N153" s="746">
        <v>40.115713391428571</v>
      </c>
      <c r="O153" s="746">
        <v>5.0682858059999996</v>
      </c>
    </row>
    <row r="154" spans="11:15">
      <c r="L154" s="555">
        <v>46</v>
      </c>
      <c r="M154" s="746">
        <v>13.14228561857143</v>
      </c>
      <c r="N154" s="746">
        <v>43.881571090000001</v>
      </c>
      <c r="O154" s="746">
        <v>4.7745714188571426</v>
      </c>
    </row>
    <row r="155" spans="11:15">
      <c r="L155" s="555">
        <v>47</v>
      </c>
      <c r="M155" s="746">
        <v>15.124714305714289</v>
      </c>
      <c r="N155" s="746">
        <v>42.811571392857147</v>
      </c>
      <c r="O155" s="746">
        <v>5.635714394571429</v>
      </c>
    </row>
    <row r="156" spans="11:15">
      <c r="L156" s="555">
        <v>48</v>
      </c>
      <c r="M156" s="746">
        <v>27.692142758571432</v>
      </c>
      <c r="N156" s="746">
        <v>66.262570518571422</v>
      </c>
      <c r="O156" s="746">
        <v>27.02714340957143</v>
      </c>
    </row>
    <row r="157" spans="11:15">
      <c r="L157" s="555">
        <v>49</v>
      </c>
      <c r="M157" s="746">
        <v>64.694000790000004</v>
      </c>
      <c r="N157" s="746">
        <v>122.24228668571428</v>
      </c>
      <c r="O157" s="746">
        <v>80.020142697142845</v>
      </c>
    </row>
    <row r="158" spans="11:15">
      <c r="L158" s="555">
        <v>50</v>
      </c>
      <c r="M158" s="746">
        <v>43.356857299999994</v>
      </c>
      <c r="N158" s="746">
        <v>78.250285555714285</v>
      </c>
      <c r="O158" s="746">
        <v>98.373141695714281</v>
      </c>
    </row>
    <row r="159" spans="11:15">
      <c r="L159" s="555">
        <v>51</v>
      </c>
      <c r="M159" s="746">
        <v>66.695286888571431</v>
      </c>
      <c r="N159" s="746">
        <v>123.13128661428571</v>
      </c>
      <c r="O159" s="746">
        <v>141.80585590000001</v>
      </c>
    </row>
    <row r="160" spans="11:15">
      <c r="K160" s="555">
        <v>52</v>
      </c>
      <c r="L160" s="555">
        <v>52</v>
      </c>
      <c r="M160" s="746">
        <v>79.132000515714282</v>
      </c>
      <c r="N160" s="746">
        <v>151.04400198571429</v>
      </c>
      <c r="O160" s="746">
        <v>62.055856431428573</v>
      </c>
    </row>
    <row r="161" spans="10:21">
      <c r="J161" s="277">
        <v>2021</v>
      </c>
      <c r="L161" s="555">
        <v>1</v>
      </c>
      <c r="M161" s="746">
        <v>93.616000575714295</v>
      </c>
      <c r="N161" s="746">
        <v>194.93985855714286</v>
      </c>
      <c r="O161" s="746">
        <v>38.49128532428572</v>
      </c>
    </row>
    <row r="162" spans="10:21">
      <c r="L162" s="555">
        <v>2</v>
      </c>
      <c r="M162" s="746">
        <v>109.19371577142856</v>
      </c>
      <c r="N162" s="746">
        <v>191.56657192857145</v>
      </c>
      <c r="O162" s="746">
        <v>52.185428618571436</v>
      </c>
    </row>
    <row r="163" spans="10:21">
      <c r="L163" s="555">
        <v>3</v>
      </c>
      <c r="M163" s="746">
        <v>111.32100131428571</v>
      </c>
      <c r="N163" s="746">
        <v>253.28128705714289</v>
      </c>
      <c r="O163" s="746">
        <v>72.971142360000002</v>
      </c>
    </row>
    <row r="164" spans="10:21">
      <c r="L164" s="555">
        <v>4</v>
      </c>
      <c r="M164" s="746">
        <v>111.11885721428568</v>
      </c>
      <c r="N164" s="746">
        <v>244.7925720428571</v>
      </c>
      <c r="O164" s="746">
        <v>82.663999837142867</v>
      </c>
    </row>
    <row r="165" spans="10:21" s="582" customFormat="1">
      <c r="J165" s="277"/>
      <c r="K165" s="555">
        <v>5</v>
      </c>
      <c r="L165" s="555">
        <v>5</v>
      </c>
      <c r="M165" s="746">
        <v>108.66071318571429</v>
      </c>
      <c r="N165" s="746">
        <v>220.6247188142857</v>
      </c>
      <c r="O165" s="746">
        <v>54.198429654285711</v>
      </c>
      <c r="P165" s="554"/>
      <c r="Q165" s="520"/>
      <c r="R165" s="520"/>
      <c r="S165" s="520"/>
      <c r="T165" s="340"/>
      <c r="U165" s="340"/>
    </row>
    <row r="166" spans="10:21" s="582" customFormat="1">
      <c r="J166" s="277"/>
      <c r="K166" s="555"/>
      <c r="L166" s="555">
        <v>6</v>
      </c>
      <c r="M166" s="746">
        <v>90.469143462857147</v>
      </c>
      <c r="N166" s="746">
        <v>163.06042698571429</v>
      </c>
      <c r="O166" s="746">
        <v>42.827428274285715</v>
      </c>
      <c r="P166" s="554"/>
      <c r="Q166" s="520"/>
      <c r="R166" s="520"/>
      <c r="S166" s="520"/>
      <c r="T166" s="340"/>
      <c r="U166" s="340"/>
    </row>
    <row r="167" spans="10:21" s="582" customFormat="1">
      <c r="J167" s="277"/>
      <c r="K167" s="555"/>
      <c r="L167" s="555">
        <v>7</v>
      </c>
      <c r="M167" s="746">
        <v>58.4</v>
      </c>
      <c r="N167" s="746">
        <v>104.39303571428574</v>
      </c>
      <c r="O167" s="746">
        <v>28.153690476190491</v>
      </c>
      <c r="P167" s="554"/>
      <c r="Q167" s="520"/>
      <c r="R167" s="520"/>
      <c r="S167" s="520"/>
      <c r="T167" s="340"/>
      <c r="U167" s="340"/>
    </row>
    <row r="168" spans="10:21" s="582" customFormat="1">
      <c r="J168" s="277"/>
      <c r="K168" s="555"/>
      <c r="L168" s="555">
        <v>8</v>
      </c>
      <c r="M168" s="746">
        <v>45.103515238095234</v>
      </c>
      <c r="N168" s="746">
        <v>61.820178571428535</v>
      </c>
      <c r="O168" s="746">
        <v>19.304999999999993</v>
      </c>
      <c r="P168" s="554"/>
      <c r="Q168" s="520"/>
      <c r="R168" s="520"/>
      <c r="S168" s="520"/>
      <c r="T168" s="340"/>
      <c r="U168" s="340"/>
    </row>
    <row r="169" spans="10:21" s="582" customFormat="1">
      <c r="J169" s="277"/>
      <c r="K169" s="555">
        <v>9</v>
      </c>
      <c r="L169" s="555">
        <v>9</v>
      </c>
      <c r="M169" s="746">
        <v>56.496856689453068</v>
      </c>
      <c r="N169" s="746">
        <v>85.507331848144418</v>
      </c>
      <c r="O169" s="746">
        <v>82.847664833068805</v>
      </c>
      <c r="P169" s="554"/>
      <c r="Q169" s="520"/>
      <c r="R169" s="520"/>
      <c r="S169" s="520"/>
      <c r="T169" s="340"/>
      <c r="U169" s="340"/>
    </row>
    <row r="170" spans="10:21" s="582" customFormat="1">
      <c r="J170" s="277"/>
      <c r="K170" s="555"/>
      <c r="L170" s="555">
        <v>10</v>
      </c>
      <c r="M170" s="746">
        <v>90.554714198571432</v>
      </c>
      <c r="N170" s="746">
        <v>173.29428537142854</v>
      </c>
      <c r="O170" s="746">
        <v>214.06428527142856</v>
      </c>
      <c r="P170" s="554"/>
      <c r="Q170" s="520"/>
      <c r="R170" s="520"/>
      <c r="S170" s="520"/>
      <c r="T170" s="340"/>
      <c r="U170" s="340"/>
    </row>
    <row r="171" spans="10:21" s="582" customFormat="1">
      <c r="J171" s="277"/>
      <c r="K171" s="555"/>
      <c r="L171" s="555">
        <v>11</v>
      </c>
      <c r="M171" s="746">
        <v>98.085857941428586</v>
      </c>
      <c r="N171" s="746">
        <v>159.83856852857141</v>
      </c>
      <c r="O171" s="746">
        <v>132.61828504285714</v>
      </c>
      <c r="P171" s="554"/>
      <c r="Q171" s="520"/>
      <c r="R171" s="520"/>
      <c r="S171" s="520"/>
      <c r="T171" s="340"/>
      <c r="U171" s="340"/>
    </row>
    <row r="172" spans="10:21" s="582" customFormat="1">
      <c r="J172" s="277"/>
      <c r="K172" s="555"/>
      <c r="L172" s="555">
        <v>12</v>
      </c>
      <c r="M172" s="746">
        <v>87.426713118571428</v>
      </c>
      <c r="N172" s="746">
        <v>160.54285757142858</v>
      </c>
      <c r="O172" s="746">
        <v>87.668715342857141</v>
      </c>
      <c r="P172" s="554"/>
      <c r="Q172" s="520"/>
      <c r="R172" s="520"/>
      <c r="S172" s="520"/>
      <c r="T172" s="340"/>
      <c r="U172" s="340"/>
    </row>
    <row r="173" spans="10:21">
      <c r="K173" s="555">
        <v>13</v>
      </c>
      <c r="L173" s="555">
        <v>13</v>
      </c>
      <c r="M173" s="746">
        <v>85.733285082857151</v>
      </c>
      <c r="N173" s="746">
        <v>171.07471574285714</v>
      </c>
      <c r="O173" s="746">
        <v>94.954141882857144</v>
      </c>
    </row>
    <row r="174" spans="10:21">
      <c r="M174" s="746"/>
      <c r="N174" s="746"/>
      <c r="O174" s="746"/>
    </row>
    <row r="175" spans="10:21">
      <c r="M175" s="746"/>
      <c r="N175" s="746"/>
      <c r="O175" s="746"/>
    </row>
    <row r="176" spans="10:21">
      <c r="M176" s="746"/>
      <c r="N176" s="746"/>
      <c r="O176" s="746"/>
    </row>
    <row r="177" spans="10:21">
      <c r="M177" s="746"/>
      <c r="N177" s="746"/>
      <c r="O177" s="746"/>
    </row>
    <row r="178" spans="10:21">
      <c r="M178" s="746" t="s">
        <v>261</v>
      </c>
      <c r="N178" s="746" t="s">
        <v>262</v>
      </c>
      <c r="O178" s="746" t="s">
        <v>263</v>
      </c>
    </row>
    <row r="179" spans="10:21">
      <c r="M179" s="746"/>
      <c r="N179" s="746"/>
      <c r="O179" s="746"/>
    </row>
    <row r="180" spans="10:21">
      <c r="M180" s="746"/>
      <c r="N180" s="746"/>
      <c r="O180" s="746"/>
    </row>
    <row r="181" spans="10:21">
      <c r="M181" s="746"/>
      <c r="N181" s="746"/>
      <c r="O181" s="746"/>
    </row>
    <row r="182" spans="10:21">
      <c r="M182" s="746"/>
      <c r="N182" s="746"/>
      <c r="O182" s="746"/>
    </row>
    <row r="183" spans="10:21">
      <c r="M183" s="746"/>
      <c r="N183" s="746"/>
      <c r="O183" s="746"/>
    </row>
    <row r="184" spans="10:21">
      <c r="M184" s="746"/>
      <c r="N184" s="746"/>
      <c r="O184" s="746"/>
    </row>
    <row r="185" spans="10:21" s="582" customFormat="1">
      <c r="J185" s="277"/>
      <c r="K185" s="555"/>
      <c r="L185" s="555"/>
      <c r="M185" s="746"/>
      <c r="N185" s="746"/>
      <c r="O185" s="746"/>
      <c r="P185" s="554"/>
      <c r="Q185" s="520"/>
      <c r="R185" s="520"/>
      <c r="S185" s="520"/>
      <c r="T185" s="340"/>
      <c r="U185" s="340"/>
    </row>
    <row r="186" spans="10:21" s="582" customFormat="1">
      <c r="J186" s="277"/>
      <c r="K186" s="555"/>
      <c r="L186" s="555"/>
      <c r="M186" s="746"/>
      <c r="N186" s="746"/>
      <c r="O186" s="746"/>
      <c r="P186" s="554"/>
      <c r="Q186" s="520"/>
      <c r="R186" s="520"/>
      <c r="S186" s="520"/>
      <c r="T186" s="340"/>
      <c r="U186" s="340"/>
    </row>
    <row r="187" spans="10:21" s="582" customFormat="1">
      <c r="J187" s="277"/>
      <c r="K187" s="555"/>
      <c r="L187" s="555"/>
      <c r="M187" s="746"/>
      <c r="N187" s="746"/>
      <c r="O187" s="746"/>
      <c r="P187" s="554"/>
      <c r="Q187" s="520"/>
      <c r="R187" s="520"/>
      <c r="S187" s="520"/>
      <c r="T187" s="340"/>
      <c r="U187" s="340"/>
    </row>
    <row r="188" spans="10:21" s="582" customFormat="1">
      <c r="J188" s="277"/>
      <c r="K188" s="555"/>
      <c r="L188" s="555"/>
      <c r="M188" s="746"/>
      <c r="N188" s="746"/>
      <c r="O188" s="746"/>
      <c r="P188" s="554"/>
      <c r="Q188" s="520"/>
      <c r="R188" s="520"/>
      <c r="S188" s="520"/>
      <c r="T188" s="340"/>
      <c r="U188" s="340"/>
    </row>
    <row r="189" spans="10:21" s="582" customFormat="1">
      <c r="J189" s="277"/>
      <c r="K189" s="555"/>
      <c r="L189" s="555"/>
      <c r="M189" s="746"/>
      <c r="N189" s="746"/>
      <c r="O189" s="746"/>
      <c r="P189" s="554"/>
      <c r="Q189" s="520"/>
      <c r="R189" s="520"/>
      <c r="S189" s="520"/>
      <c r="T189" s="340"/>
      <c r="U189" s="340"/>
    </row>
    <row r="190" spans="10:21" s="582" customFormat="1">
      <c r="J190" s="277"/>
      <c r="K190" s="555"/>
      <c r="L190" s="555"/>
      <c r="M190" s="746"/>
      <c r="N190" s="746"/>
      <c r="O190" s="746"/>
      <c r="P190" s="554"/>
      <c r="Q190" s="520"/>
      <c r="R190" s="520"/>
      <c r="S190" s="520"/>
      <c r="T190" s="340"/>
      <c r="U190" s="340"/>
    </row>
    <row r="191" spans="10:21" s="582" customFormat="1">
      <c r="J191" s="277"/>
      <c r="K191" s="555"/>
      <c r="L191" s="555"/>
      <c r="M191" s="746"/>
      <c r="N191" s="746"/>
      <c r="O191" s="746"/>
      <c r="P191" s="554"/>
      <c r="Q191" s="520"/>
      <c r="R191" s="520"/>
      <c r="S191" s="520"/>
      <c r="T191" s="340"/>
      <c r="U191" s="340"/>
    </row>
    <row r="192" spans="10:21" s="582" customFormat="1">
      <c r="J192" s="277"/>
      <c r="K192" s="555"/>
      <c r="L192" s="555"/>
      <c r="M192" s="746"/>
      <c r="N192" s="746"/>
      <c r="O192" s="746"/>
      <c r="P192" s="554"/>
      <c r="Q192" s="520"/>
      <c r="R192" s="520"/>
      <c r="S192" s="520"/>
      <c r="T192" s="340"/>
      <c r="U192" s="340"/>
    </row>
    <row r="193" spans="10:21" s="582" customFormat="1">
      <c r="J193" s="277"/>
      <c r="K193" s="555"/>
      <c r="L193" s="555"/>
      <c r="M193" s="746"/>
      <c r="N193" s="746"/>
      <c r="O193" s="746"/>
      <c r="P193" s="554"/>
      <c r="Q193" s="520"/>
      <c r="R193" s="520"/>
      <c r="S193" s="520"/>
      <c r="T193" s="340"/>
      <c r="U193" s="340"/>
    </row>
    <row r="194" spans="10:21" s="582" customFormat="1">
      <c r="J194" s="277"/>
      <c r="K194" s="555"/>
      <c r="L194" s="555"/>
      <c r="M194" s="746"/>
      <c r="N194" s="746"/>
      <c r="O194" s="746"/>
      <c r="P194" s="554"/>
      <c r="Q194" s="520"/>
      <c r="R194" s="520"/>
      <c r="S194" s="520"/>
      <c r="T194" s="340"/>
      <c r="U194" s="340"/>
    </row>
    <row r="195" spans="10:21" s="582" customFormat="1">
      <c r="J195" s="277"/>
      <c r="K195" s="555"/>
      <c r="L195" s="555"/>
      <c r="M195" s="746"/>
      <c r="N195" s="746"/>
      <c r="O195" s="746"/>
      <c r="P195" s="554"/>
      <c r="Q195" s="520"/>
      <c r="R195" s="520"/>
      <c r="S195" s="520"/>
      <c r="T195" s="340"/>
      <c r="U195" s="340"/>
    </row>
    <row r="196" spans="10:21" s="582" customFormat="1">
      <c r="J196" s="277"/>
      <c r="K196" s="555"/>
      <c r="L196" s="555"/>
      <c r="M196" s="746"/>
      <c r="N196" s="746"/>
      <c r="O196" s="746"/>
      <c r="P196" s="554"/>
      <c r="Q196" s="520"/>
      <c r="R196" s="520"/>
      <c r="S196" s="520"/>
      <c r="T196" s="340"/>
      <c r="U196" s="340"/>
    </row>
    <row r="197" spans="10:21" s="582" customFormat="1">
      <c r="J197" s="277"/>
      <c r="K197" s="555"/>
      <c r="L197" s="555"/>
      <c r="M197" s="746"/>
      <c r="N197" s="746"/>
      <c r="O197" s="746"/>
      <c r="P197" s="554"/>
      <c r="Q197" s="520"/>
      <c r="R197" s="520"/>
      <c r="S197" s="520"/>
      <c r="T197" s="340"/>
      <c r="U197" s="340"/>
    </row>
    <row r="198" spans="10:21" s="582" customFormat="1">
      <c r="J198" s="277"/>
      <c r="K198" s="555"/>
      <c r="L198" s="555"/>
      <c r="M198" s="746"/>
      <c r="N198" s="746"/>
      <c r="O198" s="746"/>
      <c r="P198" s="554"/>
      <c r="Q198" s="520"/>
      <c r="R198" s="520"/>
      <c r="S198" s="520"/>
      <c r="T198" s="340"/>
      <c r="U198" s="340"/>
    </row>
    <row r="199" spans="10:21" s="582" customFormat="1">
      <c r="J199" s="277"/>
      <c r="K199" s="555"/>
      <c r="L199" s="555"/>
      <c r="M199" s="746"/>
      <c r="N199" s="746"/>
      <c r="O199" s="746"/>
      <c r="P199" s="554"/>
      <c r="Q199" s="520"/>
      <c r="R199" s="520"/>
      <c r="S199" s="520"/>
      <c r="T199" s="340"/>
      <c r="U199" s="340"/>
    </row>
    <row r="200" spans="10:21" s="582" customFormat="1">
      <c r="J200" s="277"/>
      <c r="K200" s="555"/>
      <c r="L200" s="555"/>
      <c r="M200" s="746"/>
      <c r="N200" s="746"/>
      <c r="O200" s="746"/>
      <c r="P200" s="554"/>
      <c r="Q200" s="520"/>
      <c r="R200" s="520"/>
      <c r="S200" s="520"/>
      <c r="T200" s="340"/>
      <c r="U200" s="340"/>
    </row>
    <row r="201" spans="10:21" s="582" customFormat="1">
      <c r="J201" s="277"/>
      <c r="K201" s="555"/>
      <c r="L201" s="555"/>
      <c r="M201" s="746"/>
      <c r="N201" s="746"/>
      <c r="O201" s="746"/>
      <c r="P201" s="554"/>
      <c r="Q201" s="520"/>
      <c r="R201" s="520"/>
      <c r="S201" s="520"/>
      <c r="T201" s="340"/>
      <c r="U201" s="340"/>
    </row>
    <row r="202" spans="10:21" s="582" customFormat="1">
      <c r="J202" s="277"/>
      <c r="K202" s="555"/>
      <c r="L202" s="555"/>
      <c r="M202" s="746"/>
      <c r="N202" s="746"/>
      <c r="O202" s="746"/>
      <c r="P202" s="554"/>
      <c r="Q202" s="520"/>
      <c r="R202" s="520"/>
      <c r="S202" s="520"/>
      <c r="T202" s="340"/>
      <c r="U202" s="340"/>
    </row>
    <row r="203" spans="10:21">
      <c r="M203" s="746"/>
      <c r="N203" s="746"/>
      <c r="O203" s="746"/>
    </row>
    <row r="204" spans="10:21">
      <c r="M204" s="739"/>
      <c r="N204" s="739"/>
      <c r="O204" s="739"/>
    </row>
    <row r="205" spans="10:21">
      <c r="M205" s="739"/>
      <c r="N205" s="739"/>
      <c r="O205" s="739"/>
    </row>
    <row r="206" spans="10:21">
      <c r="M206" s="739"/>
      <c r="N206" s="739"/>
      <c r="O206" s="739"/>
    </row>
    <row r="207" spans="10:21">
      <c r="M207" s="739"/>
      <c r="N207" s="739"/>
      <c r="O207" s="739"/>
    </row>
    <row r="208" spans="10:21">
      <c r="M208" s="739"/>
      <c r="N208" s="739"/>
      <c r="O208" s="739"/>
    </row>
    <row r="209" spans="10:21">
      <c r="M209" s="739"/>
      <c r="N209" s="739"/>
      <c r="O209" s="739"/>
    </row>
    <row r="210" spans="10:21">
      <c r="M210" s="739"/>
      <c r="N210" s="739"/>
      <c r="O210" s="739"/>
    </row>
    <row r="211" spans="10:21">
      <c r="M211" s="739"/>
      <c r="N211" s="739"/>
      <c r="O211" s="739"/>
    </row>
    <row r="212" spans="10:21" s="582" customFormat="1">
      <c r="J212" s="277"/>
      <c r="K212" s="555"/>
      <c r="L212" s="555"/>
      <c r="M212" s="739"/>
      <c r="N212" s="739"/>
      <c r="O212" s="739"/>
      <c r="P212" s="554"/>
      <c r="Q212" s="520"/>
      <c r="R212" s="520"/>
      <c r="S212" s="520"/>
      <c r="T212" s="340"/>
      <c r="U212" s="340"/>
    </row>
    <row r="213" spans="10:21" s="582" customFormat="1">
      <c r="J213" s="277"/>
      <c r="K213" s="555"/>
      <c r="L213" s="555"/>
      <c r="M213" s="739"/>
      <c r="N213" s="739"/>
      <c r="O213" s="739"/>
      <c r="P213" s="554"/>
      <c r="Q213" s="520"/>
      <c r="R213" s="520"/>
      <c r="S213" s="520"/>
      <c r="T213" s="340"/>
      <c r="U213" s="340"/>
    </row>
    <row r="214" spans="10:21" s="582" customFormat="1">
      <c r="J214" s="277"/>
      <c r="K214" s="555"/>
      <c r="L214" s="555"/>
      <c r="M214" s="739"/>
      <c r="N214" s="739"/>
      <c r="O214" s="739"/>
      <c r="P214" s="554"/>
      <c r="Q214" s="520"/>
      <c r="R214" s="520"/>
      <c r="S214" s="520"/>
      <c r="T214" s="340"/>
      <c r="U214" s="340"/>
    </row>
    <row r="215" spans="10:21" s="582" customFormat="1">
      <c r="J215" s="277"/>
      <c r="K215" s="555"/>
      <c r="L215" s="555"/>
      <c r="M215" s="739"/>
      <c r="N215" s="739"/>
      <c r="O215" s="739"/>
      <c r="P215" s="554"/>
      <c r="Q215" s="520"/>
      <c r="R215" s="520"/>
      <c r="S215" s="520"/>
      <c r="T215" s="340"/>
      <c r="U215" s="340"/>
    </row>
    <row r="216" spans="10:21" s="582" customFormat="1">
      <c r="J216" s="277"/>
      <c r="K216" s="555"/>
      <c r="L216" s="555"/>
      <c r="M216" s="739"/>
      <c r="N216" s="739"/>
      <c r="O216" s="739"/>
      <c r="P216" s="554"/>
      <c r="Q216" s="520"/>
      <c r="R216" s="520"/>
      <c r="S216" s="520"/>
      <c r="T216" s="340"/>
      <c r="U216" s="340"/>
    </row>
    <row r="217" spans="10:21" s="582" customFormat="1">
      <c r="J217" s="277"/>
      <c r="K217" s="555"/>
      <c r="L217" s="555"/>
      <c r="M217" s="739"/>
      <c r="N217" s="739"/>
      <c r="O217" s="739"/>
      <c r="P217" s="554"/>
      <c r="Q217" s="520"/>
      <c r="R217" s="520"/>
      <c r="S217" s="520"/>
      <c r="T217" s="340"/>
      <c r="U217" s="340"/>
    </row>
    <row r="218" spans="10:21" s="582" customFormat="1">
      <c r="J218" s="277"/>
      <c r="K218" s="555"/>
      <c r="L218" s="555"/>
      <c r="M218" s="739"/>
      <c r="N218" s="739"/>
      <c r="O218" s="739"/>
      <c r="P218" s="554"/>
      <c r="Q218" s="520"/>
      <c r="R218" s="520"/>
      <c r="S218" s="520"/>
      <c r="T218" s="340"/>
      <c r="U218" s="340"/>
    </row>
    <row r="219" spans="10:21" s="582" customFormat="1">
      <c r="J219" s="277"/>
      <c r="K219" s="555"/>
      <c r="L219" s="555"/>
      <c r="M219" s="739"/>
      <c r="N219" s="739"/>
      <c r="O219" s="739"/>
      <c r="P219" s="554"/>
      <c r="Q219" s="520"/>
      <c r="R219" s="520"/>
      <c r="S219" s="520"/>
      <c r="T219" s="340"/>
      <c r="U219" s="340"/>
    </row>
    <row r="220" spans="10:21">
      <c r="M220" s="739"/>
      <c r="N220" s="739"/>
      <c r="O220" s="739"/>
    </row>
    <row r="221" spans="10:21">
      <c r="M221" s="746"/>
      <c r="N221" s="746"/>
      <c r="O221" s="746"/>
    </row>
    <row r="222" spans="10:21">
      <c r="M222" s="746"/>
      <c r="N222" s="746"/>
      <c r="O222" s="746"/>
    </row>
    <row r="224" spans="10:21">
      <c r="M224" s="746"/>
      <c r="N224" s="746"/>
      <c r="O224" s="746"/>
    </row>
    <row r="225" spans="13:15">
      <c r="M225" s="746"/>
      <c r="N225" s="746"/>
      <c r="O225" s="746"/>
    </row>
    <row r="226" spans="13:15">
      <c r="M226" s="746"/>
      <c r="N226" s="746"/>
      <c r="O226" s="746"/>
    </row>
    <row r="227" spans="13:15">
      <c r="M227" s="746"/>
      <c r="N227" s="746"/>
      <c r="O227" s="746"/>
    </row>
    <row r="228" spans="13:15">
      <c r="M228" s="746"/>
      <c r="N228" s="746"/>
      <c r="O228" s="746"/>
    </row>
    <row r="229" spans="13:15">
      <c r="M229" s="746"/>
      <c r="N229" s="746"/>
      <c r="O229" s="746"/>
    </row>
    <row r="230" spans="13:15">
      <c r="M230" s="746"/>
      <c r="N230" s="746"/>
      <c r="O230" s="746"/>
    </row>
    <row r="231" spans="13:15">
      <c r="M231" s="746"/>
      <c r="N231" s="746"/>
      <c r="O231" s="746"/>
    </row>
    <row r="232" spans="13:15">
      <c r="M232" s="746"/>
      <c r="N232" s="746"/>
      <c r="O232" s="746"/>
    </row>
    <row r="233" spans="13:15">
      <c r="M233" s="746"/>
      <c r="N233" s="746"/>
      <c r="O233" s="746"/>
    </row>
    <row r="234" spans="13:15">
      <c r="M234" s="746"/>
      <c r="N234" s="746"/>
      <c r="O234" s="746"/>
    </row>
    <row r="235" spans="13:15">
      <c r="M235" s="746"/>
      <c r="N235" s="746"/>
      <c r="O235" s="746"/>
    </row>
    <row r="236" spans="13:15">
      <c r="M236" s="746"/>
      <c r="N236" s="746"/>
      <c r="O236" s="746"/>
    </row>
    <row r="237" spans="13:15">
      <c r="M237" s="746"/>
      <c r="N237" s="746"/>
      <c r="O237" s="746"/>
    </row>
    <row r="238" spans="13:15">
      <c r="M238" s="746"/>
      <c r="N238" s="746"/>
      <c r="O238" s="746"/>
    </row>
    <row r="239" spans="13:15">
      <c r="M239" s="746"/>
      <c r="N239" s="746"/>
      <c r="O239" s="746"/>
    </row>
    <row r="240" spans="13:15">
      <c r="M240" s="746"/>
      <c r="N240" s="746"/>
      <c r="O240" s="746"/>
    </row>
    <row r="241" spans="13:15">
      <c r="M241" s="746"/>
      <c r="N241" s="746"/>
      <c r="O241" s="746"/>
    </row>
    <row r="242" spans="13:15">
      <c r="M242" s="746"/>
      <c r="N242" s="746"/>
      <c r="O242" s="746"/>
    </row>
    <row r="243" spans="13:15">
      <c r="M243" s="746"/>
      <c r="N243" s="746"/>
      <c r="O243" s="746"/>
    </row>
    <row r="244" spans="13:15">
      <c r="M244" s="746"/>
      <c r="N244" s="746"/>
      <c r="O244" s="746"/>
    </row>
    <row r="245" spans="13:15">
      <c r="M245" s="746"/>
      <c r="N245" s="746"/>
      <c r="O245" s="746"/>
    </row>
    <row r="247" spans="13:15">
      <c r="M247" s="277" t="s">
        <v>261</v>
      </c>
      <c r="N247" s="277" t="s">
        <v>262</v>
      </c>
      <c r="O247" s="277" t="s">
        <v>263</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 Marzo 2021
INFSGI-MES-03-2021
13/04/2021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59"/>
  <sheetViews>
    <sheetView showGridLines="0" view="pageBreakPreview" zoomScale="130" zoomScaleNormal="100" zoomScaleSheetLayoutView="130" zoomScalePageLayoutView="85" workbookViewId="0">
      <selection activeCell="O61" sqref="O61"/>
    </sheetView>
  </sheetViews>
  <sheetFormatPr baseColWidth="10" defaultColWidth="9.28515625" defaultRowHeight="10.199999999999999"/>
  <cols>
    <col min="10" max="11" width="9.28515625" customWidth="1"/>
    <col min="13" max="13" width="9.28515625" style="520"/>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8" width="9.28515625" style="520"/>
    <col min="29" max="30" width="9.28515625" style="290"/>
    <col min="31" max="32" width="9.28515625" style="278"/>
  </cols>
  <sheetData>
    <row r="1" spans="1:25" ht="11.25" customHeight="1"/>
    <row r="2" spans="1:25" ht="11.25" customHeight="1">
      <c r="A2" s="291"/>
      <c r="B2" s="292"/>
      <c r="C2" s="292"/>
      <c r="D2" s="292"/>
      <c r="E2" s="292"/>
      <c r="F2" s="292"/>
      <c r="G2" s="174"/>
      <c r="H2" s="174"/>
      <c r="I2" s="132"/>
    </row>
    <row r="3" spans="1:25" ht="11.25" customHeight="1">
      <c r="A3" s="132"/>
      <c r="B3" s="132"/>
      <c r="C3" s="132"/>
      <c r="D3" s="132"/>
      <c r="E3" s="132"/>
      <c r="F3" s="132"/>
      <c r="G3" s="138"/>
      <c r="H3" s="138"/>
      <c r="I3" s="138"/>
      <c r="J3" s="148"/>
      <c r="K3" s="148"/>
      <c r="L3" s="148"/>
      <c r="O3" s="278" t="s">
        <v>260</v>
      </c>
      <c r="P3" s="639"/>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39">
        <v>1</v>
      </c>
      <c r="Q4" s="748">
        <v>10.34</v>
      </c>
      <c r="R4" s="748">
        <v>4.4628571428571426</v>
      </c>
      <c r="S4" s="748">
        <v>140.04142857142858</v>
      </c>
      <c r="T4" s="748">
        <v>143.09</v>
      </c>
      <c r="U4" s="748">
        <v>20.63</v>
      </c>
      <c r="V4" s="748">
        <v>13</v>
      </c>
      <c r="W4" s="748">
        <v>1.64</v>
      </c>
      <c r="X4" s="748">
        <v>201.2428571428571</v>
      </c>
      <c r="Y4" s="748">
        <v>63.23</v>
      </c>
    </row>
    <row r="5" spans="1:25" ht="11.25" customHeight="1">
      <c r="A5" s="176"/>
      <c r="B5" s="176"/>
      <c r="C5" s="176"/>
      <c r="D5" s="176"/>
      <c r="E5" s="176"/>
      <c r="F5" s="176"/>
      <c r="G5" s="176"/>
      <c r="H5" s="176"/>
      <c r="I5" s="176"/>
      <c r="J5" s="24"/>
      <c r="K5" s="24"/>
      <c r="L5" s="131"/>
      <c r="P5" s="639">
        <v>2</v>
      </c>
      <c r="Q5" s="748">
        <v>13.730999947142859</v>
      </c>
      <c r="R5" s="748">
        <v>3.5944285392857145</v>
      </c>
      <c r="S5" s="748">
        <v>209.91800362857143</v>
      </c>
      <c r="T5" s="748">
        <v>160.98214394285716</v>
      </c>
      <c r="U5" s="748">
        <v>36.213856559999996</v>
      </c>
      <c r="V5" s="748">
        <v>11.774285724285715</v>
      </c>
      <c r="W5" s="748">
        <v>1.5914286031428568</v>
      </c>
      <c r="X5" s="748">
        <v>229.4250030571429</v>
      </c>
      <c r="Y5" s="748">
        <v>56.654285431428562</v>
      </c>
    </row>
    <row r="6" spans="1:25" ht="11.25" customHeight="1">
      <c r="A6" s="132"/>
      <c r="B6" s="293"/>
      <c r="C6" s="294"/>
      <c r="D6" s="295"/>
      <c r="E6" s="295"/>
      <c r="F6" s="177"/>
      <c r="G6" s="178"/>
      <c r="H6" s="178"/>
      <c r="I6" s="179"/>
      <c r="J6" s="24"/>
      <c r="K6" s="24"/>
      <c r="L6" s="19"/>
      <c r="P6" s="639">
        <v>3</v>
      </c>
      <c r="Q6" s="748">
        <v>15.983285902857142</v>
      </c>
      <c r="R6" s="748">
        <v>8.3045714242857152</v>
      </c>
      <c r="S6" s="748">
        <v>223.6645725857143</v>
      </c>
      <c r="T6" s="748">
        <v>190.44042751428574</v>
      </c>
      <c r="U6" s="748">
        <v>30.819142750000001</v>
      </c>
      <c r="V6" s="748">
        <v>11.857142857142858</v>
      </c>
      <c r="W6" s="748">
        <v>1.5814286125714285</v>
      </c>
      <c r="X6" s="748">
        <v>261.56357028571426</v>
      </c>
      <c r="Y6" s="748">
        <v>68.516428267142857</v>
      </c>
    </row>
    <row r="7" spans="1:25" ht="11.25" customHeight="1">
      <c r="A7" s="132"/>
      <c r="B7" s="180"/>
      <c r="C7" s="180"/>
      <c r="D7" s="181"/>
      <c r="E7" s="181"/>
      <c r="F7" s="177"/>
      <c r="G7" s="178"/>
      <c r="H7" s="178"/>
      <c r="I7" s="179"/>
      <c r="J7" s="25"/>
      <c r="K7" s="25"/>
      <c r="L7" s="22"/>
      <c r="P7" s="639">
        <v>4</v>
      </c>
      <c r="Q7" s="748">
        <v>21.988571574285714</v>
      </c>
      <c r="R7" s="748">
        <v>15.598142828000002</v>
      </c>
      <c r="S7" s="748">
        <v>346.88342720000003</v>
      </c>
      <c r="T7" s="748">
        <v>205.5832868285714</v>
      </c>
      <c r="U7" s="748">
        <v>40.893000467142862</v>
      </c>
      <c r="V7" s="748">
        <v>18.734285627142857</v>
      </c>
      <c r="W7" s="748">
        <v>1.5700000519999997</v>
      </c>
      <c r="X7" s="748">
        <v>261.98000009999998</v>
      </c>
      <c r="Y7" s="748">
        <v>58.935427530000005</v>
      </c>
    </row>
    <row r="8" spans="1:25" ht="11.25" customHeight="1">
      <c r="A8" s="132"/>
      <c r="B8" s="182"/>
      <c r="C8" s="132"/>
      <c r="D8" s="156"/>
      <c r="E8" s="156"/>
      <c r="F8" s="177"/>
      <c r="G8" s="178"/>
      <c r="H8" s="178"/>
      <c r="I8" s="179"/>
      <c r="J8" s="23"/>
      <c r="K8" s="23"/>
      <c r="L8" s="24"/>
      <c r="P8" s="639">
        <v>5</v>
      </c>
      <c r="Q8" s="748">
        <v>17.729000225714284</v>
      </c>
      <c r="R8" s="748">
        <v>13.724571365714285</v>
      </c>
      <c r="S8" s="748">
        <v>214.95928737142859</v>
      </c>
      <c r="T8" s="748">
        <v>93.607142857142861</v>
      </c>
      <c r="U8" s="748">
        <v>17.748285841428572</v>
      </c>
      <c r="V8" s="748">
        <v>23.390000208571426</v>
      </c>
      <c r="W8" s="748">
        <v>1.5700000519999997</v>
      </c>
      <c r="X8" s="748">
        <v>141.83571514285714</v>
      </c>
      <c r="Y8" s="748">
        <v>45.332857951428579</v>
      </c>
    </row>
    <row r="9" spans="1:25" ht="11.25" customHeight="1">
      <c r="A9" s="132"/>
      <c r="B9" s="182"/>
      <c r="C9" s="132"/>
      <c r="D9" s="156"/>
      <c r="E9" s="156"/>
      <c r="F9" s="177"/>
      <c r="G9" s="178"/>
      <c r="H9" s="178"/>
      <c r="I9" s="179"/>
      <c r="J9" s="25"/>
      <c r="K9" s="26"/>
      <c r="L9" s="22"/>
      <c r="P9" s="639">
        <v>6</v>
      </c>
      <c r="Q9" s="748">
        <v>13.582571572857143</v>
      </c>
      <c r="R9" s="748">
        <v>8.6634286477142854</v>
      </c>
      <c r="S9" s="748">
        <v>166.34242902857142</v>
      </c>
      <c r="T9" s="748">
        <v>108.25571334000001</v>
      </c>
      <c r="U9" s="748">
        <v>18.79157175142857</v>
      </c>
      <c r="V9" s="748">
        <v>20.201017107142857</v>
      </c>
      <c r="W9" s="748">
        <v>2.3694285491428571</v>
      </c>
      <c r="X9" s="748">
        <v>164.55714089999998</v>
      </c>
      <c r="Y9" s="748">
        <v>65.987571171428584</v>
      </c>
    </row>
    <row r="10" spans="1:25" ht="11.25" customHeight="1">
      <c r="A10" s="132"/>
      <c r="B10" s="182"/>
      <c r="C10" s="132"/>
      <c r="D10" s="156"/>
      <c r="E10" s="156"/>
      <c r="F10" s="177"/>
      <c r="G10" s="178"/>
      <c r="H10" s="178"/>
      <c r="I10" s="179"/>
      <c r="J10" s="25"/>
      <c r="K10" s="25"/>
      <c r="L10" s="22"/>
      <c r="P10" s="639">
        <v>7</v>
      </c>
      <c r="Q10" s="748">
        <v>14.722571237142859</v>
      </c>
      <c r="R10" s="748">
        <v>11.071428435428571</v>
      </c>
      <c r="S10" s="748">
        <v>239.50057330000001</v>
      </c>
      <c r="T10" s="748">
        <v>202.98199900000003</v>
      </c>
      <c r="U10" s="748">
        <v>42.088571821428573</v>
      </c>
      <c r="V10" s="748">
        <v>15.283185821428571</v>
      </c>
      <c r="W10" s="748">
        <v>3.1689999100000001</v>
      </c>
      <c r="X10" s="748">
        <v>355.31285748571423</v>
      </c>
      <c r="Y10" s="748">
        <v>97.722999031428586</v>
      </c>
    </row>
    <row r="11" spans="1:25" ht="11.25" customHeight="1">
      <c r="A11" s="132"/>
      <c r="B11" s="156"/>
      <c r="C11" s="132"/>
      <c r="D11" s="156"/>
      <c r="E11" s="156"/>
      <c r="F11" s="177"/>
      <c r="G11" s="178"/>
      <c r="H11" s="178"/>
      <c r="I11" s="179"/>
      <c r="J11" s="25"/>
      <c r="K11" s="25"/>
      <c r="L11" s="22"/>
      <c r="O11" s="278">
        <v>8</v>
      </c>
      <c r="P11" s="639">
        <v>8</v>
      </c>
      <c r="Q11" s="748">
        <v>18.48</v>
      </c>
      <c r="R11" s="748">
        <v>14.97</v>
      </c>
      <c r="S11" s="748">
        <v>357.61814662857148</v>
      </c>
      <c r="T11" s="748">
        <v>251.1</v>
      </c>
      <c r="U11" s="748">
        <v>43.74</v>
      </c>
      <c r="V11" s="748">
        <v>16.564</v>
      </c>
      <c r="W11" s="748">
        <v>3.16</v>
      </c>
      <c r="X11" s="748">
        <v>437.78</v>
      </c>
      <c r="Y11" s="748">
        <v>142.13</v>
      </c>
    </row>
    <row r="12" spans="1:25" ht="11.25" customHeight="1">
      <c r="A12" s="132"/>
      <c r="B12" s="156"/>
      <c r="C12" s="132"/>
      <c r="D12" s="156"/>
      <c r="E12" s="156"/>
      <c r="F12" s="177"/>
      <c r="G12" s="178"/>
      <c r="H12" s="178"/>
      <c r="I12" s="179"/>
      <c r="J12" s="25"/>
      <c r="K12" s="25"/>
      <c r="L12" s="22"/>
      <c r="P12" s="639">
        <v>9</v>
      </c>
      <c r="Q12" s="748">
        <v>21.652428627142854</v>
      </c>
      <c r="R12" s="748">
        <v>14.185285431142857</v>
      </c>
      <c r="S12" s="748">
        <v>333.90885488571433</v>
      </c>
      <c r="T12" s="748">
        <v>204.95843285714287</v>
      </c>
      <c r="U12" s="748">
        <v>31.755000522857138</v>
      </c>
      <c r="V12" s="748">
        <v>15.852976190476195</v>
      </c>
      <c r="W12" s="748">
        <v>3.1689999100000001</v>
      </c>
      <c r="X12" s="748">
        <v>424.14571271428576</v>
      </c>
      <c r="Y12" s="748">
        <v>142.13857270714286</v>
      </c>
    </row>
    <row r="13" spans="1:25" ht="11.25" customHeight="1">
      <c r="A13" s="132"/>
      <c r="B13" s="156"/>
      <c r="C13" s="132"/>
      <c r="D13" s="156"/>
      <c r="E13" s="156"/>
      <c r="F13" s="177"/>
      <c r="G13" s="178"/>
      <c r="H13" s="178"/>
      <c r="I13" s="179"/>
      <c r="J13" s="23"/>
      <c r="K13" s="23"/>
      <c r="L13" s="24"/>
      <c r="P13" s="639">
        <v>10</v>
      </c>
      <c r="Q13" s="748">
        <v>30.272714344285713</v>
      </c>
      <c r="R13" s="748">
        <v>17.434571538571429</v>
      </c>
      <c r="S13" s="748">
        <v>431.64157101428572</v>
      </c>
      <c r="T13" s="748">
        <v>177.15485925714287</v>
      </c>
      <c r="U13" s="748">
        <v>31.196571622857142</v>
      </c>
      <c r="V13" s="748">
        <v>14.442</v>
      </c>
      <c r="W13" s="748">
        <v>4.7437142644285712</v>
      </c>
      <c r="X13" s="748">
        <v>293.69142804285718</v>
      </c>
      <c r="Y13" s="748">
        <v>72.30971418</v>
      </c>
    </row>
    <row r="14" spans="1:25" ht="11.25" customHeight="1">
      <c r="A14" s="132"/>
      <c r="B14" s="156"/>
      <c r="C14" s="132"/>
      <c r="D14" s="156"/>
      <c r="E14" s="156"/>
      <c r="F14" s="177"/>
      <c r="G14" s="178"/>
      <c r="H14" s="178"/>
      <c r="I14" s="179"/>
      <c r="J14" s="25"/>
      <c r="K14" s="26"/>
      <c r="L14" s="22"/>
      <c r="P14" s="639">
        <v>11</v>
      </c>
      <c r="Q14" s="748">
        <v>28.071857179999999</v>
      </c>
      <c r="R14" s="748">
        <v>17.048571724285715</v>
      </c>
      <c r="S14" s="748">
        <v>485.98543439999997</v>
      </c>
      <c r="T14" s="748">
        <v>169.375</v>
      </c>
      <c r="U14" s="748">
        <v>52.626284462857136</v>
      </c>
      <c r="V14" s="748">
        <v>18.273</v>
      </c>
      <c r="W14" s="748">
        <v>3.0879999738571429</v>
      </c>
      <c r="X14" s="748">
        <v>511.54500034285724</v>
      </c>
      <c r="Y14" s="748">
        <v>119.7894287057143</v>
      </c>
    </row>
    <row r="15" spans="1:25" ht="11.25" customHeight="1">
      <c r="A15" s="132"/>
      <c r="B15" s="156"/>
      <c r="C15" s="132"/>
      <c r="D15" s="156"/>
      <c r="E15" s="156"/>
      <c r="F15" s="177"/>
      <c r="G15" s="178"/>
      <c r="H15" s="178"/>
      <c r="I15" s="179"/>
      <c r="J15" s="25"/>
      <c r="K15" s="26"/>
      <c r="L15" s="22"/>
      <c r="P15" s="639">
        <v>12</v>
      </c>
      <c r="Q15" s="748">
        <v>29.90999984714286</v>
      </c>
      <c r="R15" s="748">
        <v>21.62</v>
      </c>
      <c r="S15" s="748">
        <v>465.24414497142863</v>
      </c>
      <c r="T15" s="748">
        <v>201.58328465714288</v>
      </c>
      <c r="U15" s="748">
        <v>57.669144221428567</v>
      </c>
      <c r="V15" s="748">
        <v>23.244</v>
      </c>
      <c r="W15" s="748">
        <v>4.5095714328571432</v>
      </c>
      <c r="X15" s="748">
        <v>433.89143152857145</v>
      </c>
      <c r="Y15" s="748">
        <v>152.80443028571429</v>
      </c>
    </row>
    <row r="16" spans="1:25" ht="11.25" customHeight="1">
      <c r="A16" s="132"/>
      <c r="B16" s="156"/>
      <c r="C16" s="132"/>
      <c r="D16" s="156"/>
      <c r="E16" s="156"/>
      <c r="F16" s="177"/>
      <c r="G16" s="178"/>
      <c r="H16" s="178"/>
      <c r="I16" s="179"/>
      <c r="J16" s="25"/>
      <c r="K16" s="26"/>
      <c r="L16" s="22"/>
      <c r="P16" s="639">
        <v>13</v>
      </c>
      <c r="Q16" s="748">
        <v>28.360142844285718</v>
      </c>
      <c r="R16" s="748">
        <v>17.439428465714283</v>
      </c>
      <c r="S16" s="748">
        <v>396.37686155714289</v>
      </c>
      <c r="T16" s="748">
        <v>163.75585502857143</v>
      </c>
      <c r="U16" s="748">
        <v>35.725570951428573</v>
      </c>
      <c r="V16" s="748">
        <v>23.143392837142859</v>
      </c>
      <c r="W16" s="748">
        <v>3.3929999999999998</v>
      </c>
      <c r="X16" s="748">
        <v>281.79928587142859</v>
      </c>
      <c r="Y16" s="748">
        <v>107.32928468714286</v>
      </c>
    </row>
    <row r="17" spans="1:25" ht="11.25" customHeight="1">
      <c r="A17" s="132"/>
      <c r="B17" s="156"/>
      <c r="C17" s="132"/>
      <c r="D17" s="156"/>
      <c r="E17" s="156"/>
      <c r="F17" s="177"/>
      <c r="G17" s="178"/>
      <c r="H17" s="178"/>
      <c r="I17" s="179"/>
      <c r="J17" s="25"/>
      <c r="K17" s="26"/>
      <c r="L17" s="22"/>
      <c r="P17" s="639">
        <v>14</v>
      </c>
      <c r="Q17" s="748">
        <v>23.830285752857144</v>
      </c>
      <c r="R17" s="748">
        <v>12.833285604571429</v>
      </c>
      <c r="S17" s="748">
        <v>226.32643345714288</v>
      </c>
      <c r="T17" s="748">
        <v>133.53585814285714</v>
      </c>
      <c r="U17" s="748">
        <v>28.622000282857147</v>
      </c>
      <c r="V17" s="748">
        <v>19.16</v>
      </c>
      <c r="W17" s="748">
        <v>1.736</v>
      </c>
      <c r="X17" s="748">
        <v>176.23214502857144</v>
      </c>
      <c r="Y17" s="748">
        <v>80.936570849999995</v>
      </c>
    </row>
    <row r="18" spans="1:25" ht="11.25" customHeight="1">
      <c r="A18" s="885" t="s">
        <v>594</v>
      </c>
      <c r="B18" s="885"/>
      <c r="C18" s="885"/>
      <c r="D18" s="885"/>
      <c r="E18" s="885"/>
      <c r="F18" s="885"/>
      <c r="G18" s="885"/>
      <c r="H18" s="885"/>
      <c r="I18" s="885"/>
      <c r="J18" s="885"/>
      <c r="K18" s="885"/>
      <c r="L18" s="885"/>
      <c r="P18" s="639">
        <v>15</v>
      </c>
      <c r="Q18" s="748">
        <v>27</v>
      </c>
      <c r="R18" s="748">
        <v>15.571285655714286</v>
      </c>
      <c r="S18" s="748">
        <v>207.40800040000002</v>
      </c>
      <c r="T18" s="748">
        <v>107.59514291428572</v>
      </c>
      <c r="U18" s="748">
        <v>30.753999982857145</v>
      </c>
      <c r="V18" s="748">
        <v>14.377143042857142</v>
      </c>
      <c r="W18" s="748">
        <v>1.8612856864285716</v>
      </c>
      <c r="X18" s="748">
        <v>130.09</v>
      </c>
      <c r="Y18" s="748">
        <v>42.693143572857146</v>
      </c>
    </row>
    <row r="19" spans="1:25" ht="11.25" customHeight="1">
      <c r="A19" s="25"/>
      <c r="B19" s="156"/>
      <c r="C19" s="132"/>
      <c r="D19" s="156"/>
      <c r="E19" s="156"/>
      <c r="F19" s="177"/>
      <c r="G19" s="178"/>
      <c r="H19" s="178"/>
      <c r="I19" s="179"/>
      <c r="J19" s="25"/>
      <c r="K19" s="26"/>
      <c r="L19" s="22"/>
      <c r="O19" s="278">
        <v>16</v>
      </c>
      <c r="P19" s="639">
        <v>16</v>
      </c>
      <c r="Q19" s="748">
        <v>19.899999999999999</v>
      </c>
      <c r="R19" s="748">
        <v>12.83</v>
      </c>
      <c r="S19" s="748">
        <v>166.38871437142856</v>
      </c>
      <c r="T19" s="748">
        <v>95.78</v>
      </c>
      <c r="U19" s="748">
        <v>29.88</v>
      </c>
      <c r="V19" s="748">
        <v>12.36</v>
      </c>
      <c r="W19" s="748">
        <v>1.9</v>
      </c>
      <c r="X19" s="748">
        <v>96.9</v>
      </c>
      <c r="Y19" s="748">
        <v>33.717142651428574</v>
      </c>
    </row>
    <row r="20" spans="1:25" ht="11.25" customHeight="1">
      <c r="A20" s="132"/>
      <c r="B20" s="156"/>
      <c r="C20" s="132"/>
      <c r="D20" s="156"/>
      <c r="E20" s="156"/>
      <c r="F20" s="177"/>
      <c r="G20" s="178"/>
      <c r="H20" s="178"/>
      <c r="I20" s="179"/>
      <c r="J20" s="25"/>
      <c r="K20" s="26"/>
      <c r="L20" s="22"/>
      <c r="P20" s="639">
        <v>17</v>
      </c>
      <c r="Q20" s="748">
        <v>19.14</v>
      </c>
      <c r="R20" s="748">
        <v>13.52</v>
      </c>
      <c r="S20" s="748">
        <v>168.19342804285716</v>
      </c>
      <c r="T20" s="748">
        <v>95.39</v>
      </c>
      <c r="U20" s="748">
        <v>22.257285525714284</v>
      </c>
      <c r="V20" s="748">
        <v>13.4</v>
      </c>
      <c r="W20" s="748">
        <v>1.7940000124285713</v>
      </c>
      <c r="X20" s="748">
        <v>89.59</v>
      </c>
      <c r="Y20" s="748">
        <v>27.06</v>
      </c>
    </row>
    <row r="21" spans="1:25" ht="11.25" customHeight="1">
      <c r="A21" s="132"/>
      <c r="B21" s="156"/>
      <c r="C21" s="132"/>
      <c r="D21" s="156"/>
      <c r="E21" s="156"/>
      <c r="F21" s="177"/>
      <c r="G21" s="178"/>
      <c r="H21" s="178"/>
      <c r="I21" s="179"/>
      <c r="J21" s="25"/>
      <c r="K21" s="29"/>
      <c r="L21" s="30"/>
      <c r="P21" s="639">
        <v>18</v>
      </c>
      <c r="Q21" s="748">
        <v>19.703571455714286</v>
      </c>
      <c r="R21" s="748">
        <v>14.166857039571427</v>
      </c>
      <c r="S21" s="748">
        <v>171.5428597714286</v>
      </c>
      <c r="T21" s="748">
        <v>85.958285739999994</v>
      </c>
      <c r="U21" s="748">
        <v>21.651714052857141</v>
      </c>
      <c r="V21" s="748">
        <v>12.785805702857145</v>
      </c>
      <c r="W21" s="748">
        <v>2.3024285860000004</v>
      </c>
      <c r="X21" s="748">
        <v>89.602142331428567</v>
      </c>
      <c r="Y21" s="748">
        <v>22.269714081428571</v>
      </c>
    </row>
    <row r="22" spans="1:25" ht="11.25" customHeight="1">
      <c r="A22" s="137"/>
      <c r="B22" s="156"/>
      <c r="C22" s="132"/>
      <c r="D22" s="156"/>
      <c r="E22" s="156"/>
      <c r="F22" s="177"/>
      <c r="G22" s="178"/>
      <c r="H22" s="178"/>
      <c r="I22" s="179"/>
      <c r="J22" s="25"/>
      <c r="K22" s="26"/>
      <c r="L22" s="22"/>
      <c r="P22" s="639">
        <v>19</v>
      </c>
      <c r="Q22" s="748">
        <v>15.48828561</v>
      </c>
      <c r="R22" s="748">
        <v>12.650857108142857</v>
      </c>
      <c r="S22" s="748">
        <v>146.54485865714287</v>
      </c>
      <c r="T22" s="748">
        <v>88.244000028571435</v>
      </c>
      <c r="U22" s="748">
        <v>19.037142890000002</v>
      </c>
      <c r="V22" s="748">
        <v>11.328391347142857</v>
      </c>
      <c r="W22" s="748">
        <v>1.8057142665714285</v>
      </c>
      <c r="X22" s="748">
        <v>75.568572998571426</v>
      </c>
      <c r="Y22" s="748">
        <v>17.565999711428571</v>
      </c>
    </row>
    <row r="23" spans="1:25" ht="11.25" customHeight="1">
      <c r="A23" s="137"/>
      <c r="B23" s="156"/>
      <c r="C23" s="132"/>
      <c r="D23" s="156"/>
      <c r="E23" s="156"/>
      <c r="F23" s="177"/>
      <c r="G23" s="178"/>
      <c r="H23" s="178"/>
      <c r="I23" s="179"/>
      <c r="J23" s="25"/>
      <c r="K23" s="26"/>
      <c r="L23" s="22"/>
      <c r="P23" s="639">
        <v>20</v>
      </c>
      <c r="Q23" s="748">
        <v>14.601142882857145</v>
      </c>
      <c r="R23" s="748">
        <v>10.013285772</v>
      </c>
      <c r="S23" s="748">
        <v>112.76242937142857</v>
      </c>
      <c r="T23" s="748">
        <v>64.809571402857145</v>
      </c>
      <c r="U23" s="748">
        <v>16.531571660000001</v>
      </c>
      <c r="V23" s="748">
        <v>10.899261474285714</v>
      </c>
      <c r="W23" s="748">
        <v>1.7767143248571429</v>
      </c>
      <c r="X23" s="748">
        <v>62.208570752857149</v>
      </c>
      <c r="Y23" s="748">
        <v>14.502285821428572</v>
      </c>
    </row>
    <row r="24" spans="1:25" ht="11.25" customHeight="1">
      <c r="A24" s="137"/>
      <c r="B24" s="156"/>
      <c r="C24" s="132"/>
      <c r="D24" s="156"/>
      <c r="E24" s="156"/>
      <c r="F24" s="177"/>
      <c r="G24" s="178"/>
      <c r="H24" s="178"/>
      <c r="I24" s="179"/>
      <c r="J24" s="26"/>
      <c r="K24" s="26"/>
      <c r="L24" s="22"/>
      <c r="P24" s="639">
        <v>21</v>
      </c>
      <c r="Q24" s="748">
        <v>13.411285537142858</v>
      </c>
      <c r="R24" s="748">
        <v>7.8631429672857154</v>
      </c>
      <c r="S24" s="748">
        <v>94.636570517142857</v>
      </c>
      <c r="T24" s="748">
        <v>49.303714208571428</v>
      </c>
      <c r="U24" s="748">
        <v>13.450571468571427</v>
      </c>
      <c r="V24" s="748">
        <v>11.166911400000002</v>
      </c>
      <c r="W24" s="748">
        <v>1.8437143055714282</v>
      </c>
      <c r="X24" s="748">
        <v>54.38714218285714</v>
      </c>
      <c r="Y24" s="748">
        <v>12.214999879999999</v>
      </c>
    </row>
    <row r="25" spans="1:25" ht="11.25" customHeight="1">
      <c r="A25" s="137"/>
      <c r="B25" s="156"/>
      <c r="C25" s="132"/>
      <c r="D25" s="156"/>
      <c r="E25" s="156"/>
      <c r="F25" s="177"/>
      <c r="G25" s="178"/>
      <c r="H25" s="178"/>
      <c r="I25" s="179"/>
      <c r="J25" s="25"/>
      <c r="K25" s="29"/>
      <c r="L25" s="30"/>
      <c r="P25" s="639">
        <v>22</v>
      </c>
      <c r="Q25" s="748">
        <v>12.490285737142855</v>
      </c>
      <c r="R25" s="748">
        <v>6.4215714250000007</v>
      </c>
      <c r="S25" s="748">
        <v>81.718714031428576</v>
      </c>
      <c r="T25" s="748">
        <v>42.928571428571431</v>
      </c>
      <c r="U25" s="748">
        <v>11.897571562857141</v>
      </c>
      <c r="V25" s="748">
        <v>10.57333578442857</v>
      </c>
      <c r="W25" s="748">
        <v>1.8770000252857142</v>
      </c>
      <c r="X25" s="748">
        <v>48.837857382857138</v>
      </c>
      <c r="Y25" s="748">
        <v>10.894571441428569</v>
      </c>
    </row>
    <row r="26" spans="1:25" ht="11.25" customHeight="1">
      <c r="A26" s="137"/>
      <c r="B26" s="156"/>
      <c r="C26" s="132"/>
      <c r="D26" s="156"/>
      <c r="E26" s="156"/>
      <c r="F26" s="138"/>
      <c r="G26" s="138"/>
      <c r="H26" s="138"/>
      <c r="I26" s="138"/>
      <c r="J26" s="23"/>
      <c r="K26" s="26"/>
      <c r="L26" s="22"/>
      <c r="P26" s="639">
        <v>23</v>
      </c>
      <c r="Q26" s="748">
        <v>12.278000014285713</v>
      </c>
      <c r="R26" s="748">
        <v>5.5577142921428564</v>
      </c>
      <c r="S26" s="748">
        <v>83.760285512857152</v>
      </c>
      <c r="T26" s="748">
        <v>67.797571451428567</v>
      </c>
      <c r="U26" s="748">
        <v>15.801714215714284</v>
      </c>
      <c r="V26" s="748">
        <v>11.341294289999999</v>
      </c>
      <c r="W26" s="748">
        <v>1.7928571701428571</v>
      </c>
      <c r="X26" s="748">
        <v>58.175000328571436</v>
      </c>
      <c r="Y26" s="748">
        <v>13.860571451428571</v>
      </c>
    </row>
    <row r="27" spans="1:25" ht="11.25" customHeight="1">
      <c r="A27" s="137"/>
      <c r="B27" s="156"/>
      <c r="C27" s="132"/>
      <c r="D27" s="156"/>
      <c r="E27" s="156"/>
      <c r="F27" s="138"/>
      <c r="G27" s="138"/>
      <c r="H27" s="138"/>
      <c r="I27" s="138"/>
      <c r="J27" s="23"/>
      <c r="K27" s="26"/>
      <c r="L27" s="22"/>
      <c r="O27" s="278">
        <v>24</v>
      </c>
      <c r="P27" s="639">
        <v>24</v>
      </c>
      <c r="Q27" s="748">
        <v>10.882714271142857</v>
      </c>
      <c r="R27" s="748">
        <v>5.3317142215714286</v>
      </c>
      <c r="S27" s="748">
        <v>82.799001421428557</v>
      </c>
      <c r="T27" s="748">
        <v>63.982142857142854</v>
      </c>
      <c r="U27" s="748">
        <v>15.595999989999999</v>
      </c>
      <c r="V27" s="748">
        <v>11.96411841142857</v>
      </c>
      <c r="W27" s="748">
        <v>2.0252857377142854</v>
      </c>
      <c r="X27" s="748">
        <v>61.988572801428582</v>
      </c>
      <c r="Y27" s="748">
        <v>13.392856871428572</v>
      </c>
    </row>
    <row r="28" spans="1:25" ht="11.25" customHeight="1">
      <c r="A28" s="136"/>
      <c r="B28" s="138"/>
      <c r="C28" s="138"/>
      <c r="D28" s="138"/>
      <c r="E28" s="138"/>
      <c r="F28" s="138"/>
      <c r="G28" s="138"/>
      <c r="H28" s="138"/>
      <c r="I28" s="138"/>
      <c r="J28" s="25"/>
      <c r="K28" s="26"/>
      <c r="L28" s="22"/>
      <c r="P28" s="639">
        <v>25</v>
      </c>
      <c r="Q28" s="748">
        <v>10.290999957142857</v>
      </c>
      <c r="R28" s="748">
        <v>3.7498572211428569</v>
      </c>
      <c r="S28" s="748">
        <v>74.093855721428568</v>
      </c>
      <c r="T28" s="748">
        <v>53.035571505714287</v>
      </c>
      <c r="U28" s="748">
        <v>14.135857038571428</v>
      </c>
      <c r="V28" s="748">
        <v>11.79</v>
      </c>
      <c r="W28" s="748">
        <v>2.0514285564285717</v>
      </c>
      <c r="X28" s="748">
        <v>51.970714024285719</v>
      </c>
      <c r="Y28" s="748">
        <v>10.749428476857142</v>
      </c>
    </row>
    <row r="29" spans="1:25" ht="11.25" customHeight="1">
      <c r="A29" s="136"/>
      <c r="B29" s="138"/>
      <c r="C29" s="138"/>
      <c r="D29" s="138"/>
      <c r="E29" s="138"/>
      <c r="F29" s="138"/>
      <c r="G29" s="138"/>
      <c r="H29" s="138"/>
      <c r="I29" s="138"/>
      <c r="J29" s="25"/>
      <c r="K29" s="26"/>
      <c r="L29" s="22"/>
      <c r="P29" s="639">
        <v>26</v>
      </c>
      <c r="Q29" s="748">
        <v>9.5591429302857147</v>
      </c>
      <c r="R29" s="748">
        <v>3.5651427677142853</v>
      </c>
      <c r="S29" s="748">
        <v>66.795142037142867</v>
      </c>
      <c r="T29" s="748">
        <v>40.369000025714286</v>
      </c>
      <c r="U29" s="748">
        <v>10.912428581428573</v>
      </c>
      <c r="V29" s="748">
        <v>10.93</v>
      </c>
      <c r="W29" s="748">
        <v>2.1038571597142854</v>
      </c>
      <c r="X29" s="748">
        <v>44.390714371428579</v>
      </c>
      <c r="Y29" s="748">
        <v>9.1145714351428584</v>
      </c>
    </row>
    <row r="30" spans="1:25" ht="11.25" customHeight="1">
      <c r="A30" s="136"/>
      <c r="B30" s="138"/>
      <c r="C30" s="138"/>
      <c r="D30" s="138"/>
      <c r="E30" s="138"/>
      <c r="F30" s="138"/>
      <c r="G30" s="138"/>
      <c r="H30" s="138"/>
      <c r="I30" s="138"/>
      <c r="J30" s="25"/>
      <c r="K30" s="26"/>
      <c r="L30" s="22"/>
      <c r="P30" s="639">
        <v>27</v>
      </c>
      <c r="Q30" s="748">
        <v>9.3137141635714293</v>
      </c>
      <c r="R30" s="748">
        <v>4.7600000245714282</v>
      </c>
      <c r="S30" s="748">
        <v>67.368571689999996</v>
      </c>
      <c r="T30" s="748">
        <v>33.409999999999997</v>
      </c>
      <c r="U30" s="748">
        <v>9.4035714009999989</v>
      </c>
      <c r="V30" s="748">
        <v>12.51</v>
      </c>
      <c r="W30" s="748">
        <v>2.0499999999999998</v>
      </c>
      <c r="X30" s="748">
        <v>39.173571994285716</v>
      </c>
      <c r="Y30" s="748">
        <v>7.6487142698571438</v>
      </c>
    </row>
    <row r="31" spans="1:25" ht="11.25" customHeight="1">
      <c r="A31" s="136"/>
      <c r="B31" s="138"/>
      <c r="C31" s="138"/>
      <c r="D31" s="138"/>
      <c r="E31" s="138"/>
      <c r="F31" s="138"/>
      <c r="G31" s="138"/>
      <c r="H31" s="138"/>
      <c r="I31" s="138"/>
      <c r="J31" s="25"/>
      <c r="K31" s="26"/>
      <c r="L31" s="22"/>
      <c r="P31" s="639">
        <v>28</v>
      </c>
      <c r="Q31" s="748">
        <v>8.7544284548571447</v>
      </c>
      <c r="R31" s="748">
        <v>2.5707143034285713</v>
      </c>
      <c r="S31" s="748">
        <v>65.073571887142847</v>
      </c>
      <c r="T31" s="748">
        <v>33.160714285714285</v>
      </c>
      <c r="U31" s="748">
        <v>9.4155716217142871</v>
      </c>
      <c r="V31" s="748">
        <v>12.3</v>
      </c>
      <c r="W31" s="748">
        <v>2.2505714212857142</v>
      </c>
      <c r="X31" s="748">
        <v>36.999285560000011</v>
      </c>
      <c r="Y31" s="748">
        <v>7.0544285774285713</v>
      </c>
    </row>
    <row r="32" spans="1:25" ht="11.25" customHeight="1">
      <c r="A32" s="136"/>
      <c r="B32" s="138"/>
      <c r="C32" s="138"/>
      <c r="D32" s="138"/>
      <c r="E32" s="138"/>
      <c r="F32" s="138"/>
      <c r="G32" s="138"/>
      <c r="H32" s="138"/>
      <c r="I32" s="138"/>
      <c r="J32" s="26"/>
      <c r="K32" s="26"/>
      <c r="L32" s="22"/>
      <c r="P32" s="639">
        <v>29</v>
      </c>
      <c r="Q32" s="748">
        <v>8.6149000000000004</v>
      </c>
      <c r="R32" s="748">
        <v>3.7006000000000001</v>
      </c>
      <c r="S32" s="748">
        <v>62.515714285714289</v>
      </c>
      <c r="T32" s="748">
        <v>35.738</v>
      </c>
      <c r="U32" s="748">
        <v>9.5503999999999998</v>
      </c>
      <c r="V32" s="748">
        <v>12.245714285714286</v>
      </c>
      <c r="W32" s="748">
        <v>1.9771428571428571</v>
      </c>
      <c r="X32" s="748">
        <v>38.677142857142861</v>
      </c>
      <c r="Y32" s="748">
        <v>6.3400000000000007</v>
      </c>
    </row>
    <row r="33" spans="1:25" ht="11.25" customHeight="1">
      <c r="A33" s="136"/>
      <c r="B33" s="138"/>
      <c r="C33" s="138"/>
      <c r="D33" s="138"/>
      <c r="E33" s="138"/>
      <c r="F33" s="138"/>
      <c r="G33" s="138"/>
      <c r="H33" s="138"/>
      <c r="I33" s="138"/>
      <c r="J33" s="25"/>
      <c r="K33" s="26"/>
      <c r="L33" s="22"/>
      <c r="P33" s="639">
        <v>30</v>
      </c>
      <c r="Q33" s="748">
        <v>8.1221428598571439</v>
      </c>
      <c r="R33" s="748">
        <v>4.9111429789999992</v>
      </c>
      <c r="S33" s="748">
        <v>57.148857115714286</v>
      </c>
      <c r="T33" s="748">
        <v>85.065429679999994</v>
      </c>
      <c r="U33" s="748">
        <v>15.534142631428571</v>
      </c>
      <c r="V33" s="748">
        <v>10.995952741142858</v>
      </c>
      <c r="W33" s="748">
        <v>2.2859999964285715</v>
      </c>
      <c r="X33" s="748">
        <v>56.166428702857139</v>
      </c>
      <c r="Y33" s="748">
        <v>9.4385714285714304</v>
      </c>
    </row>
    <row r="34" spans="1:25" ht="11.25" customHeight="1">
      <c r="A34" s="136"/>
      <c r="B34" s="138"/>
      <c r="C34" s="138"/>
      <c r="D34" s="138"/>
      <c r="E34" s="138"/>
      <c r="F34" s="138"/>
      <c r="G34" s="138"/>
      <c r="H34" s="138"/>
      <c r="I34" s="138"/>
      <c r="J34" s="25"/>
      <c r="K34" s="34"/>
      <c r="L34" s="22"/>
      <c r="P34" s="639">
        <v>31</v>
      </c>
      <c r="Q34" s="748">
        <v>7.5620000000000003</v>
      </c>
      <c r="R34" s="748">
        <v>3.28</v>
      </c>
      <c r="S34" s="748">
        <v>58.768000000000001</v>
      </c>
      <c r="T34" s="748">
        <v>40.375</v>
      </c>
      <c r="U34" s="748">
        <v>8.5579999999999998</v>
      </c>
      <c r="V34" s="748">
        <v>13.18</v>
      </c>
      <c r="W34" s="748">
        <v>2</v>
      </c>
      <c r="X34" s="748">
        <v>50.215000000000003</v>
      </c>
      <c r="Y34" s="748">
        <v>8.5770238095238049</v>
      </c>
    </row>
    <row r="35" spans="1:25" ht="11.25" customHeight="1">
      <c r="A35" s="136"/>
      <c r="B35" s="138"/>
      <c r="C35" s="138"/>
      <c r="D35" s="138"/>
      <c r="E35" s="138"/>
      <c r="F35" s="138"/>
      <c r="G35" s="138"/>
      <c r="H35" s="138"/>
      <c r="I35" s="138"/>
      <c r="J35" s="25"/>
      <c r="K35" s="34"/>
      <c r="L35" s="38"/>
      <c r="O35" s="278">
        <v>32</v>
      </c>
      <c r="P35" s="639">
        <v>32</v>
      </c>
      <c r="Q35" s="748">
        <v>8.4994284765714276</v>
      </c>
      <c r="R35" s="748">
        <v>4.8781427315714287</v>
      </c>
      <c r="S35" s="748">
        <v>54.703428540000004</v>
      </c>
      <c r="T35" s="748">
        <v>52.946428571428569</v>
      </c>
      <c r="U35" s="748">
        <v>10.739857128857144</v>
      </c>
      <c r="V35" s="748">
        <v>10.850328444285712</v>
      </c>
      <c r="W35" s="748">
        <v>2.0667142697142857</v>
      </c>
      <c r="X35" s="748">
        <v>50.460713522857141</v>
      </c>
      <c r="Y35" s="748">
        <v>9.7962856299999999</v>
      </c>
    </row>
    <row r="36" spans="1:25" ht="11.25" customHeight="1">
      <c r="A36" s="136"/>
      <c r="B36" s="138"/>
      <c r="C36" s="138"/>
      <c r="D36" s="138"/>
      <c r="E36" s="138"/>
      <c r="F36" s="138"/>
      <c r="G36" s="138"/>
      <c r="H36" s="138"/>
      <c r="I36" s="138"/>
      <c r="J36" s="25"/>
      <c r="K36" s="29"/>
      <c r="L36" s="22"/>
      <c r="P36" s="639">
        <v>33</v>
      </c>
      <c r="Q36" s="748">
        <v>7.8117142411428571</v>
      </c>
      <c r="R36" s="748">
        <v>4.5999999999999996</v>
      </c>
      <c r="S36" s="748">
        <v>59.066285269999995</v>
      </c>
      <c r="T36" s="748">
        <v>47.13</v>
      </c>
      <c r="U36" s="748">
        <v>9.23</v>
      </c>
      <c r="V36" s="748">
        <v>10.84</v>
      </c>
      <c r="W36" s="748">
        <v>2.0499999999999998</v>
      </c>
      <c r="X36" s="748">
        <v>44.64</v>
      </c>
      <c r="Y36" s="748">
        <v>8.7822855541428577</v>
      </c>
    </row>
    <row r="37" spans="1:25" ht="11.25" customHeight="1">
      <c r="A37" s="136"/>
      <c r="B37" s="138"/>
      <c r="C37" s="138"/>
      <c r="D37" s="138"/>
      <c r="E37" s="138"/>
      <c r="F37" s="138"/>
      <c r="G37" s="138"/>
      <c r="H37" s="138"/>
      <c r="I37" s="138"/>
      <c r="J37" s="25"/>
      <c r="K37" s="29"/>
      <c r="L37" s="22"/>
      <c r="P37" s="639">
        <v>34</v>
      </c>
      <c r="Q37" s="748">
        <v>6.44</v>
      </c>
      <c r="R37" s="748">
        <v>5.1568571165714285</v>
      </c>
      <c r="S37" s="748">
        <v>82.033571515714272</v>
      </c>
      <c r="T37" s="748">
        <v>63.892999920000001</v>
      </c>
      <c r="U37" s="748">
        <v>10.917285918714287</v>
      </c>
      <c r="V37" s="748">
        <v>10.534582955714285</v>
      </c>
      <c r="W37" s="748">
        <v>1.8788571358571429</v>
      </c>
      <c r="X37" s="748">
        <v>35.627857751428571</v>
      </c>
      <c r="Y37" s="748">
        <v>11.383714402571428</v>
      </c>
    </row>
    <row r="38" spans="1:25" ht="11.25" customHeight="1">
      <c r="A38" s="136"/>
      <c r="B38" s="138"/>
      <c r="C38" s="138"/>
      <c r="D38" s="138"/>
      <c r="E38" s="138"/>
      <c r="F38" s="138"/>
      <c r="G38" s="138"/>
      <c r="H38" s="138"/>
      <c r="I38" s="138"/>
      <c r="J38" s="25"/>
      <c r="K38" s="29"/>
      <c r="L38" s="22"/>
      <c r="P38" s="639">
        <v>35</v>
      </c>
      <c r="Q38" s="748">
        <v>7.5428571428571427</v>
      </c>
      <c r="R38" s="748">
        <v>2.15</v>
      </c>
      <c r="S38" s="748">
        <v>71.48</v>
      </c>
      <c r="T38" s="748">
        <v>45.64</v>
      </c>
      <c r="U38" s="748">
        <v>9.4700000000000006</v>
      </c>
      <c r="V38" s="748">
        <v>10.92</v>
      </c>
      <c r="W38" s="748">
        <v>1.88</v>
      </c>
      <c r="X38" s="748">
        <v>32.979999999999997</v>
      </c>
      <c r="Y38" s="748">
        <v>7.88</v>
      </c>
    </row>
    <row r="39" spans="1:25" ht="11.25" customHeight="1">
      <c r="P39" s="639">
        <v>36</v>
      </c>
      <c r="Q39" s="748">
        <v>7.1671427998571433</v>
      </c>
      <c r="R39" s="748">
        <v>4.8342857142857136</v>
      </c>
      <c r="S39" s="748">
        <v>63.092857142857149</v>
      </c>
      <c r="T39" s="748">
        <v>34.571428571428569</v>
      </c>
      <c r="U39" s="748">
        <v>7.5942857142857134</v>
      </c>
      <c r="V39" s="748">
        <v>11.091428571428571</v>
      </c>
      <c r="W39" s="748">
        <v>1.8442857142857143</v>
      </c>
      <c r="X39" s="748">
        <v>31.20428571428571</v>
      </c>
      <c r="Y39" s="748">
        <v>8.0857142857142854</v>
      </c>
    </row>
    <row r="40" spans="1:25" ht="11.25" customHeight="1">
      <c r="A40" s="885" t="s">
        <v>595</v>
      </c>
      <c r="B40" s="885"/>
      <c r="C40" s="885"/>
      <c r="D40" s="885"/>
      <c r="E40" s="885"/>
      <c r="F40" s="885"/>
      <c r="G40" s="885"/>
      <c r="H40" s="885"/>
      <c r="I40" s="885"/>
      <c r="J40" s="885"/>
      <c r="K40" s="885"/>
      <c r="L40" s="885"/>
      <c r="P40" s="639">
        <v>37</v>
      </c>
      <c r="Q40" s="748">
        <v>7.1637143408571422</v>
      </c>
      <c r="R40" s="748">
        <v>3.1535714688571423</v>
      </c>
      <c r="S40" s="748">
        <v>61.141713821428574</v>
      </c>
      <c r="T40" s="748">
        <v>28.744000025714286</v>
      </c>
      <c r="U40" s="748">
        <v>6.5637142318571433</v>
      </c>
      <c r="V40" s="748">
        <v>10.825238499999999</v>
      </c>
      <c r="W40" s="748">
        <v>1.8114285809999999</v>
      </c>
      <c r="X40" s="748">
        <v>29.614285605714283</v>
      </c>
      <c r="Y40" s="748">
        <v>8.6452856064285708</v>
      </c>
    </row>
    <row r="41" spans="1:25" ht="11.25" customHeight="1">
      <c r="P41" s="639">
        <v>38</v>
      </c>
      <c r="Q41" s="748">
        <v>8.31</v>
      </c>
      <c r="R41" s="748">
        <v>3.3441428289999995</v>
      </c>
      <c r="S41" s="748">
        <v>49.664428712857145</v>
      </c>
      <c r="T41" s="748">
        <v>35.571571351428574</v>
      </c>
      <c r="U41" s="748">
        <v>7.2939999444285712</v>
      </c>
      <c r="V41" s="748">
        <v>11.159824370000001</v>
      </c>
      <c r="W41" s="748">
        <v>1.8427142925714282</v>
      </c>
      <c r="X41" s="748">
        <v>30.912857054285716</v>
      </c>
      <c r="Y41" s="748">
        <v>8.6452856064285708</v>
      </c>
    </row>
    <row r="42" spans="1:25" ht="11.25" customHeight="1">
      <c r="A42" s="136"/>
      <c r="B42" s="138"/>
      <c r="C42" s="138"/>
      <c r="D42" s="138"/>
      <c r="E42" s="138"/>
      <c r="F42" s="138"/>
      <c r="G42" s="138"/>
      <c r="H42" s="138"/>
      <c r="I42" s="138"/>
      <c r="P42" s="639">
        <v>39</v>
      </c>
      <c r="Q42" s="748">
        <v>7.621428489714285</v>
      </c>
      <c r="R42" s="748">
        <v>4.6500000000000004</v>
      </c>
      <c r="S42" s="748">
        <v>42.24</v>
      </c>
      <c r="T42" s="748">
        <v>39.39</v>
      </c>
      <c r="U42" s="748">
        <v>7.68</v>
      </c>
      <c r="V42" s="748">
        <v>11.33</v>
      </c>
      <c r="W42" s="748">
        <v>1.64</v>
      </c>
      <c r="X42" s="748">
        <v>37.200000000000003</v>
      </c>
      <c r="Y42" s="748">
        <v>7.4194285528571422</v>
      </c>
    </row>
    <row r="43" spans="1:25" ht="11.25" customHeight="1">
      <c r="A43" s="136"/>
      <c r="B43" s="138"/>
      <c r="C43" s="138"/>
      <c r="D43" s="138"/>
      <c r="E43" s="138"/>
      <c r="F43" s="138"/>
      <c r="G43" s="138"/>
      <c r="H43" s="138"/>
      <c r="I43" s="138"/>
      <c r="O43" s="278">
        <v>40</v>
      </c>
      <c r="P43" s="639">
        <v>40</v>
      </c>
      <c r="Q43" s="748">
        <v>7.621428489714285</v>
      </c>
      <c r="R43" s="748">
        <v>5.128571373571428</v>
      </c>
      <c r="S43" s="748">
        <v>38.906285422857138</v>
      </c>
      <c r="T43" s="748">
        <v>41.34000069857143</v>
      </c>
      <c r="U43" s="748">
        <v>9.112857137571428</v>
      </c>
      <c r="V43" s="748">
        <v>11.565001485714285</v>
      </c>
      <c r="W43" s="748">
        <v>1.8221428395714285</v>
      </c>
      <c r="X43" s="748">
        <v>42.197143011428572</v>
      </c>
      <c r="Y43" s="748">
        <v>9.6005713597142837</v>
      </c>
    </row>
    <row r="44" spans="1:25" ht="11.25" customHeight="1">
      <c r="A44" s="136"/>
      <c r="B44" s="138"/>
      <c r="C44" s="138"/>
      <c r="D44" s="138"/>
      <c r="E44" s="138"/>
      <c r="F44" s="138"/>
      <c r="G44" s="138"/>
      <c r="H44" s="138"/>
      <c r="I44" s="138"/>
      <c r="P44" s="639">
        <v>41</v>
      </c>
      <c r="Q44" s="748">
        <v>7.2698572022574259</v>
      </c>
      <c r="R44" s="748">
        <v>4.8594285079410948</v>
      </c>
      <c r="S44" s="748">
        <v>42.923713956560341</v>
      </c>
      <c r="T44" s="748">
        <v>56.607142857142847</v>
      </c>
      <c r="U44" s="748">
        <v>11.170142854962995</v>
      </c>
      <c r="V44" s="748">
        <v>12.740178653172041</v>
      </c>
      <c r="W44" s="748">
        <v>1.7041428429739784</v>
      </c>
      <c r="X44" s="748">
        <v>49.475714547293492</v>
      </c>
      <c r="Y44" s="748">
        <v>10.943285942077617</v>
      </c>
    </row>
    <row r="45" spans="1:25" ht="11.25" customHeight="1">
      <c r="A45" s="136"/>
      <c r="B45" s="138"/>
      <c r="C45" s="138"/>
      <c r="D45" s="138"/>
      <c r="E45" s="138"/>
      <c r="F45" s="138"/>
      <c r="G45" s="138"/>
      <c r="H45" s="138"/>
      <c r="I45" s="138"/>
      <c r="P45" s="639">
        <v>42</v>
      </c>
      <c r="Q45" s="748">
        <v>6.2732856614249064</v>
      </c>
      <c r="R45" s="748">
        <v>4.00314286776951</v>
      </c>
      <c r="S45" s="748">
        <v>73.976001194545148</v>
      </c>
      <c r="T45" s="748">
        <v>89.232285635811792</v>
      </c>
      <c r="U45" s="748">
        <v>19.282285690307582</v>
      </c>
      <c r="V45" s="748">
        <v>11.792381422860229</v>
      </c>
      <c r="W45" s="748">
        <v>1.5524285691124997</v>
      </c>
      <c r="X45" s="748">
        <v>72.350713457379968</v>
      </c>
      <c r="Y45" s="748">
        <v>17.972571236746628</v>
      </c>
    </row>
    <row r="46" spans="1:25" ht="11.25" customHeight="1">
      <c r="A46" s="136"/>
      <c r="B46" s="138"/>
      <c r="C46" s="138"/>
      <c r="D46" s="138"/>
      <c r="E46" s="138"/>
      <c r="F46" s="138"/>
      <c r="G46" s="138"/>
      <c r="H46" s="138"/>
      <c r="I46" s="138"/>
      <c r="P46" s="639">
        <v>43</v>
      </c>
      <c r="Q46" s="748">
        <v>8.3208571161542526</v>
      </c>
      <c r="R46" s="748">
        <v>6.0481427737644662</v>
      </c>
      <c r="S46" s="748">
        <v>97.234427315848038</v>
      </c>
      <c r="T46" s="748">
        <v>125.70828465052978</v>
      </c>
      <c r="U46" s="748">
        <v>26.382142475673081</v>
      </c>
      <c r="V46" s="748">
        <v>12.0416071755545</v>
      </c>
      <c r="W46" s="748">
        <v>1.585428544453207</v>
      </c>
      <c r="X46" s="748">
        <v>82.484284537179079</v>
      </c>
      <c r="Y46" s="748">
        <v>19.552571432931028</v>
      </c>
    </row>
    <row r="47" spans="1:25" ht="11.25" customHeight="1">
      <c r="A47" s="136"/>
      <c r="B47" s="138"/>
      <c r="C47" s="138"/>
      <c r="D47" s="138"/>
      <c r="E47" s="138"/>
      <c r="F47" s="138"/>
      <c r="G47" s="138"/>
      <c r="H47" s="138"/>
      <c r="I47" s="138"/>
      <c r="P47" s="639">
        <v>44</v>
      </c>
      <c r="Q47" s="748">
        <v>9.2941429947142868</v>
      </c>
      <c r="R47" s="748">
        <v>7.6531428608571428</v>
      </c>
      <c r="S47" s="748">
        <v>120.62971387142855</v>
      </c>
      <c r="T47" s="748">
        <v>157.60714285714286</v>
      </c>
      <c r="U47" s="748">
        <v>33.364427840000005</v>
      </c>
      <c r="V47" s="748">
        <v>12.188929967142856</v>
      </c>
      <c r="W47" s="748">
        <v>1.6864285471428571</v>
      </c>
      <c r="X47" s="748">
        <v>110.40928649571428</v>
      </c>
      <c r="Y47" s="748">
        <v>33.081571032857141</v>
      </c>
    </row>
    <row r="48" spans="1:25">
      <c r="A48" s="136"/>
      <c r="B48" s="138"/>
      <c r="C48" s="138"/>
      <c r="D48" s="138"/>
      <c r="E48" s="138"/>
      <c r="F48" s="138"/>
      <c r="G48" s="138"/>
      <c r="H48" s="138"/>
      <c r="I48" s="138"/>
      <c r="P48" s="639">
        <v>45</v>
      </c>
      <c r="Q48" s="748">
        <v>8.6642857274285721</v>
      </c>
      <c r="R48" s="748">
        <v>4.2061428341428568</v>
      </c>
      <c r="S48" s="748">
        <v>125.43157086857143</v>
      </c>
      <c r="T48" s="748">
        <v>105.63685608857143</v>
      </c>
      <c r="U48" s="748">
        <v>18.735571588571428</v>
      </c>
      <c r="V48" s="748">
        <v>13</v>
      </c>
      <c r="W48" s="748">
        <v>1.7397142818571427</v>
      </c>
      <c r="X48" s="748">
        <v>114.14357212285714</v>
      </c>
      <c r="Y48" s="748">
        <v>39.80185754</v>
      </c>
    </row>
    <row r="49" spans="1:25">
      <c r="A49" s="136"/>
      <c r="B49" s="138"/>
      <c r="C49" s="138"/>
      <c r="D49" s="138"/>
      <c r="E49" s="138"/>
      <c r="F49" s="138"/>
      <c r="G49" s="138"/>
      <c r="H49" s="138"/>
      <c r="I49" s="138"/>
      <c r="P49" s="639">
        <v>46</v>
      </c>
      <c r="Q49" s="748">
        <v>8.5371428571428574</v>
      </c>
      <c r="R49" s="748">
        <v>5.9</v>
      </c>
      <c r="S49" s="748">
        <v>78.757142857142853</v>
      </c>
      <c r="T49" s="748">
        <v>79.304285714285712</v>
      </c>
      <c r="U49" s="748">
        <v>13.16</v>
      </c>
      <c r="V49" s="748">
        <v>13.001428571428571</v>
      </c>
      <c r="W49" s="748">
        <v>1.5</v>
      </c>
      <c r="X49" s="748">
        <v>93.457142857142841</v>
      </c>
      <c r="Y49" s="748">
        <v>37.212857142857146</v>
      </c>
    </row>
    <row r="50" spans="1:25">
      <c r="A50" s="136"/>
      <c r="B50" s="138"/>
      <c r="C50" s="138"/>
      <c r="D50" s="138"/>
      <c r="E50" s="138"/>
      <c r="F50" s="138"/>
      <c r="G50" s="138"/>
      <c r="H50" s="138"/>
      <c r="I50" s="138"/>
      <c r="P50" s="639">
        <v>47</v>
      </c>
      <c r="Q50" s="748">
        <v>9.0094285692857135</v>
      </c>
      <c r="R50" s="748">
        <v>7.1015714912857133</v>
      </c>
      <c r="S50" s="748">
        <v>88.111712864285735</v>
      </c>
      <c r="T50" s="748">
        <v>74.684428622857141</v>
      </c>
      <c r="U50" s="748">
        <v>13.483142988571428</v>
      </c>
      <c r="V50" s="748">
        <v>12.142405645714286</v>
      </c>
      <c r="W50" s="748">
        <v>1.5</v>
      </c>
      <c r="X50" s="748">
        <v>104.10500007571429</v>
      </c>
      <c r="Y50" s="748">
        <v>35.055428368571434</v>
      </c>
    </row>
    <row r="51" spans="1:25">
      <c r="A51" s="136"/>
      <c r="B51" s="138"/>
      <c r="C51" s="138"/>
      <c r="D51" s="138"/>
      <c r="E51" s="138"/>
      <c r="F51" s="138"/>
      <c r="G51" s="138"/>
      <c r="H51" s="138"/>
      <c r="I51" s="138"/>
      <c r="O51" s="278">
        <v>48</v>
      </c>
      <c r="P51" s="639">
        <v>48</v>
      </c>
      <c r="Q51" s="748">
        <v>8.5042856081428582</v>
      </c>
      <c r="R51" s="748">
        <v>4.3617142950000005</v>
      </c>
      <c r="S51" s="748">
        <v>80.151286534285717</v>
      </c>
      <c r="T51" s="748">
        <v>95.303570342857142</v>
      </c>
      <c r="U51" s="748">
        <v>12.543571337142859</v>
      </c>
      <c r="V51" s="748">
        <v>11.975262778571429</v>
      </c>
      <c r="W51" s="748">
        <v>1.5</v>
      </c>
      <c r="X51" s="748">
        <v>91.569999695714287</v>
      </c>
      <c r="Y51" s="748">
        <v>28.370000294285713</v>
      </c>
    </row>
    <row r="52" spans="1:25">
      <c r="A52" s="136"/>
      <c r="B52" s="138"/>
      <c r="C52" s="138"/>
      <c r="D52" s="138"/>
      <c r="E52" s="138"/>
      <c r="F52" s="138"/>
      <c r="G52" s="138"/>
      <c r="H52" s="138"/>
      <c r="I52" s="138"/>
      <c r="P52" s="639">
        <v>49</v>
      </c>
      <c r="Q52" s="748">
        <v>8.27</v>
      </c>
      <c r="R52" s="748">
        <v>6.9099999999999993</v>
      </c>
      <c r="S52" s="748">
        <v>66.555714285714288</v>
      </c>
      <c r="T52" s="748">
        <v>54.31</v>
      </c>
      <c r="U52" s="748">
        <v>8.99</v>
      </c>
      <c r="V52" s="748">
        <v>12.26</v>
      </c>
      <c r="W52" s="748">
        <v>1.5</v>
      </c>
      <c r="X52" s="748">
        <v>62.974285714285706</v>
      </c>
      <c r="Y52" s="748">
        <v>22.919999999999998</v>
      </c>
    </row>
    <row r="53" spans="1:25">
      <c r="A53" s="136"/>
      <c r="B53" s="138"/>
      <c r="C53" s="138"/>
      <c r="D53" s="138"/>
      <c r="E53" s="138"/>
      <c r="F53" s="138"/>
      <c r="G53" s="138"/>
      <c r="H53" s="138"/>
      <c r="I53" s="138"/>
      <c r="P53" s="639">
        <v>50</v>
      </c>
      <c r="Q53" s="748">
        <v>8.1765714374285707</v>
      </c>
      <c r="R53" s="748">
        <v>6.5639999597142857</v>
      </c>
      <c r="S53" s="748">
        <v>61.602715082857152</v>
      </c>
      <c r="T53" s="748">
        <v>52.47614288285714</v>
      </c>
      <c r="U53" s="748">
        <v>10.909571511285714</v>
      </c>
      <c r="V53" s="748">
        <v>13.001428604285715</v>
      </c>
      <c r="W53" s="748">
        <v>1.457142846857143</v>
      </c>
      <c r="X53" s="748">
        <v>52.244286674285718</v>
      </c>
      <c r="Y53" s="748">
        <v>17.695714271428571</v>
      </c>
    </row>
    <row r="54" spans="1:25">
      <c r="A54" s="136"/>
      <c r="B54" s="138"/>
      <c r="C54" s="138"/>
      <c r="D54" s="138"/>
      <c r="E54" s="138"/>
      <c r="F54" s="138"/>
      <c r="G54" s="138"/>
      <c r="H54" s="138"/>
      <c r="I54" s="138"/>
      <c r="P54" s="639">
        <v>51</v>
      </c>
      <c r="Q54" s="748">
        <v>10.342857142857142</v>
      </c>
      <c r="R54" s="748">
        <v>7.3285714285714283</v>
      </c>
      <c r="S54" s="748">
        <v>53.9</v>
      </c>
      <c r="T54" s="748">
        <v>126.14285714285714</v>
      </c>
      <c r="U54" s="748">
        <v>16.8</v>
      </c>
      <c r="V54" s="748">
        <v>12.257142857142856</v>
      </c>
      <c r="W54" s="748">
        <v>1.3857142857142859</v>
      </c>
      <c r="X54" s="748">
        <v>86.528571428571439</v>
      </c>
      <c r="Y54" s="748">
        <v>33.51428571428572</v>
      </c>
    </row>
    <row r="55" spans="1:25">
      <c r="A55" s="136"/>
      <c r="B55" s="138"/>
      <c r="C55" s="138"/>
      <c r="D55" s="138"/>
      <c r="E55" s="138"/>
      <c r="F55" s="138"/>
      <c r="G55" s="138"/>
      <c r="H55" s="138"/>
      <c r="I55" s="138"/>
      <c r="O55" s="278">
        <v>52</v>
      </c>
      <c r="P55" s="639">
        <v>52</v>
      </c>
      <c r="Q55" s="748">
        <v>10.661999840142856</v>
      </c>
      <c r="R55" s="748">
        <v>7.4820000789999996</v>
      </c>
      <c r="S55" s="748">
        <v>57.504999978571433</v>
      </c>
      <c r="T55" s="748">
        <v>100.38085719714286</v>
      </c>
      <c r="U55" s="748">
        <v>16.435142652857145</v>
      </c>
      <c r="V55" s="748">
        <v>12.222315514285714</v>
      </c>
      <c r="W55" s="748">
        <v>1.2999999520000001</v>
      </c>
      <c r="X55" s="748">
        <v>103.53357153142858</v>
      </c>
      <c r="Y55" s="748">
        <v>52.753143308571431</v>
      </c>
    </row>
    <row r="56" spans="1:25">
      <c r="A56" s="136"/>
      <c r="B56" s="138"/>
      <c r="C56" s="138"/>
      <c r="D56" s="138"/>
      <c r="E56" s="138"/>
      <c r="F56" s="138"/>
      <c r="G56" s="138"/>
      <c r="H56" s="138"/>
      <c r="I56" s="138"/>
      <c r="N56" s="278">
        <v>2019</v>
      </c>
      <c r="O56" s="278">
        <v>1</v>
      </c>
      <c r="P56" s="639">
        <v>1</v>
      </c>
      <c r="Q56" s="748">
        <v>8.992857251428573</v>
      </c>
      <c r="R56" s="748">
        <v>4.4642857141428571</v>
      </c>
      <c r="S56" s="748">
        <v>57.514999934285704</v>
      </c>
      <c r="T56" s="748">
        <v>79.871427261428579</v>
      </c>
      <c r="U56" s="748">
        <v>13.115714484285716</v>
      </c>
      <c r="V56" s="748">
        <v>11.571904317142856</v>
      </c>
      <c r="W56" s="748">
        <v>1.2999999520000001</v>
      </c>
      <c r="X56" s="748">
        <v>121.75642612857142</v>
      </c>
      <c r="Y56" s="748">
        <v>64.398429325714275</v>
      </c>
    </row>
    <row r="57" spans="1:25">
      <c r="A57" s="136"/>
      <c r="B57" s="138"/>
      <c r="C57" s="138"/>
      <c r="D57" s="138"/>
      <c r="E57" s="138"/>
      <c r="F57" s="138"/>
      <c r="G57" s="138"/>
      <c r="H57" s="138"/>
      <c r="I57" s="138"/>
      <c r="P57" s="639">
        <v>2</v>
      </c>
      <c r="Q57" s="748">
        <v>7.4904285157142843</v>
      </c>
      <c r="R57" s="748">
        <v>3.3685714177142856</v>
      </c>
      <c r="S57" s="748">
        <v>63.363856724285711</v>
      </c>
      <c r="T57" s="748">
        <v>84.184571402857145</v>
      </c>
      <c r="U57" s="748">
        <v>16.11014284285714</v>
      </c>
      <c r="V57" s="748">
        <v>11.570298602857141</v>
      </c>
      <c r="W57" s="748">
        <v>1.2999999520000001</v>
      </c>
      <c r="X57" s="748">
        <v>180.32999965714288</v>
      </c>
      <c r="Y57" s="748">
        <v>70.997858864285703</v>
      </c>
    </row>
    <row r="58" spans="1:25">
      <c r="A58" s="136"/>
      <c r="B58" s="138"/>
      <c r="C58" s="138"/>
      <c r="D58" s="138"/>
      <c r="E58" s="138"/>
      <c r="F58" s="138"/>
      <c r="G58" s="138"/>
      <c r="H58" s="138"/>
      <c r="I58" s="138"/>
      <c r="P58" s="639">
        <v>3</v>
      </c>
      <c r="Q58" s="748">
        <v>14.36</v>
      </c>
      <c r="R58" s="748">
        <v>10.74</v>
      </c>
      <c r="S58" s="748">
        <v>80.75</v>
      </c>
      <c r="T58" s="748">
        <v>149.30000000000001</v>
      </c>
      <c r="U58" s="748">
        <v>29.23</v>
      </c>
      <c r="V58" s="748">
        <v>11.28</v>
      </c>
      <c r="W58" s="748">
        <v>1.33</v>
      </c>
      <c r="X58" s="748">
        <v>167.22</v>
      </c>
      <c r="Y58" s="748">
        <v>68.83</v>
      </c>
    </row>
    <row r="59" spans="1:25">
      <c r="A59" s="136"/>
      <c r="B59" s="138"/>
      <c r="C59" s="138"/>
      <c r="D59" s="138"/>
      <c r="E59" s="138"/>
      <c r="F59" s="138"/>
      <c r="G59" s="138"/>
      <c r="H59" s="138"/>
      <c r="I59" s="138"/>
      <c r="P59" s="639">
        <v>4</v>
      </c>
      <c r="Q59" s="748">
        <v>17.131428719999999</v>
      </c>
      <c r="R59" s="748">
        <v>11.155714580142858</v>
      </c>
      <c r="S59" s="748">
        <v>85.689570837142853</v>
      </c>
      <c r="T59" s="748">
        <v>168.80999974285714</v>
      </c>
      <c r="U59" s="748">
        <v>36.200000218571425</v>
      </c>
      <c r="V59" s="748">
        <v>11.843988554285716</v>
      </c>
      <c r="W59" s="748">
        <v>3.0287143159999999</v>
      </c>
      <c r="X59" s="748">
        <v>185.51500375714286</v>
      </c>
      <c r="Y59" s="748">
        <v>70.089428494285713</v>
      </c>
    </row>
    <row r="60" spans="1:25">
      <c r="A60" s="136"/>
      <c r="B60" s="138"/>
      <c r="C60" s="138"/>
      <c r="D60" s="138"/>
      <c r="E60" s="138"/>
      <c r="F60" s="138"/>
      <c r="G60" s="138"/>
      <c r="H60" s="138"/>
      <c r="I60" s="138"/>
      <c r="P60" s="639">
        <v>5</v>
      </c>
      <c r="Q60" s="748">
        <v>30.592286245714288</v>
      </c>
      <c r="R60" s="748">
        <v>16.463000024285716</v>
      </c>
      <c r="S60" s="748">
        <v>416.48700821428571</v>
      </c>
      <c r="T60" s="748">
        <v>195.24999782857142</v>
      </c>
      <c r="U60" s="748">
        <v>36.703999928571427</v>
      </c>
      <c r="V60" s="748">
        <v>12.496724401428571</v>
      </c>
      <c r="W60" s="748">
        <v>6.6928571292857146</v>
      </c>
      <c r="X60" s="748">
        <v>199.03571430000002</v>
      </c>
      <c r="Y60" s="748">
        <v>74.655428748571438</v>
      </c>
    </row>
    <row r="61" spans="1:25">
      <c r="A61" s="136"/>
      <c r="B61" s="138"/>
      <c r="C61" s="138"/>
      <c r="D61" s="138"/>
      <c r="E61" s="138"/>
      <c r="F61" s="138"/>
      <c r="G61" s="138"/>
      <c r="H61" s="138"/>
      <c r="I61" s="138"/>
      <c r="P61" s="639">
        <v>6</v>
      </c>
      <c r="Q61" s="748">
        <v>20.372857142857146</v>
      </c>
      <c r="R61" s="748">
        <v>17.05857142857143</v>
      </c>
      <c r="S61" s="748">
        <v>426.67142857142863</v>
      </c>
      <c r="T61" s="748">
        <v>265.28000000000003</v>
      </c>
      <c r="U61" s="748">
        <v>51.29</v>
      </c>
      <c r="V61" s="748">
        <v>12.744285714285715</v>
      </c>
      <c r="W61" s="748">
        <v>14.464285714285714</v>
      </c>
      <c r="X61" s="748">
        <v>338.89857142857142</v>
      </c>
      <c r="Y61" s="748">
        <v>117.82857142857142</v>
      </c>
    </row>
    <row r="62" spans="1:25">
      <c r="A62" s="136"/>
      <c r="B62" s="138"/>
      <c r="C62" s="138"/>
      <c r="D62" s="138"/>
      <c r="E62" s="138"/>
      <c r="F62" s="138"/>
      <c r="G62" s="138"/>
      <c r="H62" s="138"/>
      <c r="I62" s="138"/>
      <c r="P62" s="639">
        <v>7</v>
      </c>
      <c r="Q62" s="748">
        <v>28.837571554285717</v>
      </c>
      <c r="R62" s="748">
        <v>18.065285818571429</v>
      </c>
      <c r="S62" s="748">
        <v>581.62514822857145</v>
      </c>
      <c r="T62" s="748">
        <v>230.7322888857143</v>
      </c>
      <c r="U62" s="748">
        <v>46.224000658571427</v>
      </c>
      <c r="V62" s="748">
        <v>23.841369902857146</v>
      </c>
      <c r="W62" s="748">
        <v>21.059571402857141</v>
      </c>
      <c r="X62" s="748">
        <v>288.0957205571429</v>
      </c>
      <c r="Y62" s="748">
        <v>118.07871352857144</v>
      </c>
    </row>
    <row r="63" spans="1:25">
      <c r="A63" s="136"/>
      <c r="B63" s="138"/>
      <c r="C63" s="138"/>
      <c r="D63" s="138"/>
      <c r="E63" s="138"/>
      <c r="F63" s="138"/>
      <c r="G63" s="138"/>
      <c r="H63" s="138"/>
      <c r="I63" s="138"/>
      <c r="O63" s="278">
        <v>8</v>
      </c>
      <c r="P63" s="639">
        <v>8</v>
      </c>
      <c r="Q63" s="748">
        <v>20.077857700000003</v>
      </c>
      <c r="R63" s="748">
        <v>14.531571660571432</v>
      </c>
      <c r="S63" s="748">
        <v>439.74099729999995</v>
      </c>
      <c r="T63" s="748">
        <v>219.37485614285717</v>
      </c>
      <c r="U63" s="748">
        <v>42.94585745571429</v>
      </c>
      <c r="V63" s="748">
        <v>23.894881112857146</v>
      </c>
      <c r="W63" s="748">
        <v>6.8928571428571432</v>
      </c>
      <c r="X63" s="748">
        <v>411.75142995714288</v>
      </c>
      <c r="Y63" s="748">
        <v>98.32</v>
      </c>
    </row>
    <row r="64" spans="1:25" ht="6" customHeight="1">
      <c r="A64" s="136"/>
      <c r="B64" s="138"/>
      <c r="C64" s="138"/>
      <c r="D64" s="138"/>
      <c r="E64" s="138"/>
      <c r="F64" s="138"/>
      <c r="G64" s="138"/>
      <c r="H64" s="138"/>
      <c r="I64" s="138"/>
      <c r="P64" s="639">
        <v>9</v>
      </c>
      <c r="Q64" s="748">
        <v>26.317999977142858</v>
      </c>
      <c r="R64" s="748">
        <v>19.520428521428574</v>
      </c>
      <c r="S64" s="748">
        <v>316.26999772857147</v>
      </c>
      <c r="T64" s="748">
        <v>191.17842539999998</v>
      </c>
      <c r="U64" s="748">
        <v>34.696428571428569</v>
      </c>
      <c r="V64" s="748">
        <v>22.406962801428573</v>
      </c>
      <c r="W64" s="748">
        <v>3.3807143142857146</v>
      </c>
      <c r="X64" s="748">
        <v>249.46285358571427</v>
      </c>
      <c r="Y64" s="748">
        <v>120.90099988571428</v>
      </c>
    </row>
    <row r="65" spans="1:25" ht="24.75" customHeight="1">
      <c r="A65" s="858" t="s">
        <v>596</v>
      </c>
      <c r="B65" s="858"/>
      <c r="C65" s="858"/>
      <c r="D65" s="858"/>
      <c r="E65" s="858"/>
      <c r="F65" s="858"/>
      <c r="G65" s="858"/>
      <c r="H65" s="858"/>
      <c r="I65" s="858"/>
      <c r="J65" s="858"/>
      <c r="K65" s="858"/>
      <c r="L65" s="858"/>
      <c r="P65" s="639">
        <v>10</v>
      </c>
      <c r="Q65" s="748">
        <v>27.959571565714288</v>
      </c>
      <c r="R65" s="748">
        <v>20.831714628571426</v>
      </c>
      <c r="S65" s="748">
        <v>326.63642664285715</v>
      </c>
      <c r="T65" s="748">
        <v>184.08928571428572</v>
      </c>
      <c r="U65" s="748">
        <v>38.680999754285715</v>
      </c>
      <c r="V65" s="748">
        <v>23.828572680000001</v>
      </c>
      <c r="W65" s="748">
        <v>2.3840000118571427</v>
      </c>
      <c r="X65" s="748">
        <v>225.10000174285716</v>
      </c>
      <c r="Y65" s="748">
        <v>78.177285328571429</v>
      </c>
    </row>
    <row r="66" spans="1:25" ht="20.25" customHeight="1">
      <c r="P66" s="639">
        <v>11</v>
      </c>
      <c r="Q66" s="748">
        <v>27.959571565714288</v>
      </c>
      <c r="R66" s="748">
        <v>22.247142927987216</v>
      </c>
      <c r="S66" s="748">
        <v>416.08099801199745</v>
      </c>
      <c r="T66" s="748">
        <v>226.88085501534573</v>
      </c>
      <c r="U66" s="748">
        <v>42.633285522460888</v>
      </c>
      <c r="V66" s="748">
        <v>23.809881482805473</v>
      </c>
      <c r="W66" s="748">
        <v>1.9291428668158341</v>
      </c>
      <c r="X66" s="748">
        <v>217.45642525809117</v>
      </c>
      <c r="Y66" s="748">
        <v>44.638999938964801</v>
      </c>
    </row>
    <row r="67" spans="1:25">
      <c r="P67" s="639">
        <v>12</v>
      </c>
      <c r="Q67" s="748">
        <v>28.476714270455457</v>
      </c>
      <c r="R67" s="748">
        <v>21.707857131428572</v>
      </c>
      <c r="S67" s="748">
        <v>394.13957431428571</v>
      </c>
      <c r="T67" s="748">
        <v>203.44642857142858</v>
      </c>
      <c r="U67" s="748">
        <v>43.529285431428569</v>
      </c>
      <c r="V67" s="748">
        <v>19.572964258571432</v>
      </c>
      <c r="W67" s="748">
        <v>1.7968571012857144</v>
      </c>
      <c r="X67" s="748">
        <v>327.82142857142861</v>
      </c>
      <c r="Y67" s="748">
        <v>98.4</v>
      </c>
    </row>
    <row r="68" spans="1:25">
      <c r="P68" s="639">
        <v>13</v>
      </c>
      <c r="Q68" s="748">
        <v>24.844714028571435</v>
      </c>
      <c r="R68" s="748">
        <v>20.569142751428576</v>
      </c>
      <c r="S68" s="748">
        <v>522.42285592857138</v>
      </c>
      <c r="T68" s="748">
        <v>225.26185825714285</v>
      </c>
      <c r="U68" s="748">
        <v>57.974427901428569</v>
      </c>
      <c r="V68" s="748">
        <v>12.582738467142859</v>
      </c>
      <c r="W68" s="748">
        <v>1.6904285634285714</v>
      </c>
      <c r="X68" s="748">
        <v>339.04356602857143</v>
      </c>
      <c r="Y68" s="748">
        <v>92.103571201428579</v>
      </c>
    </row>
    <row r="69" spans="1:25">
      <c r="P69" s="639">
        <v>14</v>
      </c>
      <c r="Q69" s="748">
        <v>29.483285902857141</v>
      </c>
      <c r="R69" s="748">
        <v>18.767857142857142</v>
      </c>
      <c r="S69" s="748">
        <v>316.33943394285717</v>
      </c>
      <c r="T69" s="748">
        <v>152.47643277142856</v>
      </c>
      <c r="U69" s="748">
        <v>55.119428907142868</v>
      </c>
      <c r="V69" s="748">
        <v>21.303751674285714</v>
      </c>
      <c r="W69" s="748">
        <v>1.6808571647142858</v>
      </c>
      <c r="X69" s="748">
        <v>250.08571298571431</v>
      </c>
      <c r="Y69" s="748">
        <v>65.665856497142855</v>
      </c>
    </row>
    <row r="70" spans="1:25">
      <c r="P70" s="639">
        <v>15</v>
      </c>
      <c r="Q70" s="748">
        <v>20.040428705714284</v>
      </c>
      <c r="R70" s="748">
        <v>14.275999887714287</v>
      </c>
      <c r="S70" s="748">
        <v>168.45457024285716</v>
      </c>
      <c r="T70" s="748">
        <v>98.160714291428576</v>
      </c>
      <c r="U70" s="748">
        <v>27.713714872857139</v>
      </c>
      <c r="V70" s="748">
        <v>17.810774395714287</v>
      </c>
      <c r="W70" s="748">
        <v>1.7205714498571432</v>
      </c>
      <c r="X70" s="748">
        <v>148.48785617142858</v>
      </c>
      <c r="Y70" s="748">
        <v>49.633285522857136</v>
      </c>
    </row>
    <row r="71" spans="1:25">
      <c r="O71" s="278">
        <v>16</v>
      </c>
      <c r="P71" s="639">
        <v>16</v>
      </c>
      <c r="Q71" s="748">
        <v>16.072142737142858</v>
      </c>
      <c r="R71" s="748">
        <v>10.180143014285713</v>
      </c>
      <c r="S71" s="748">
        <v>131.80142647142856</v>
      </c>
      <c r="T71" s="748">
        <v>98.279714314285712</v>
      </c>
      <c r="U71" s="748">
        <v>22.869143077142859</v>
      </c>
      <c r="V71" s="748">
        <v>12.210951395714286</v>
      </c>
      <c r="W71" s="748">
        <v>1.789857131857143</v>
      </c>
      <c r="X71" s="748">
        <v>105.47928511571429</v>
      </c>
      <c r="Y71" s="748">
        <v>31.291000095714285</v>
      </c>
    </row>
    <row r="72" spans="1:25">
      <c r="P72" s="639">
        <v>17</v>
      </c>
      <c r="Q72" s="748">
        <v>15.383999960000001</v>
      </c>
      <c r="R72" s="748">
        <v>12.121571608857142</v>
      </c>
      <c r="S72" s="748">
        <v>143.84128789999997</v>
      </c>
      <c r="T72" s="748">
        <v>83.547571454285716</v>
      </c>
      <c r="U72" s="748">
        <v>20.273857388571425</v>
      </c>
      <c r="V72" s="748">
        <v>12.949641501428573</v>
      </c>
      <c r="W72" s="748">
        <v>1.6648571664285714</v>
      </c>
      <c r="X72" s="748">
        <v>103.81928579571429</v>
      </c>
      <c r="Y72" s="748">
        <v>25.921857015714284</v>
      </c>
    </row>
    <row r="73" spans="1:25">
      <c r="P73" s="639">
        <v>18</v>
      </c>
      <c r="Q73" s="748">
        <v>16.026142665714286</v>
      </c>
      <c r="R73" s="748">
        <v>11.996285711571428</v>
      </c>
      <c r="S73" s="748">
        <v>111.12314277285714</v>
      </c>
      <c r="T73" s="748">
        <v>74.392857142857139</v>
      </c>
      <c r="U73" s="748">
        <v>18.103142875714287</v>
      </c>
      <c r="V73" s="748">
        <v>11.493274145714285</v>
      </c>
      <c r="W73" s="748">
        <v>1.55</v>
      </c>
      <c r="X73" s="748">
        <v>91.532855442857141</v>
      </c>
      <c r="Y73" s="748">
        <v>22.190428595714284</v>
      </c>
    </row>
    <row r="74" spans="1:25">
      <c r="P74" s="639">
        <v>19</v>
      </c>
      <c r="Q74" s="748">
        <v>14.769714355714287</v>
      </c>
      <c r="R74" s="748">
        <v>10.123285769857144</v>
      </c>
      <c r="S74" s="748">
        <v>89.41828482428572</v>
      </c>
      <c r="T74" s="748">
        <v>60.613000051428571</v>
      </c>
      <c r="U74" s="748">
        <v>15.728999954285714</v>
      </c>
      <c r="V74" s="748">
        <v>10.883738517142858</v>
      </c>
      <c r="W74" s="748">
        <v>1.5914285865714286</v>
      </c>
      <c r="X74" s="748">
        <v>82.45500183</v>
      </c>
      <c r="Y74" s="748">
        <v>20.991285870000006</v>
      </c>
    </row>
    <row r="75" spans="1:25">
      <c r="P75" s="639">
        <v>20</v>
      </c>
      <c r="Q75" s="748">
        <v>13.81242861</v>
      </c>
      <c r="R75" s="748">
        <v>9.3731427190000005</v>
      </c>
      <c r="S75" s="748">
        <v>79.212427410000004</v>
      </c>
      <c r="T75" s="748">
        <v>72.321428569999995</v>
      </c>
      <c r="U75" s="748">
        <v>20.647571429999999</v>
      </c>
      <c r="V75" s="748">
        <v>11.153748650000001</v>
      </c>
      <c r="W75" s="748">
        <v>1.5371428389999999</v>
      </c>
      <c r="X75" s="748">
        <v>76.857142859999996</v>
      </c>
      <c r="Y75" s="748">
        <v>23.085714070000002</v>
      </c>
    </row>
    <row r="76" spans="1:25">
      <c r="P76" s="639">
        <v>21</v>
      </c>
      <c r="Q76" s="748">
        <v>12.849714414285714</v>
      </c>
      <c r="R76" s="748">
        <v>7.085428442285715</v>
      </c>
      <c r="S76" s="748">
        <v>62.717000688571432</v>
      </c>
      <c r="T76" s="748">
        <v>52.565571377142859</v>
      </c>
      <c r="U76" s="748">
        <v>14.46171447</v>
      </c>
      <c r="V76" s="748">
        <v>12</v>
      </c>
      <c r="W76" s="748">
        <v>1.5128571304285714</v>
      </c>
      <c r="X76" s="748">
        <v>58.057856968571436</v>
      </c>
      <c r="Y76" s="748">
        <v>17.858285902857144</v>
      </c>
    </row>
    <row r="77" spans="1:25">
      <c r="P77" s="639">
        <v>22</v>
      </c>
      <c r="Q77" s="748">
        <v>12.105428559999998</v>
      </c>
      <c r="R77" s="748">
        <v>7.3308571058571435</v>
      </c>
      <c r="S77" s="748">
        <v>41.633143151428598</v>
      </c>
      <c r="T77" s="748">
        <v>49.261999948571429</v>
      </c>
      <c r="U77" s="748">
        <v>12.621714454285712</v>
      </c>
      <c r="V77" s="748">
        <v>10.442797251571431</v>
      </c>
      <c r="W77" s="748">
        <v>1.5</v>
      </c>
      <c r="X77" s="748">
        <v>51.520714895714285</v>
      </c>
      <c r="Y77" s="748">
        <v>15.324571202857143</v>
      </c>
    </row>
    <row r="78" spans="1:25">
      <c r="P78" s="639">
        <v>23</v>
      </c>
      <c r="Q78" s="748">
        <v>11.272714207142856</v>
      </c>
      <c r="R78" s="748">
        <v>7.7242857718571427</v>
      </c>
      <c r="S78" s="748">
        <v>41.633143151428598</v>
      </c>
      <c r="T78" s="748">
        <v>40.500142779999997</v>
      </c>
      <c r="U78" s="748">
        <v>10.571857179142857</v>
      </c>
      <c r="V78" s="748">
        <v>10.979225701428572</v>
      </c>
      <c r="W78" s="748">
        <v>1.5</v>
      </c>
      <c r="X78" s="748">
        <v>46.520714351428573</v>
      </c>
      <c r="Y78" s="748">
        <v>13.868142808571431</v>
      </c>
    </row>
    <row r="79" spans="1:25">
      <c r="P79" s="639">
        <v>24</v>
      </c>
      <c r="Q79" s="748">
        <v>10.867999894285715</v>
      </c>
      <c r="R79" s="748">
        <v>8.8337143495714301</v>
      </c>
      <c r="S79" s="748">
        <v>78.434000150000003</v>
      </c>
      <c r="T79" s="748">
        <v>35.785857065714289</v>
      </c>
      <c r="U79" s="748">
        <v>9.2180000031428584</v>
      </c>
      <c r="V79" s="748">
        <v>11.096784181428571</v>
      </c>
      <c r="W79" s="748">
        <v>1.5</v>
      </c>
      <c r="X79" s="748">
        <v>42.473571777142858</v>
      </c>
      <c r="Y79" s="748">
        <v>12.512571334285715</v>
      </c>
    </row>
    <row r="80" spans="1:25">
      <c r="P80" s="639">
        <v>25</v>
      </c>
      <c r="Q80" s="748">
        <v>10.167285918857143</v>
      </c>
      <c r="R80" s="748">
        <v>7.6592858184285708</v>
      </c>
      <c r="S80" s="748">
        <v>77.872000559999989</v>
      </c>
      <c r="T80" s="748">
        <v>33.357000077142857</v>
      </c>
      <c r="U80" s="748">
        <v>8.9321429390000002</v>
      </c>
      <c r="V80" s="748">
        <v>10.461965969999998</v>
      </c>
      <c r="W80" s="748">
        <v>1.5</v>
      </c>
      <c r="X80" s="748">
        <v>43.729285104285715</v>
      </c>
      <c r="Y80" s="748">
        <v>11.450428658571429</v>
      </c>
    </row>
    <row r="81" spans="15:25">
      <c r="O81" s="278">
        <v>26</v>
      </c>
      <c r="P81" s="639">
        <v>26</v>
      </c>
      <c r="Q81" s="748">
        <v>9.3535717554285718</v>
      </c>
      <c r="R81" s="748">
        <v>6.2751428064285708</v>
      </c>
      <c r="S81" s="748">
        <v>76.447856358571428</v>
      </c>
      <c r="T81" s="748">
        <v>29.154571531428569</v>
      </c>
      <c r="U81" s="748">
        <v>8.3007144928571428</v>
      </c>
      <c r="V81" s="748">
        <v>11.259941372857144</v>
      </c>
      <c r="W81" s="748">
        <v>1.5</v>
      </c>
      <c r="X81" s="748">
        <v>44.616428919999997</v>
      </c>
      <c r="Y81" s="748">
        <v>9.6660000944285702</v>
      </c>
    </row>
    <row r="82" spans="15:25">
      <c r="P82" s="639">
        <v>27</v>
      </c>
      <c r="Q82" s="748">
        <v>8.86</v>
      </c>
      <c r="R82" s="748">
        <v>7.15</v>
      </c>
      <c r="S82" s="748">
        <v>77.430000000000007</v>
      </c>
      <c r="T82" s="748">
        <v>30.35</v>
      </c>
      <c r="U82" s="748">
        <v>8.59</v>
      </c>
      <c r="V82" s="748">
        <v>10.758154460361988</v>
      </c>
      <c r="W82" s="748">
        <v>1.59</v>
      </c>
      <c r="X82" s="748">
        <v>43.84</v>
      </c>
      <c r="Y82" s="748">
        <v>8.27</v>
      </c>
    </row>
    <row r="83" spans="15:25">
      <c r="P83" s="639">
        <v>28</v>
      </c>
      <c r="Q83" s="748">
        <v>8.9135712215714289</v>
      </c>
      <c r="R83" s="748">
        <v>5.7058570728571425</v>
      </c>
      <c r="S83" s="748">
        <v>76.24514443428572</v>
      </c>
      <c r="T83" s="748">
        <v>27.702285765714286</v>
      </c>
      <c r="U83" s="748">
        <v>7.8261427880000003</v>
      </c>
      <c r="V83" s="748">
        <v>11.139168601428571</v>
      </c>
      <c r="W83" s="748">
        <v>1.6000000240000001</v>
      </c>
      <c r="X83" s="748">
        <v>39.995714458571435</v>
      </c>
      <c r="Y83" s="748">
        <v>7.4899999752857136</v>
      </c>
    </row>
    <row r="84" spans="15:25">
      <c r="P84" s="639">
        <v>29</v>
      </c>
      <c r="Q84" s="748">
        <v>9.1244284766060932</v>
      </c>
      <c r="R84" s="748">
        <v>6.4564285959516052</v>
      </c>
      <c r="S84" s="748">
        <v>66.31271307809007</v>
      </c>
      <c r="T84" s="748">
        <v>29.940428597586454</v>
      </c>
      <c r="U84" s="748">
        <v>7.6488569804600273</v>
      </c>
      <c r="V84" s="748">
        <v>10.810358456202879</v>
      </c>
      <c r="W84" s="748">
        <v>1.6000000238418504</v>
      </c>
      <c r="X84" s="748">
        <v>42.704285757882197</v>
      </c>
      <c r="Y84" s="748">
        <v>6.46428571428571</v>
      </c>
    </row>
    <row r="85" spans="15:25">
      <c r="P85" s="639">
        <v>30</v>
      </c>
      <c r="Q85" s="748">
        <v>8.5528571428571407</v>
      </c>
      <c r="R85" s="748">
        <v>4.6828571428571433</v>
      </c>
      <c r="S85" s="748">
        <v>72.048571428571435</v>
      </c>
      <c r="T85" s="748">
        <v>36.729999999999997</v>
      </c>
      <c r="U85" s="748">
        <v>8.18</v>
      </c>
      <c r="V85" s="748">
        <v>12.61</v>
      </c>
      <c r="W85" s="748">
        <v>1.6285714285714283</v>
      </c>
      <c r="X85" s="748">
        <v>44.611428571428576</v>
      </c>
      <c r="Y85" s="748">
        <v>8.2285714285714295</v>
      </c>
    </row>
    <row r="86" spans="15:25">
      <c r="P86" s="639">
        <v>31</v>
      </c>
      <c r="Q86" s="748">
        <v>8.6655714172857152</v>
      </c>
      <c r="R86" s="748">
        <v>6.0697142064285714</v>
      </c>
      <c r="S86" s="748">
        <v>71.543143134285714</v>
      </c>
      <c r="T86" s="748">
        <v>31.720428468571431</v>
      </c>
      <c r="U86" s="748">
        <v>7.0618571554285712</v>
      </c>
      <c r="V86" s="748">
        <v>12.322975702857141</v>
      </c>
      <c r="W86" s="748">
        <v>1.7000000479999999</v>
      </c>
      <c r="X86" s="748">
        <v>43.444999694285706</v>
      </c>
      <c r="Y86" s="748">
        <v>6.7562857354285706</v>
      </c>
    </row>
    <row r="87" spans="15:25">
      <c r="P87" s="639">
        <v>32</v>
      </c>
      <c r="Q87" s="748">
        <v>8.8231430052857132</v>
      </c>
      <c r="R87" s="748">
        <v>7.5088570807142858</v>
      </c>
      <c r="S87" s="748">
        <v>73.754999434285722</v>
      </c>
      <c r="T87" s="748">
        <v>23.255857194285714</v>
      </c>
      <c r="U87" s="748">
        <v>6.2595714159999991</v>
      </c>
      <c r="V87" s="748">
        <v>12.551451548571427</v>
      </c>
      <c r="W87" s="748">
        <v>1.7214285988571427</v>
      </c>
      <c r="X87" s="748">
        <v>38.432857512857147</v>
      </c>
      <c r="Y87" s="748">
        <v>6.4201429230000002</v>
      </c>
    </row>
    <row r="88" spans="15:25">
      <c r="P88" s="639">
        <v>33</v>
      </c>
      <c r="Q88" s="748">
        <v>7.5077142715714285</v>
      </c>
      <c r="R88" s="748">
        <v>3.2121428764285715</v>
      </c>
      <c r="S88" s="748">
        <v>68.878572191428574</v>
      </c>
      <c r="T88" s="748">
        <v>21.297428674285715</v>
      </c>
      <c r="U88" s="748">
        <v>6.3691428730000004</v>
      </c>
      <c r="V88" s="748">
        <v>12.137084417142857</v>
      </c>
      <c r="W88" s="748">
        <v>1.7482857022857143</v>
      </c>
      <c r="X88" s="748">
        <v>36.690713608571421</v>
      </c>
      <c r="Y88" s="748">
        <v>4.7154285567142855</v>
      </c>
    </row>
    <row r="89" spans="15:25">
      <c r="P89" s="639">
        <v>34</v>
      </c>
      <c r="Q89" s="748">
        <v>7.6147142817142859</v>
      </c>
      <c r="R89" s="748">
        <v>3.3949999810000002</v>
      </c>
      <c r="S89" s="748">
        <v>65.663999831428569</v>
      </c>
      <c r="T89" s="748">
        <v>20.922428674285715</v>
      </c>
      <c r="U89" s="748">
        <v>6.115428584</v>
      </c>
      <c r="V89" s="748">
        <v>12.034524235714285</v>
      </c>
      <c r="W89" s="748">
        <v>1.7482857022857143</v>
      </c>
      <c r="X89" s="748">
        <v>34.872856138571429</v>
      </c>
      <c r="Y89" s="748">
        <v>5.7421428814285713</v>
      </c>
    </row>
    <row r="90" spans="15:25">
      <c r="P90" s="639">
        <v>35</v>
      </c>
      <c r="Q90" s="748">
        <v>8.7815715245714294</v>
      </c>
      <c r="R90" s="748">
        <v>7.1025714534285722</v>
      </c>
      <c r="S90" s="748">
        <v>65.224427905714279</v>
      </c>
      <c r="T90" s="748">
        <v>19.458285740000001</v>
      </c>
      <c r="U90" s="748">
        <v>6.3137143680000003</v>
      </c>
      <c r="V90" s="748">
        <v>12.041607177142856</v>
      </c>
      <c r="W90" s="748">
        <v>1.75</v>
      </c>
      <c r="X90" s="748">
        <v>34.16142872428572</v>
      </c>
      <c r="Y90" s="748">
        <v>6.5945714541428577</v>
      </c>
    </row>
    <row r="91" spans="15:25">
      <c r="O91" s="278">
        <v>36</v>
      </c>
      <c r="P91" s="639">
        <v>36</v>
      </c>
      <c r="Q91" s="748">
        <v>8.2851428302857144</v>
      </c>
      <c r="R91" s="748">
        <v>6.7619999824285708</v>
      </c>
      <c r="S91" s="748">
        <v>60.719142914285719</v>
      </c>
      <c r="T91" s="748">
        <v>25.369000025714286</v>
      </c>
      <c r="U91" s="748">
        <v>5.8737142427142857</v>
      </c>
      <c r="V91" s="748">
        <v>12.055594308571429</v>
      </c>
      <c r="W91" s="748">
        <v>1.6425714154285713</v>
      </c>
      <c r="X91" s="748">
        <v>35.968571799999999</v>
      </c>
      <c r="Y91" s="748">
        <v>4.9847143037142851</v>
      </c>
    </row>
    <row r="92" spans="15:25">
      <c r="P92" s="639">
        <v>37</v>
      </c>
      <c r="Q92" s="748">
        <v>7.6475714954285712</v>
      </c>
      <c r="R92" s="748">
        <v>6.5272856442857137</v>
      </c>
      <c r="S92" s="748">
        <v>62.679428645714289</v>
      </c>
      <c r="T92" s="748">
        <v>28.136857168571428</v>
      </c>
      <c r="U92" s="748">
        <v>6.1154285838571436</v>
      </c>
      <c r="V92" s="748">
        <v>12.130952835714286</v>
      </c>
      <c r="W92" s="748">
        <v>1.6457142658571429</v>
      </c>
      <c r="X92" s="748">
        <v>34.324999674285714</v>
      </c>
      <c r="Y92" s="748">
        <v>5.502714293285714</v>
      </c>
    </row>
    <row r="93" spans="15:25">
      <c r="P93" s="639">
        <v>38</v>
      </c>
      <c r="Q93" s="748">
        <v>7.6971428571428575</v>
      </c>
      <c r="R93" s="748">
        <v>5.444285714285714</v>
      </c>
      <c r="S93" s="748">
        <v>65.47</v>
      </c>
      <c r="T93" s="748">
        <v>29.351428571428567</v>
      </c>
      <c r="U93" s="748">
        <v>6.8328571428571419</v>
      </c>
      <c r="V93" s="748">
        <v>12.194285714285716</v>
      </c>
      <c r="W93" s="748">
        <v>1.6014285714285712</v>
      </c>
      <c r="X93" s="748">
        <v>33.131428571428572</v>
      </c>
      <c r="Y93" s="748">
        <v>6.8414285714285716</v>
      </c>
    </row>
    <row r="94" spans="15:25">
      <c r="P94" s="639">
        <v>39</v>
      </c>
      <c r="Q94" s="748">
        <v>7.6702859061104887</v>
      </c>
      <c r="R94" s="748">
        <v>5.896142857415323</v>
      </c>
      <c r="S94" s="748">
        <v>72.930715288434641</v>
      </c>
      <c r="T94" s="748">
        <v>26.470285688127774</v>
      </c>
      <c r="U94" s="748">
        <v>9.2337144442966927</v>
      </c>
      <c r="V94" s="748">
        <v>12.167024339948341</v>
      </c>
      <c r="W94" s="748">
        <v>1.4285714115415273</v>
      </c>
      <c r="X94" s="748">
        <v>32.532142911638481</v>
      </c>
      <c r="Y94" s="748">
        <v>5.5879999569484111</v>
      </c>
    </row>
    <row r="95" spans="15:25">
      <c r="P95" s="639">
        <v>40</v>
      </c>
      <c r="Q95" s="748">
        <v>6.5494285314285721</v>
      </c>
      <c r="R95" s="748">
        <v>3.8238571030000004</v>
      </c>
      <c r="S95" s="748">
        <v>70.661287578571418</v>
      </c>
      <c r="T95" s="748">
        <v>28.190571377142856</v>
      </c>
      <c r="U95" s="748">
        <v>9.6928569934285722</v>
      </c>
      <c r="V95" s="748">
        <v>12.594642775714282</v>
      </c>
      <c r="W95" s="748">
        <v>1.3999999759999999</v>
      </c>
      <c r="X95" s="748">
        <v>36.384999957142853</v>
      </c>
      <c r="Y95" s="748">
        <v>8.0550000327142861</v>
      </c>
    </row>
    <row r="96" spans="15:25">
      <c r="P96" s="639">
        <v>41</v>
      </c>
      <c r="Q96" s="748">
        <v>8.096428529999999</v>
      </c>
      <c r="R96" s="748">
        <v>4.0404286040000006</v>
      </c>
      <c r="S96" s="748">
        <v>65.047571455714291</v>
      </c>
      <c r="T96" s="748">
        <v>47.010571615714284</v>
      </c>
      <c r="U96" s="748">
        <v>10.709857054714286</v>
      </c>
      <c r="V96" s="748">
        <v>13.274107117142858</v>
      </c>
      <c r="W96" s="748">
        <v>1.3785714251428571</v>
      </c>
      <c r="X96" s="748">
        <v>40.987143380000006</v>
      </c>
      <c r="Y96" s="748">
        <v>6.9969999451428562</v>
      </c>
    </row>
    <row r="97" spans="14:25">
      <c r="P97" s="639">
        <v>42</v>
      </c>
      <c r="Q97" s="748">
        <v>7.4685714285714289</v>
      </c>
      <c r="R97" s="748">
        <v>4.8257142857142856</v>
      </c>
      <c r="S97" s="748">
        <v>67.597142857142856</v>
      </c>
      <c r="T97" s="748">
        <v>47.291428571428575</v>
      </c>
      <c r="U97" s="748">
        <v>8.5642857142857132</v>
      </c>
      <c r="V97" s="748">
        <v>13.001428571428571</v>
      </c>
      <c r="W97" s="748">
        <v>1.3499999999999999</v>
      </c>
      <c r="X97" s="748">
        <v>37.554285714285712</v>
      </c>
      <c r="Y97" s="748">
        <v>6.2985714285714289</v>
      </c>
    </row>
    <row r="98" spans="14:25">
      <c r="P98" s="639">
        <v>43</v>
      </c>
      <c r="Q98" s="748">
        <v>8.9041427881428579</v>
      </c>
      <c r="R98" s="748">
        <v>7.354714223857143</v>
      </c>
      <c r="S98" s="748">
        <v>80.445570807142857</v>
      </c>
      <c r="T98" s="748">
        <v>71.934570317142857</v>
      </c>
      <c r="U98" s="748">
        <v>12.279142925142859</v>
      </c>
      <c r="V98" s="748">
        <v>13.139822822857143</v>
      </c>
      <c r="W98" s="748">
        <v>1.2642857177142857</v>
      </c>
      <c r="X98" s="748">
        <v>52.87071446142857</v>
      </c>
      <c r="Y98" s="748">
        <v>11.989999907285712</v>
      </c>
    </row>
    <row r="99" spans="14:25">
      <c r="O99" s="278">
        <v>44</v>
      </c>
      <c r="P99" s="639">
        <v>44</v>
      </c>
      <c r="Q99" s="748">
        <v>7.8245713370000001</v>
      </c>
      <c r="R99" s="748">
        <v>6.0929999348571409</v>
      </c>
      <c r="S99" s="748">
        <v>68.079284669999993</v>
      </c>
      <c r="T99" s="748">
        <v>33.011999948571429</v>
      </c>
      <c r="U99" s="748">
        <v>8.685571329857142</v>
      </c>
      <c r="V99" s="748">
        <v>13.275356975714287</v>
      </c>
      <c r="W99" s="748">
        <v>1.1857142621428574</v>
      </c>
      <c r="X99" s="748">
        <v>36.208572388571426</v>
      </c>
      <c r="Y99" s="748">
        <v>7.9394285338571438</v>
      </c>
    </row>
    <row r="100" spans="14:25">
      <c r="P100" s="639">
        <v>45</v>
      </c>
      <c r="Q100" s="748">
        <v>9.4607142031428566</v>
      </c>
      <c r="R100" s="748">
        <v>6.8107141777142859</v>
      </c>
      <c r="S100" s="748">
        <v>71.555715832857132</v>
      </c>
      <c r="T100" s="748">
        <v>77.119000028571435</v>
      </c>
      <c r="U100" s="748">
        <v>11.169571467285715</v>
      </c>
      <c r="V100" s="748">
        <v>14</v>
      </c>
      <c r="W100" s="748">
        <v>1.1200000049999999</v>
      </c>
      <c r="X100" s="748">
        <v>61.867856707142856</v>
      </c>
      <c r="Y100" s="748">
        <v>10.621285710571428</v>
      </c>
    </row>
    <row r="101" spans="14:25">
      <c r="P101" s="639">
        <v>46</v>
      </c>
      <c r="Q101" s="748">
        <v>9.3077141910000005</v>
      </c>
      <c r="R101" s="748">
        <v>7.0327142307142854</v>
      </c>
      <c r="S101" s="748">
        <v>91.077428547142858</v>
      </c>
      <c r="T101" s="748">
        <v>102.37485722571429</v>
      </c>
      <c r="U101" s="748">
        <v>13.601000102857142</v>
      </c>
      <c r="V101" s="748">
        <v>14.050535747142858</v>
      </c>
      <c r="W101" s="748">
        <v>1.1085714441428569</v>
      </c>
      <c r="X101" s="748">
        <v>108.26642826857143</v>
      </c>
      <c r="Y101" s="748">
        <v>19.484428541428574</v>
      </c>
    </row>
    <row r="102" spans="14:25">
      <c r="P102" s="639">
        <v>47</v>
      </c>
      <c r="Q102" s="748">
        <v>9.4625713492857138</v>
      </c>
      <c r="R102" s="748">
        <v>5.5844285494285719</v>
      </c>
      <c r="S102" s="748">
        <v>81.972856794285704</v>
      </c>
      <c r="T102" s="748">
        <v>82.511857174285723</v>
      </c>
      <c r="U102" s="748">
        <v>10.628571509714286</v>
      </c>
      <c r="V102" s="748">
        <v>13.985775811428573</v>
      </c>
      <c r="W102" s="748">
        <v>1.1000000240000001</v>
      </c>
      <c r="X102" s="748">
        <v>123.16000039999999</v>
      </c>
      <c r="Y102" s="748">
        <v>19.475428171428575</v>
      </c>
    </row>
    <row r="103" spans="14:25">
      <c r="P103" s="639">
        <v>48</v>
      </c>
      <c r="Q103" s="748">
        <v>10.788142817999999</v>
      </c>
      <c r="R103" s="748">
        <v>7.5644286014285722</v>
      </c>
      <c r="S103" s="748">
        <v>84.626999989999987</v>
      </c>
      <c r="T103" s="748">
        <v>67.75</v>
      </c>
      <c r="U103" s="748">
        <v>8.4404285975714277</v>
      </c>
      <c r="V103" s="748">
        <v>13.781128474285714</v>
      </c>
      <c r="W103" s="748">
        <v>1.1000000240000001</v>
      </c>
      <c r="X103" s="748">
        <v>94.382143292857137</v>
      </c>
      <c r="Y103" s="748">
        <v>16.918428555714282</v>
      </c>
    </row>
    <row r="104" spans="14:25">
      <c r="P104" s="639">
        <v>49</v>
      </c>
      <c r="Q104" s="748">
        <v>12.195857184142856</v>
      </c>
      <c r="R104" s="748">
        <v>8.7971429828571424</v>
      </c>
      <c r="S104" s="748">
        <v>127.52371543</v>
      </c>
      <c r="T104" s="748">
        <v>92.821572431428564</v>
      </c>
      <c r="U104" s="748">
        <v>12.563142707428572</v>
      </c>
      <c r="V104" s="748">
        <v>13.148691448571428</v>
      </c>
      <c r="W104" s="748">
        <v>1.1000000000000001</v>
      </c>
      <c r="X104" s="748">
        <v>134.38285718142859</v>
      </c>
      <c r="Y104" s="748">
        <v>23.580285755714289</v>
      </c>
    </row>
    <row r="105" spans="14:25">
      <c r="P105" s="639">
        <v>50</v>
      </c>
      <c r="Q105" s="748">
        <v>12.195857184142856</v>
      </c>
      <c r="R105" s="748">
        <v>8.7971429828571424</v>
      </c>
      <c r="S105" s="748">
        <v>183.5428575857143</v>
      </c>
      <c r="T105" s="748">
        <v>117.73200008285714</v>
      </c>
      <c r="U105" s="748">
        <v>21.506999832857144</v>
      </c>
      <c r="V105" s="748">
        <v>12.61392865857143</v>
      </c>
      <c r="W105" s="748">
        <v>1.1014285939999999</v>
      </c>
      <c r="X105" s="748">
        <v>210.99928282857144</v>
      </c>
      <c r="Y105" s="748">
        <v>41.892142702857143</v>
      </c>
    </row>
    <row r="106" spans="14:25">
      <c r="P106" s="639">
        <v>51</v>
      </c>
      <c r="Q106" s="748">
        <v>18.622142792857144</v>
      </c>
      <c r="R106" s="748">
        <v>18.057571141428571</v>
      </c>
      <c r="S106" s="748">
        <v>292.95071844285718</v>
      </c>
      <c r="T106" s="748">
        <v>180.44057028571427</v>
      </c>
      <c r="U106" s="748">
        <v>47.032857078571432</v>
      </c>
      <c r="V106" s="748">
        <v>12.600475584285714</v>
      </c>
      <c r="W106" s="748">
        <v>1.1000000240000001</v>
      </c>
      <c r="X106" s="748">
        <v>166.85428727142857</v>
      </c>
      <c r="Y106" s="748">
        <v>39.827428544285716</v>
      </c>
    </row>
    <row r="107" spans="14:25">
      <c r="P107" s="639">
        <v>52</v>
      </c>
      <c r="Q107" s="748">
        <v>29.98</v>
      </c>
      <c r="R107" s="748">
        <v>19.592142921428572</v>
      </c>
      <c r="S107" s="748">
        <v>381.11599999999993</v>
      </c>
      <c r="T107" s="748">
        <v>222.82728794285717</v>
      </c>
      <c r="U107" s="748">
        <v>45.963714052857135</v>
      </c>
      <c r="V107" s="748">
        <v>12.617798667142859</v>
      </c>
      <c r="W107" s="748">
        <v>1.4000000274285713</v>
      </c>
      <c r="X107" s="748">
        <v>293.28928701428578</v>
      </c>
      <c r="Y107" s="748">
        <v>62.57285690285714</v>
      </c>
    </row>
    <row r="108" spans="14:25">
      <c r="O108" s="278">
        <v>53</v>
      </c>
      <c r="P108" s="639">
        <v>53</v>
      </c>
      <c r="Q108" s="748">
        <v>16.182714325714286</v>
      </c>
      <c r="R108" s="748">
        <v>8.7855713015714283</v>
      </c>
      <c r="S108" s="748">
        <v>271.83385794285715</v>
      </c>
      <c r="T108" s="748">
        <v>172.15485925714285</v>
      </c>
      <c r="U108" s="748">
        <v>29.933428355714284</v>
      </c>
      <c r="V108" s="748">
        <v>12.85226127</v>
      </c>
      <c r="W108" s="748">
        <v>1.4571428811428571</v>
      </c>
      <c r="X108" s="748">
        <v>278.16286141428571</v>
      </c>
      <c r="Y108" s="748">
        <v>97.806430279999987</v>
      </c>
    </row>
    <row r="109" spans="14:25">
      <c r="N109" s="278">
        <v>2020</v>
      </c>
      <c r="P109" s="639">
        <v>1</v>
      </c>
      <c r="Q109" s="748">
        <v>12.763571330479184</v>
      </c>
      <c r="R109" s="748">
        <v>7.4842857292720009</v>
      </c>
      <c r="S109" s="748">
        <v>176.20814078194715</v>
      </c>
      <c r="T109" s="748">
        <v>130.2321406773155</v>
      </c>
      <c r="U109" s="748">
        <v>24.27742849077493</v>
      </c>
      <c r="V109" s="748">
        <v>14.514315741402715</v>
      </c>
      <c r="W109" s="748">
        <v>2.278571367263786</v>
      </c>
      <c r="X109" s="748">
        <v>468.15499877929659</v>
      </c>
      <c r="Y109" s="748">
        <v>152.80385916573601</v>
      </c>
    </row>
    <row r="110" spans="14:25">
      <c r="P110" s="639">
        <v>2</v>
      </c>
      <c r="Q110" s="748">
        <v>13.386285781428571</v>
      </c>
      <c r="R110" s="748">
        <v>6.9174285272857139</v>
      </c>
      <c r="S110" s="748">
        <v>159.75199889999999</v>
      </c>
      <c r="T110" s="748">
        <v>106.97614288285715</v>
      </c>
      <c r="U110" s="748">
        <v>30.680286678571431</v>
      </c>
      <c r="V110" s="748">
        <v>13.21958133142857</v>
      </c>
      <c r="W110" s="748">
        <v>1.8857142757142857</v>
      </c>
      <c r="X110" s="748">
        <v>213.59428187142859</v>
      </c>
      <c r="Y110" s="748">
        <v>97.949856347142855</v>
      </c>
    </row>
    <row r="111" spans="14:25">
      <c r="P111" s="639">
        <v>3</v>
      </c>
      <c r="Q111" s="748">
        <v>15.196428435714285</v>
      </c>
      <c r="R111" s="748">
        <v>11.330428599714283</v>
      </c>
      <c r="S111" s="748">
        <v>243.87700107142857</v>
      </c>
      <c r="T111" s="748">
        <v>137.04186028571428</v>
      </c>
      <c r="U111" s="748">
        <v>40.240000044285715</v>
      </c>
      <c r="V111" s="748">
        <v>16.855534282857143</v>
      </c>
      <c r="W111" s="748">
        <v>6.3075712748571418</v>
      </c>
      <c r="X111" s="748">
        <v>247.26214164285713</v>
      </c>
      <c r="Y111" s="748">
        <v>78.131857190000005</v>
      </c>
    </row>
    <row r="112" spans="14:25">
      <c r="P112" s="639">
        <v>4</v>
      </c>
      <c r="Q112" s="748">
        <v>16.57199968714286</v>
      </c>
      <c r="R112" s="748">
        <v>12.821999958571428</v>
      </c>
      <c r="S112" s="748">
        <v>236.61043005714285</v>
      </c>
      <c r="T112" s="748">
        <v>121.29742760000001</v>
      </c>
      <c r="U112" s="748">
        <v>26.470714297142855</v>
      </c>
      <c r="V112" s="748">
        <v>22.011848449999999</v>
      </c>
      <c r="W112" s="748">
        <v>4.3669999327142861</v>
      </c>
      <c r="X112" s="748">
        <v>212.78856985714287</v>
      </c>
      <c r="Y112" s="748">
        <v>52.875</v>
      </c>
    </row>
    <row r="113" spans="15:25">
      <c r="P113" s="639">
        <v>5</v>
      </c>
      <c r="Q113" s="748">
        <v>25.675428661428576</v>
      </c>
      <c r="R113" s="748">
        <v>18.254856927142857</v>
      </c>
      <c r="S113" s="748">
        <v>392.82542635714287</v>
      </c>
      <c r="T113" s="748">
        <v>216.11300005714287</v>
      </c>
      <c r="U113" s="748">
        <v>48.707714625714289</v>
      </c>
      <c r="V113" s="748">
        <v>14.496191432857142</v>
      </c>
      <c r="W113" s="748">
        <v>2.6891428574285712</v>
      </c>
      <c r="X113" s="748">
        <v>410.15428595714286</v>
      </c>
      <c r="Y113" s="748">
        <v>99.128998899999985</v>
      </c>
    </row>
    <row r="114" spans="15:25">
      <c r="P114" s="639">
        <v>6</v>
      </c>
      <c r="Q114" s="748">
        <v>22.638571330479174</v>
      </c>
      <c r="R114" s="748">
        <v>17.332571574619813</v>
      </c>
      <c r="S114" s="748">
        <v>448.59157017299066</v>
      </c>
      <c r="T114" s="748">
        <v>221.35714285714261</v>
      </c>
      <c r="U114" s="748">
        <v>51.925000326974022</v>
      </c>
      <c r="V114" s="748">
        <v>17.659045491899729</v>
      </c>
      <c r="W114" s="748">
        <v>9.7964284079415354</v>
      </c>
      <c r="X114" s="748">
        <v>622.45499965122758</v>
      </c>
      <c r="Y114" s="748">
        <v>151.47385733468144</v>
      </c>
    </row>
    <row r="115" spans="15:25">
      <c r="P115" s="639">
        <v>7</v>
      </c>
      <c r="Q115" s="748">
        <v>24.818285805714286</v>
      </c>
      <c r="R115" s="748">
        <v>19.436000279999998</v>
      </c>
      <c r="S115" s="748">
        <v>374.25799560000002</v>
      </c>
      <c r="T115" s="748">
        <v>142.54771639999998</v>
      </c>
      <c r="U115" s="748">
        <v>37.997142247142854</v>
      </c>
      <c r="V115" s="748">
        <v>23.642735891428568</v>
      </c>
      <c r="W115" s="748">
        <v>10.810714449000001</v>
      </c>
      <c r="X115" s="748">
        <v>434.32357352857144</v>
      </c>
      <c r="Y115" s="748">
        <v>148.12728554285715</v>
      </c>
    </row>
    <row r="116" spans="15:25">
      <c r="O116" s="278">
        <v>8</v>
      </c>
      <c r="P116" s="639">
        <v>8</v>
      </c>
      <c r="Q116" s="748">
        <v>16.877285957336387</v>
      </c>
      <c r="R116" s="748">
        <v>13.084142684936484</v>
      </c>
      <c r="S116" s="748">
        <v>289.19357081821948</v>
      </c>
      <c r="T116" s="748">
        <v>162.01200212751087</v>
      </c>
      <c r="U116" s="748">
        <v>30.780285699026873</v>
      </c>
      <c r="V116" s="748">
        <v>23.681545802525072</v>
      </c>
      <c r="W116" s="748">
        <v>21.290571621486073</v>
      </c>
      <c r="X116" s="748">
        <v>403.40571376255542</v>
      </c>
      <c r="Y116" s="748">
        <v>143.28899928501644</v>
      </c>
    </row>
    <row r="117" spans="15:25">
      <c r="P117" s="639">
        <v>9</v>
      </c>
      <c r="Q117" s="748">
        <v>20.463000162857146</v>
      </c>
      <c r="R117" s="748">
        <v>16.131428717142857</v>
      </c>
      <c r="S117" s="748">
        <v>302.38613892857137</v>
      </c>
      <c r="T117" s="748">
        <v>174.72028894285717</v>
      </c>
      <c r="U117" s="748">
        <v>36.13400023285714</v>
      </c>
      <c r="V117" s="748">
        <v>23.625475747142854</v>
      </c>
      <c r="W117" s="748">
        <v>11.064000130142858</v>
      </c>
      <c r="X117" s="748">
        <v>388.35356794285718</v>
      </c>
      <c r="Y117" s="748">
        <v>84.357999531428575</v>
      </c>
    </row>
    <row r="118" spans="15:25">
      <c r="P118" s="639">
        <v>10</v>
      </c>
      <c r="Q118" s="748">
        <v>20.001714159999999</v>
      </c>
      <c r="R118" s="748">
        <v>16.133428572857145</v>
      </c>
      <c r="S118" s="748">
        <v>219.49971445714283</v>
      </c>
      <c r="T118" s="748">
        <v>118.91071428571429</v>
      </c>
      <c r="U118" s="748">
        <v>22.61842863857143</v>
      </c>
      <c r="V118" s="748">
        <v>23.72583552857143</v>
      </c>
      <c r="W118" s="748">
        <v>5.0324285712857142</v>
      </c>
      <c r="X118" s="748">
        <v>317.96785625714284</v>
      </c>
      <c r="Y118" s="748">
        <v>76.472572329999977</v>
      </c>
    </row>
    <row r="119" spans="15:25">
      <c r="P119" s="639">
        <v>11</v>
      </c>
      <c r="Q119" s="748">
        <v>20.464285714285715</v>
      </c>
      <c r="R119" s="748">
        <v>16.275285719999999</v>
      </c>
      <c r="S119" s="748">
        <v>210.39014761428572</v>
      </c>
      <c r="T119" s="748">
        <v>145.36899785714286</v>
      </c>
      <c r="U119" s="748">
        <v>39.343428748571434</v>
      </c>
      <c r="V119" s="748">
        <v>23.714347295714287</v>
      </c>
      <c r="W119" s="748">
        <v>12.165999821428571</v>
      </c>
      <c r="X119" s="748">
        <v>377.62500435714281</v>
      </c>
      <c r="Y119" s="748">
        <v>110.78628649857141</v>
      </c>
    </row>
    <row r="120" spans="15:25">
      <c r="P120" s="639">
        <v>12</v>
      </c>
      <c r="Q120" s="748">
        <v>23.032714026314846</v>
      </c>
      <c r="R120" s="748">
        <v>20.180714198521169</v>
      </c>
      <c r="S120" s="748">
        <v>335.19785417829189</v>
      </c>
      <c r="T120" s="748">
        <v>171.26185716901472</v>
      </c>
      <c r="U120" s="748">
        <v>46.286999838692772</v>
      </c>
      <c r="V120" s="748">
        <v>23.623331614903002</v>
      </c>
      <c r="W120" s="748">
        <v>11.119714055742502</v>
      </c>
      <c r="X120" s="748">
        <v>380.85929216657314</v>
      </c>
      <c r="Y120" s="748">
        <v>113.32999965122723</v>
      </c>
    </row>
    <row r="121" spans="15:25">
      <c r="P121" s="639">
        <v>13</v>
      </c>
      <c r="Q121" s="748">
        <v>27.558857236589642</v>
      </c>
      <c r="R121" s="748">
        <v>21.319143022809669</v>
      </c>
      <c r="S121" s="748">
        <v>569.31741768973188</v>
      </c>
      <c r="T121" s="748">
        <v>241.59529113769531</v>
      </c>
      <c r="U121" s="748">
        <v>63.414285387311629</v>
      </c>
      <c r="V121" s="748">
        <v>22.128154209681874</v>
      </c>
      <c r="W121" s="748">
        <v>6.0048571995326432</v>
      </c>
      <c r="X121" s="748">
        <v>332.15285818917374</v>
      </c>
      <c r="Y121" s="748">
        <v>97.158571515764294</v>
      </c>
    </row>
    <row r="122" spans="15:25">
      <c r="P122" s="639">
        <v>14</v>
      </c>
      <c r="Q122" s="748">
        <v>18.795857294285714</v>
      </c>
      <c r="R122" s="748">
        <v>18.168000220000003</v>
      </c>
      <c r="S122" s="748">
        <v>298.48543221428571</v>
      </c>
      <c r="T122" s="748">
        <v>156.28586031428571</v>
      </c>
      <c r="U122" s="748">
        <v>40.567142485714285</v>
      </c>
      <c r="V122" s="748">
        <v>21.36</v>
      </c>
      <c r="W122" s="748">
        <v>4.6619999238571435</v>
      </c>
      <c r="X122" s="748">
        <v>272.16142927142863</v>
      </c>
      <c r="Y122" s="748">
        <v>87.023999895714283</v>
      </c>
    </row>
    <row r="123" spans="15:25">
      <c r="P123" s="639">
        <v>15</v>
      </c>
      <c r="Q123" s="640">
        <v>16.380999974285714</v>
      </c>
      <c r="R123" s="640">
        <v>14.786285537142858</v>
      </c>
      <c r="S123" s="640">
        <v>196.30642698571427</v>
      </c>
      <c r="T123" s="640">
        <v>126.20242854857143</v>
      </c>
      <c r="U123" s="640">
        <v>27.609000341428576</v>
      </c>
      <c r="V123" s="640">
        <v>23.601429802857144</v>
      </c>
      <c r="W123" s="640">
        <v>2.5870000464285714</v>
      </c>
      <c r="X123" s="640">
        <v>174.17928642857143</v>
      </c>
      <c r="Y123" s="640">
        <v>56.692000798571428</v>
      </c>
    </row>
    <row r="124" spans="15:25">
      <c r="O124" s="278">
        <v>16</v>
      </c>
      <c r="P124" s="639">
        <v>16</v>
      </c>
      <c r="Q124" s="748">
        <v>15.142857142857142</v>
      </c>
      <c r="R124" s="748">
        <v>11.113285608857142</v>
      </c>
      <c r="S124" s="748">
        <v>144.25785718571427</v>
      </c>
      <c r="T124" s="748">
        <v>112.32742854857143</v>
      </c>
      <c r="U124" s="748">
        <v>23.319143022857144</v>
      </c>
      <c r="V124" s="748">
        <v>16.145714351428573</v>
      </c>
      <c r="W124" s="748">
        <v>1.9568571534285717</v>
      </c>
      <c r="X124" s="748">
        <v>124.01500048571428</v>
      </c>
      <c r="Y124" s="748">
        <v>41.578285762857142</v>
      </c>
    </row>
    <row r="125" spans="15:25">
      <c r="P125" s="639">
        <v>17</v>
      </c>
      <c r="Q125" s="748">
        <v>14.535142626081141</v>
      </c>
      <c r="R125" s="748">
        <v>7.95871441704886</v>
      </c>
      <c r="S125" s="748">
        <v>118.61742946079741</v>
      </c>
      <c r="T125" s="748">
        <v>86.636999947684131</v>
      </c>
      <c r="U125" s="748">
        <v>19.662570953369116</v>
      </c>
      <c r="V125" s="748">
        <v>14.007261548723459</v>
      </c>
      <c r="W125" s="748">
        <v>2.0897142546517471</v>
      </c>
      <c r="X125" s="748">
        <v>109.72071402413471</v>
      </c>
      <c r="Y125" s="748">
        <v>32.277857099260544</v>
      </c>
    </row>
    <row r="126" spans="15:25">
      <c r="P126" s="639">
        <v>18</v>
      </c>
      <c r="Q126" s="748">
        <v>15.919285638571427</v>
      </c>
      <c r="R126" s="748">
        <v>12.133857388142859</v>
      </c>
      <c r="S126" s="748">
        <v>119.46943012857146</v>
      </c>
      <c r="T126" s="748">
        <v>95.79771531714286</v>
      </c>
      <c r="U126" s="748">
        <v>21.329571314285715</v>
      </c>
      <c r="V126" s="748">
        <v>12.484048571428572</v>
      </c>
      <c r="W126" s="748">
        <v>2.074857081857143</v>
      </c>
      <c r="X126" s="748">
        <v>121.69785745714287</v>
      </c>
      <c r="Y126" s="748">
        <v>27.218570980000003</v>
      </c>
    </row>
    <row r="127" spans="15:25">
      <c r="P127" s="639">
        <v>19</v>
      </c>
      <c r="Q127" s="748">
        <v>16.148714472857144</v>
      </c>
      <c r="R127" s="748">
        <v>14.776714189999998</v>
      </c>
      <c r="S127" s="748">
        <v>179.62085941428572</v>
      </c>
      <c r="T127" s="748">
        <v>63.654857091428575</v>
      </c>
      <c r="U127" s="748">
        <v>18.961428234285709</v>
      </c>
      <c r="V127" s="748">
        <v>11.436902861999998</v>
      </c>
      <c r="W127" s="748">
        <v>1.6491428614285712</v>
      </c>
      <c r="X127" s="748">
        <v>98.23285565285714</v>
      </c>
      <c r="Y127" s="748">
        <v>23.996714454285712</v>
      </c>
    </row>
    <row r="128" spans="15:25">
      <c r="P128" s="639">
        <v>20</v>
      </c>
      <c r="Q128" s="748">
        <v>13.91285719</v>
      </c>
      <c r="R128" s="748">
        <v>10.484285559</v>
      </c>
      <c r="S128" s="748">
        <v>132.41042655714287</v>
      </c>
      <c r="T128" s="748">
        <v>63.017857142857146</v>
      </c>
      <c r="U128" s="748">
        <v>17.724285941428572</v>
      </c>
      <c r="V128" s="748">
        <v>12.01881</v>
      </c>
      <c r="W128" s="748">
        <v>1.6491428614285712</v>
      </c>
      <c r="X128" s="748">
        <v>74.486427307142861</v>
      </c>
      <c r="Y128" s="748">
        <v>27.218570980000003</v>
      </c>
    </row>
    <row r="129" spans="15:26">
      <c r="P129" s="639">
        <v>21</v>
      </c>
      <c r="Q129" s="748">
        <v>12.832571710859</v>
      </c>
      <c r="R129" s="748">
        <v>8.7072857448032899</v>
      </c>
      <c r="S129" s="748">
        <v>118.96285901750787</v>
      </c>
      <c r="T129" s="748">
        <v>55.553428649902308</v>
      </c>
      <c r="U129" s="748">
        <v>14.547714369637587</v>
      </c>
      <c r="V129" s="748">
        <v>11.963334356035457</v>
      </c>
      <c r="W129" s="748">
        <v>1.6175714560917398</v>
      </c>
      <c r="X129" s="748">
        <v>66.354285648890865</v>
      </c>
      <c r="Y129" s="748">
        <v>17.639571326119512</v>
      </c>
    </row>
    <row r="130" spans="15:26">
      <c r="P130" s="639">
        <v>22</v>
      </c>
      <c r="Q130" s="748">
        <v>11.589857237142857</v>
      </c>
      <c r="R130" s="748">
        <v>7.6087141037142851</v>
      </c>
      <c r="S130" s="748">
        <v>92.527713229999989</v>
      </c>
      <c r="T130" s="748">
        <v>48.85114288285714</v>
      </c>
      <c r="U130" s="748">
        <v>12.851142882857143</v>
      </c>
      <c r="V130" s="748">
        <v>11.972144264285713</v>
      </c>
      <c r="W130" s="748">
        <v>1.7258571555714286</v>
      </c>
      <c r="X130" s="748">
        <v>60.742857795714293</v>
      </c>
      <c r="Y130" s="748">
        <v>13.389714241428573</v>
      </c>
    </row>
    <row r="131" spans="15:26">
      <c r="P131" s="639">
        <v>23</v>
      </c>
      <c r="Q131" s="748">
        <v>10.866000038571428</v>
      </c>
      <c r="R131" s="748">
        <v>6.6898570742857144</v>
      </c>
      <c r="S131" s="748">
        <v>86.262142725714284</v>
      </c>
      <c r="T131" s="748">
        <v>49.02971431142857</v>
      </c>
      <c r="U131" s="748">
        <v>13.300571305714286</v>
      </c>
      <c r="V131" s="748">
        <v>12.060297148571431</v>
      </c>
      <c r="W131" s="748">
        <v>2.2755714314285713</v>
      </c>
      <c r="X131" s="748">
        <v>60.932143074285719</v>
      </c>
      <c r="Y131" s="748">
        <v>13.06000001</v>
      </c>
    </row>
    <row r="132" spans="15:26">
      <c r="O132" s="278">
        <v>24</v>
      </c>
      <c r="P132" s="555">
        <v>24</v>
      </c>
      <c r="Q132" s="748">
        <v>10.893428530011814</v>
      </c>
      <c r="R132" s="748">
        <v>6.3937142235892095</v>
      </c>
      <c r="S132" s="748">
        <v>80.154999869210343</v>
      </c>
      <c r="T132" s="748">
        <v>39.363000052315797</v>
      </c>
      <c r="U132" s="748">
        <v>11.205857140677287</v>
      </c>
      <c r="V132" s="748">
        <v>12.025059972490542</v>
      </c>
      <c r="W132" s="748">
        <v>2.2755714314324473</v>
      </c>
      <c r="X132" s="748">
        <v>56.771429334367994</v>
      </c>
      <c r="Y132" s="748">
        <v>10.094714164733857</v>
      </c>
    </row>
    <row r="133" spans="15:26">
      <c r="P133" s="555">
        <v>25</v>
      </c>
      <c r="Q133" s="748">
        <v>9.7685713087142858</v>
      </c>
      <c r="R133" s="748">
        <v>5.4858571460000007</v>
      </c>
      <c r="S133" s="748">
        <v>71.438000270000003</v>
      </c>
      <c r="T133" s="748">
        <v>31.88514287142857</v>
      </c>
      <c r="U133" s="748">
        <v>9.1724285395714276</v>
      </c>
      <c r="V133" s="748">
        <v>11.867550168571428</v>
      </c>
      <c r="W133" s="748">
        <v>1.7577142885714285</v>
      </c>
      <c r="X133" s="748">
        <v>51.780714305714291</v>
      </c>
      <c r="Y133" s="748">
        <v>9.1595716474285691</v>
      </c>
    </row>
    <row r="134" spans="15:26">
      <c r="P134" s="555">
        <v>26</v>
      </c>
      <c r="Q134" s="748">
        <v>9.3011428291428579</v>
      </c>
      <c r="R134" s="748">
        <v>5.6422856875714285</v>
      </c>
      <c r="S134" s="748">
        <v>70.798141479999998</v>
      </c>
      <c r="T134" s="748">
        <v>29.80342864857143</v>
      </c>
      <c r="U134" s="748">
        <v>8.6642858641428564</v>
      </c>
      <c r="V134" s="748">
        <v>11.961507115714285</v>
      </c>
      <c r="W134" s="748">
        <v>1.7387143204285713</v>
      </c>
      <c r="X134" s="748">
        <v>47.265713828571435</v>
      </c>
      <c r="Y134" s="748">
        <v>8.8348572594285706</v>
      </c>
    </row>
    <row r="135" spans="15:26">
      <c r="P135" s="555">
        <v>27</v>
      </c>
      <c r="Q135" s="748">
        <v>9.0898572376796078</v>
      </c>
      <c r="R135" s="748">
        <v>4.8411428587777223</v>
      </c>
      <c r="S135" s="748">
        <v>72.323284694126613</v>
      </c>
      <c r="T135" s="748">
        <v>28.875142778669062</v>
      </c>
      <c r="U135" s="748">
        <v>8.3150001253400507</v>
      </c>
      <c r="V135" s="748">
        <v>12.125935554504371</v>
      </c>
      <c r="W135" s="748">
        <v>2.0545714242117699</v>
      </c>
      <c r="X135" s="748">
        <v>44.601428440638877</v>
      </c>
      <c r="Y135" s="748">
        <v>8.4665715353829452</v>
      </c>
    </row>
    <row r="136" spans="15:26">
      <c r="P136" s="555">
        <v>28</v>
      </c>
      <c r="Q136" s="748">
        <v>8.3315715788571421</v>
      </c>
      <c r="R136" s="748">
        <v>4.0902857780000001</v>
      </c>
      <c r="S136" s="748">
        <v>70.352427891428562</v>
      </c>
      <c r="T136" s="748">
        <v>27.071428571428573</v>
      </c>
      <c r="U136" s="748">
        <v>7.9792855807142846</v>
      </c>
      <c r="V136" s="748">
        <v>12.036131450000001</v>
      </c>
      <c r="W136" s="748">
        <v>1.862857103571429</v>
      </c>
      <c r="X136" s="748">
        <v>42.742857252857149</v>
      </c>
      <c r="Y136" s="748">
        <v>7.6952857290000001</v>
      </c>
    </row>
    <row r="137" spans="15:26">
      <c r="P137" s="555">
        <v>29</v>
      </c>
      <c r="Q137" s="748">
        <v>8.7399999755714273</v>
      </c>
      <c r="R137" s="748">
        <v>3.3690000857142857</v>
      </c>
      <c r="S137" s="748">
        <v>69.363000051428585</v>
      </c>
      <c r="T137" s="748">
        <v>26.369142805714286</v>
      </c>
      <c r="U137" s="748">
        <v>7.2952857698571441</v>
      </c>
      <c r="V137" s="748">
        <v>12.01250158142857</v>
      </c>
      <c r="W137" s="748">
        <v>2.1428571427142855</v>
      </c>
      <c r="X137" s="748">
        <v>40.262857164285712</v>
      </c>
      <c r="Y137" s="748">
        <v>7.1297142847142867</v>
      </c>
    </row>
    <row r="138" spans="15:26">
      <c r="P138" s="555">
        <v>30</v>
      </c>
      <c r="Q138" s="748">
        <v>8.2612857819999999</v>
      </c>
      <c r="R138" s="748">
        <v>3.9334286622857135</v>
      </c>
      <c r="S138" s="748">
        <v>68.101856775714282</v>
      </c>
      <c r="T138" s="748">
        <v>23.077571325714285</v>
      </c>
      <c r="U138" s="748">
        <v>7.5452858379999999</v>
      </c>
      <c r="V138" s="748">
        <v>12.065415654285715</v>
      </c>
      <c r="W138" s="748">
        <v>2.0148571899999999</v>
      </c>
      <c r="X138" s="748">
        <v>39.827141895714291</v>
      </c>
      <c r="Y138" s="748">
        <v>8.1214285577142853</v>
      </c>
    </row>
    <row r="139" spans="15:26">
      <c r="P139" s="555">
        <v>31</v>
      </c>
      <c r="Q139" s="748">
        <v>7.5295715331428577</v>
      </c>
      <c r="R139" s="748">
        <v>3.8718570981428577</v>
      </c>
      <c r="S139" s="748">
        <v>66.163572037142856</v>
      </c>
      <c r="T139" s="748">
        <v>20.36314283098493</v>
      </c>
      <c r="U139" s="748">
        <v>7.1267142297142865</v>
      </c>
      <c r="V139" s="748">
        <v>12.064045632857143</v>
      </c>
      <c r="W139" s="748">
        <v>2.0708571672857143</v>
      </c>
      <c r="X139" s="748">
        <v>37.761428834285709</v>
      </c>
      <c r="Y139" s="748">
        <v>8.1097143717142863</v>
      </c>
    </row>
    <row r="140" spans="15:26">
      <c r="O140" s="278">
        <v>32</v>
      </c>
      <c r="P140" s="555">
        <v>32</v>
      </c>
      <c r="Q140" s="748">
        <v>7.1332857268197154</v>
      </c>
      <c r="R140" s="748">
        <v>3.9694285733359158</v>
      </c>
      <c r="S140" s="748">
        <v>69.589143480573355</v>
      </c>
      <c r="T140" s="748">
        <v>20.36</v>
      </c>
      <c r="U140" s="748">
        <v>6.828428472791396</v>
      </c>
      <c r="V140" s="748">
        <v>11.89809417724604</v>
      </c>
      <c r="W140" s="748">
        <v>1.7728571551186658</v>
      </c>
      <c r="X140" s="748">
        <v>37.760714394705587</v>
      </c>
      <c r="Y140" s="748">
        <v>10.538714272635294</v>
      </c>
    </row>
    <row r="141" spans="15:26">
      <c r="P141" s="555">
        <v>33</v>
      </c>
      <c r="Q141" s="748">
        <v>7.307000092</v>
      </c>
      <c r="R141" s="748">
        <v>4.0542857307142848</v>
      </c>
      <c r="S141" s="748">
        <v>67.52914374142857</v>
      </c>
      <c r="T141" s="748">
        <v>23.369000025714286</v>
      </c>
      <c r="U141" s="748">
        <v>6.6690000125714279</v>
      </c>
      <c r="V141" s="748">
        <v>11.954105787142856</v>
      </c>
      <c r="W141" s="748">
        <v>1.7154285907142857</v>
      </c>
      <c r="X141" s="748">
        <v>38.402142115714284</v>
      </c>
      <c r="Y141" s="748">
        <v>6.1292857952857149</v>
      </c>
    </row>
    <row r="142" spans="15:26">
      <c r="P142" s="555">
        <v>34</v>
      </c>
      <c r="Q142" s="748">
        <v>6.8864285605714288</v>
      </c>
      <c r="R142" s="748">
        <v>3.8852857181428568</v>
      </c>
      <c r="S142" s="748">
        <v>67.307859692857136</v>
      </c>
      <c r="T142" s="748">
        <v>24.434428622857144</v>
      </c>
      <c r="U142" s="748">
        <v>6.6477142742857138</v>
      </c>
      <c r="V142" s="748">
        <v>11.958392961428572</v>
      </c>
      <c r="W142" s="748">
        <v>2.26100002</v>
      </c>
      <c r="X142" s="748">
        <v>36.792856487142856</v>
      </c>
      <c r="Y142" s="748">
        <v>6.0765714645714288</v>
      </c>
    </row>
    <row r="143" spans="15:26">
      <c r="P143" s="555">
        <v>35</v>
      </c>
      <c r="Q143" s="748">
        <v>6.9537143707275364</v>
      </c>
      <c r="R143" s="748">
        <v>3.3560000147138283</v>
      </c>
      <c r="S143" s="748">
        <v>62.870428357805473</v>
      </c>
      <c r="T143" s="748">
        <v>21.077428545270632</v>
      </c>
      <c r="U143" s="748">
        <v>6.0071428843906904</v>
      </c>
      <c r="V143" s="748">
        <v>12.309941428048228</v>
      </c>
      <c r="W143" s="748">
        <v>1.5178571258272411</v>
      </c>
      <c r="X143" s="748">
        <v>37.991428375244077</v>
      </c>
      <c r="Y143" s="748">
        <v>5.9287142923900031</v>
      </c>
      <c r="Z143" s="787"/>
    </row>
    <row r="144" spans="15:26">
      <c r="P144" s="555">
        <v>36</v>
      </c>
      <c r="Q144" s="748">
        <v>6.8990000316074882</v>
      </c>
      <c r="R144" s="748">
        <v>3.1212857110159686</v>
      </c>
      <c r="S144" s="748">
        <v>65.621286119733483</v>
      </c>
      <c r="T144" s="748">
        <v>23.857142857142815</v>
      </c>
      <c r="U144" s="748">
        <v>6.0528572627476231</v>
      </c>
      <c r="V144" s="748">
        <v>12.697084290640644</v>
      </c>
      <c r="W144" s="748">
        <v>1.0650000040020247</v>
      </c>
      <c r="X144" s="748">
        <v>40.24999999999995</v>
      </c>
      <c r="Y144" s="748">
        <v>6.6625714302062962</v>
      </c>
    </row>
    <row r="145" spans="15:25">
      <c r="P145" s="555">
        <v>37</v>
      </c>
      <c r="Q145" s="748">
        <v>6.6838571003505107</v>
      </c>
      <c r="R145" s="748">
        <v>3.6978571414947474</v>
      </c>
      <c r="S145" s="748">
        <v>65.927430289132204</v>
      </c>
      <c r="T145" s="748">
        <v>21.696428571428545</v>
      </c>
      <c r="U145" s="748">
        <v>5.992857115609298</v>
      </c>
      <c r="V145" s="748">
        <v>12.722499983651257</v>
      </c>
      <c r="W145" s="748">
        <v>1.5737142903464156</v>
      </c>
      <c r="X145" s="748">
        <v>41.220714024135006</v>
      </c>
      <c r="Y145" s="748">
        <v>6.7525714465549971</v>
      </c>
    </row>
    <row r="146" spans="15:25">
      <c r="P146" s="555">
        <v>38</v>
      </c>
      <c r="Q146" s="748">
        <v>7.5399999618530247</v>
      </c>
      <c r="R146" s="748">
        <v>4.336428608285714</v>
      </c>
      <c r="S146" s="748">
        <v>68.259427751813561</v>
      </c>
      <c r="T146" s="748">
        <v>32.958285740443614</v>
      </c>
      <c r="U146" s="748">
        <v>6.3054285049438423</v>
      </c>
      <c r="V146" s="748">
        <v>12.757261548723429</v>
      </c>
      <c r="W146" s="748">
        <v>1.6808571304593714</v>
      </c>
      <c r="X146" s="748">
        <v>38.451428549630243</v>
      </c>
      <c r="Y146" s="748">
        <v>6.3287143026079411</v>
      </c>
    </row>
    <row r="147" spans="15:25">
      <c r="P147" s="555">
        <v>39</v>
      </c>
      <c r="Q147" s="748">
        <v>6.875</v>
      </c>
      <c r="R147" s="748">
        <v>3.7</v>
      </c>
      <c r="S147" s="748">
        <v>75.159429278571437</v>
      </c>
      <c r="T147" s="748">
        <v>41.827428545714284</v>
      </c>
      <c r="U147" s="748">
        <v>7.6855713981428568</v>
      </c>
      <c r="V147" s="748">
        <v>12.744882855714284</v>
      </c>
      <c r="W147" s="748">
        <v>1.6871428661428571</v>
      </c>
      <c r="X147" s="748">
        <v>41.307143075714286</v>
      </c>
      <c r="Y147" s="748">
        <v>7.4534285069999999</v>
      </c>
    </row>
    <row r="148" spans="15:25">
      <c r="O148" s="278">
        <v>40</v>
      </c>
      <c r="P148" s="555">
        <v>40</v>
      </c>
      <c r="Q148" s="748">
        <v>6.0911429268571426</v>
      </c>
      <c r="R148" s="748">
        <v>3.501428569857143</v>
      </c>
      <c r="S148" s="748">
        <v>73.523286004285723</v>
      </c>
      <c r="T148" s="748">
        <v>30.178571428571427</v>
      </c>
      <c r="U148" s="748">
        <v>7.8047143392857157</v>
      </c>
      <c r="V148" s="748">
        <v>13.59601129857143</v>
      </c>
      <c r="W148" s="748">
        <v>1.6130000010000001</v>
      </c>
      <c r="X148" s="748">
        <v>45.036428724285713</v>
      </c>
      <c r="Y148" s="748">
        <v>6.0369999748571432</v>
      </c>
    </row>
    <row r="149" spans="15:25">
      <c r="P149" s="555">
        <v>41</v>
      </c>
      <c r="Q149" s="748">
        <v>5.8652857372857152</v>
      </c>
      <c r="R149" s="748">
        <v>4.2169999735714283</v>
      </c>
      <c r="S149" s="748">
        <v>67.761285509999993</v>
      </c>
      <c r="T149" s="748">
        <v>24.547571454285713</v>
      </c>
      <c r="U149" s="748">
        <v>6.762428624428571</v>
      </c>
      <c r="V149" s="748">
        <v>13.258037294285714</v>
      </c>
      <c r="W149" s="748">
        <v>1.8452857051428571</v>
      </c>
      <c r="X149" s="748">
        <v>44.255714417142862</v>
      </c>
      <c r="Y149" s="748">
        <v>6.8767141612857143</v>
      </c>
    </row>
    <row r="150" spans="15:25">
      <c r="P150" s="555">
        <v>42</v>
      </c>
      <c r="Q150" s="748">
        <v>6.6280000550406255</v>
      </c>
      <c r="R150" s="748">
        <v>4.7599999564034556</v>
      </c>
      <c r="S150" s="748">
        <v>71.132857186453606</v>
      </c>
      <c r="T150" s="748">
        <v>41.773857116699205</v>
      </c>
      <c r="U150" s="748">
        <v>7.8334286553519048</v>
      </c>
      <c r="V150" s="748">
        <v>12.748987061636742</v>
      </c>
      <c r="W150" s="748">
        <v>1.9990000043596503</v>
      </c>
      <c r="X150" s="748">
        <v>49.407857077462303</v>
      </c>
      <c r="Y150" s="748">
        <v>6.4478571755545433</v>
      </c>
    </row>
    <row r="151" spans="15:25">
      <c r="P151" s="555">
        <v>43</v>
      </c>
      <c r="Q151" s="748">
        <v>7.1351429394285715</v>
      </c>
      <c r="R151" s="748">
        <v>5.693714175857143</v>
      </c>
      <c r="S151" s="748">
        <v>76.869857788571409</v>
      </c>
      <c r="T151" s="748">
        <v>39.60114288285714</v>
      </c>
      <c r="U151" s="748">
        <v>6.4934286387142857</v>
      </c>
      <c r="V151" s="748">
        <v>12.771309988571426</v>
      </c>
      <c r="W151" s="748">
        <v>1.5481428758571429</v>
      </c>
      <c r="X151" s="748">
        <v>49.056428090000004</v>
      </c>
      <c r="Y151" s="748">
        <v>6.2457143240000006</v>
      </c>
    </row>
    <row r="152" spans="15:25">
      <c r="P152" s="555">
        <v>44</v>
      </c>
      <c r="Q152" s="748">
        <v>6.1070000102857147</v>
      </c>
      <c r="R152" s="748">
        <v>4.3958570957142857</v>
      </c>
      <c r="S152" s="748">
        <v>68.664999825714276</v>
      </c>
      <c r="T152" s="748">
        <v>36.702285765714286</v>
      </c>
      <c r="U152" s="748">
        <v>5.6301428931428577</v>
      </c>
      <c r="V152" s="748">
        <v>13.156308445714286</v>
      </c>
      <c r="W152" s="748">
        <v>1.4392857041428573</v>
      </c>
      <c r="X152" s="748">
        <v>48.241428374285711</v>
      </c>
      <c r="Y152" s="748">
        <v>6.5374285491428568</v>
      </c>
    </row>
    <row r="153" spans="15:25">
      <c r="P153" s="555">
        <v>45</v>
      </c>
      <c r="Q153" s="748">
        <v>5.6735714502857144</v>
      </c>
      <c r="R153" s="748">
        <v>4.5134285178571432</v>
      </c>
      <c r="S153" s="748">
        <v>62.049999781428575</v>
      </c>
      <c r="T153" s="748">
        <v>27.797571454285713</v>
      </c>
      <c r="U153" s="748">
        <v>5.3054286411428562</v>
      </c>
      <c r="V153" s="748">
        <v>12.687737055714285</v>
      </c>
      <c r="W153" s="748">
        <v>1.380714297142857</v>
      </c>
      <c r="X153" s="748">
        <v>46.33071463571428</v>
      </c>
      <c r="Y153" s="748">
        <v>6.183142798285715</v>
      </c>
    </row>
    <row r="154" spans="15:25">
      <c r="P154" s="555">
        <v>46</v>
      </c>
      <c r="Q154" s="748">
        <v>5.9637143271428581</v>
      </c>
      <c r="R154" s="748">
        <v>5.3014286587142854</v>
      </c>
      <c r="S154" s="748">
        <v>57.546571460000003</v>
      </c>
      <c r="T154" s="748">
        <v>32.208285740000001</v>
      </c>
      <c r="U154" s="748">
        <v>5.1785714285714288</v>
      </c>
      <c r="V154" s="748">
        <v>13.157975741428572</v>
      </c>
      <c r="W154" s="748">
        <v>1.3845714331428574</v>
      </c>
      <c r="X154" s="748">
        <v>44.693571362857142</v>
      </c>
      <c r="Y154" s="748">
        <v>7.3267143794285712</v>
      </c>
    </row>
    <row r="155" spans="15:25">
      <c r="P155" s="555">
        <v>47</v>
      </c>
      <c r="Q155" s="748">
        <v>6.7792857034285712</v>
      </c>
      <c r="R155" s="748">
        <v>3.8094285555714285</v>
      </c>
      <c r="S155" s="748">
        <v>56.944714135714285</v>
      </c>
      <c r="T155" s="748">
        <v>25.351285662857144</v>
      </c>
      <c r="U155" s="748">
        <v>6.1274285315714279</v>
      </c>
      <c r="V155" s="748">
        <v>12.246785572857144</v>
      </c>
      <c r="W155" s="748">
        <v>1.5065714290000003</v>
      </c>
      <c r="X155" s="748">
        <v>42.967857361428564</v>
      </c>
      <c r="Y155" s="748">
        <v>9.6325714934285713</v>
      </c>
    </row>
    <row r="156" spans="15:25">
      <c r="P156" s="555">
        <v>48</v>
      </c>
      <c r="Q156" s="748">
        <v>8.2138571738571429</v>
      </c>
      <c r="R156" s="748">
        <v>5.0787143024285717</v>
      </c>
      <c r="S156" s="748">
        <v>56.829999651428572</v>
      </c>
      <c r="T156" s="748">
        <v>37.994142805714283</v>
      </c>
      <c r="U156" s="748">
        <v>8.188285623714286</v>
      </c>
      <c r="V156" s="748">
        <v>13.367501529999998</v>
      </c>
      <c r="W156" s="748">
        <v>1.0268571504285715</v>
      </c>
      <c r="X156" s="748">
        <v>63.644285474285716</v>
      </c>
      <c r="Y156" s="748">
        <v>13.102857045714286</v>
      </c>
    </row>
    <row r="157" spans="15:25">
      <c r="P157" s="555">
        <v>49</v>
      </c>
      <c r="Q157" s="748">
        <v>17.68042864142857</v>
      </c>
      <c r="R157" s="748">
        <v>12.998142924285714</v>
      </c>
      <c r="S157" s="748">
        <v>90.966000160000007</v>
      </c>
      <c r="T157" s="748">
        <v>88.630856108571422</v>
      </c>
      <c r="U157" s="748">
        <v>14.530285971857142</v>
      </c>
      <c r="V157" s="748">
        <v>13.053452899999998</v>
      </c>
      <c r="W157" s="748">
        <v>1.0737142817142857</v>
      </c>
      <c r="X157" s="748">
        <v>90.734285625714293</v>
      </c>
      <c r="Y157" s="748">
        <v>17.667142595714285</v>
      </c>
    </row>
    <row r="158" spans="15:25">
      <c r="P158" s="555">
        <v>50</v>
      </c>
      <c r="Q158" s="748">
        <v>12.617142812857141</v>
      </c>
      <c r="R158" s="748">
        <v>11.908142771714285</v>
      </c>
      <c r="S158" s="748">
        <v>83.198000225714296</v>
      </c>
      <c r="T158" s="748">
        <v>44.297571454285716</v>
      </c>
      <c r="U158" s="748">
        <v>9.220428467142856</v>
      </c>
      <c r="V158" s="748">
        <v>13.068511554285712</v>
      </c>
      <c r="W158" s="748">
        <v>1.2921428212857144</v>
      </c>
      <c r="X158" s="748">
        <v>57.20714296714285</v>
      </c>
      <c r="Y158" s="748">
        <v>14.238999775714285</v>
      </c>
    </row>
    <row r="159" spans="15:25">
      <c r="P159" s="555">
        <v>51</v>
      </c>
      <c r="Q159" s="748">
        <v>19.502285685714288</v>
      </c>
      <c r="R159" s="748">
        <v>17.91042859142857</v>
      </c>
      <c r="S159" s="748">
        <v>93.582571842857163</v>
      </c>
      <c r="T159" s="748">
        <v>77.60742949714286</v>
      </c>
      <c r="U159" s="748">
        <v>9.7118571817142847</v>
      </c>
      <c r="V159" s="748">
        <v>12.987917082857143</v>
      </c>
      <c r="W159" s="748">
        <v>1.2780000142857142</v>
      </c>
      <c r="X159" s="748">
        <v>76.025713785714288</v>
      </c>
      <c r="Y159" s="748">
        <v>17.224714688571428</v>
      </c>
    </row>
    <row r="160" spans="15:25">
      <c r="O160" s="278">
        <v>52</v>
      </c>
      <c r="P160" s="555">
        <v>52</v>
      </c>
      <c r="Q160" s="748">
        <v>24.478714262857146</v>
      </c>
      <c r="R160" s="748">
        <v>20.052142824285713</v>
      </c>
      <c r="S160" s="748">
        <v>198.89756992857141</v>
      </c>
      <c r="T160" s="748">
        <v>158.34513965714288</v>
      </c>
      <c r="U160" s="748">
        <v>34.910285677142852</v>
      </c>
      <c r="V160" s="748">
        <v>18.967856814285714</v>
      </c>
      <c r="W160" s="748">
        <v>7.1757142371428566</v>
      </c>
      <c r="X160" s="748">
        <v>180.25785610000003</v>
      </c>
      <c r="Y160" s="748">
        <v>54.019857132857133</v>
      </c>
    </row>
    <row r="161" spans="13:32">
      <c r="N161" s="278">
        <v>2021</v>
      </c>
      <c r="P161" s="639">
        <v>1</v>
      </c>
      <c r="Q161" s="748">
        <v>32.471142904285713</v>
      </c>
      <c r="R161" s="748">
        <v>23.040428705714284</v>
      </c>
      <c r="S161" s="640">
        <v>363.19999692857135</v>
      </c>
      <c r="T161" s="640">
        <v>212.58328465714288</v>
      </c>
      <c r="U161" s="748">
        <v>44.205428261428565</v>
      </c>
      <c r="V161" s="748">
        <v>22.357858387142851</v>
      </c>
      <c r="W161" s="748">
        <v>6.7241427552857145</v>
      </c>
      <c r="X161" s="748">
        <v>233.42357307142856</v>
      </c>
      <c r="Y161" s="748">
        <v>70.259001594285721</v>
      </c>
    </row>
    <row r="162" spans="13:32">
      <c r="P162" s="639">
        <v>2</v>
      </c>
      <c r="Q162" s="748">
        <v>29.357571737142859</v>
      </c>
      <c r="R162" s="748">
        <v>22.506999971428574</v>
      </c>
      <c r="S162" s="640">
        <v>323.79400198571426</v>
      </c>
      <c r="T162" s="640">
        <v>154.41086031428571</v>
      </c>
      <c r="U162" s="748">
        <v>27.91428565857143</v>
      </c>
      <c r="V162" s="748">
        <v>16.044107027142857</v>
      </c>
      <c r="W162" s="748">
        <v>3.2384286270000002</v>
      </c>
      <c r="X162" s="748">
        <v>199.51214380000002</v>
      </c>
      <c r="Y162" s="748">
        <v>58.126999447142857</v>
      </c>
    </row>
    <row r="163" spans="13:32">
      <c r="P163" s="639">
        <v>3</v>
      </c>
      <c r="Q163" s="748">
        <v>27.718428745714288</v>
      </c>
      <c r="R163" s="748">
        <v>21.345142638571424</v>
      </c>
      <c r="S163" s="640">
        <v>401.6544320142857</v>
      </c>
      <c r="T163" s="640">
        <v>185.14285714285714</v>
      </c>
      <c r="U163" s="748">
        <v>39.37385668142857</v>
      </c>
      <c r="V163" s="748">
        <v>18.835116929999998</v>
      </c>
      <c r="W163" s="748">
        <v>6.560571466571429</v>
      </c>
      <c r="X163" s="748">
        <v>380.69428361428572</v>
      </c>
      <c r="Y163" s="748">
        <v>74.927428108571434</v>
      </c>
    </row>
    <row r="164" spans="13:32">
      <c r="P164" s="639">
        <v>4</v>
      </c>
      <c r="Q164" s="748">
        <v>30.739285877142859</v>
      </c>
      <c r="R164" s="748">
        <v>24.126143047142854</v>
      </c>
      <c r="S164" s="640">
        <v>367.00971765714274</v>
      </c>
      <c r="T164" s="640">
        <v>156.14856614285716</v>
      </c>
      <c r="U164" s="748">
        <v>23.497714179999999</v>
      </c>
      <c r="V164" s="748">
        <v>16.004641395714284</v>
      </c>
      <c r="W164" s="748">
        <v>5.1067142825714296</v>
      </c>
      <c r="X164" s="748">
        <v>322.4650006857143</v>
      </c>
      <c r="Y164" s="748">
        <v>68.394571574285706</v>
      </c>
    </row>
    <row r="165" spans="13:32" s="582" customFormat="1">
      <c r="M165" s="520"/>
      <c r="N165" s="278"/>
      <c r="O165" s="278">
        <v>5</v>
      </c>
      <c r="P165" s="639">
        <v>5</v>
      </c>
      <c r="Q165" s="748">
        <v>25.584571565714288</v>
      </c>
      <c r="R165" s="748">
        <v>22.874571391428567</v>
      </c>
      <c r="S165" s="640">
        <v>260.95085362857145</v>
      </c>
      <c r="T165" s="640">
        <v>108.66671425714286</v>
      </c>
      <c r="U165" s="748">
        <v>21.321428571428573</v>
      </c>
      <c r="V165" s="748">
        <v>16.024463924285715</v>
      </c>
      <c r="W165" s="748">
        <v>3.1654285022857147</v>
      </c>
      <c r="X165" s="748">
        <v>203.94785854285715</v>
      </c>
      <c r="Y165" s="748">
        <v>56.864572254285704</v>
      </c>
      <c r="Z165" s="520"/>
      <c r="AA165" s="520"/>
      <c r="AB165" s="520"/>
      <c r="AC165" s="290"/>
      <c r="AD165" s="290"/>
      <c r="AE165" s="278"/>
      <c r="AF165" s="278"/>
    </row>
    <row r="166" spans="13:32" s="582" customFormat="1">
      <c r="M166" s="520"/>
      <c r="N166" s="278"/>
      <c r="O166" s="278"/>
      <c r="P166" s="639">
        <v>6</v>
      </c>
      <c r="Q166" s="748">
        <v>18.677976190476191</v>
      </c>
      <c r="R166" s="748">
        <v>19.115142824285716</v>
      </c>
      <c r="S166" s="640">
        <v>266.1391427142857</v>
      </c>
      <c r="T166" s="640">
        <v>132.98228671428572</v>
      </c>
      <c r="U166" s="748">
        <v>30.396999359999999</v>
      </c>
      <c r="V166" s="748">
        <v>15.963094302857142</v>
      </c>
      <c r="W166" s="748">
        <v>5.8411428927142861</v>
      </c>
      <c r="X166" s="748">
        <v>317.90785435714287</v>
      </c>
      <c r="Y166" s="748">
        <v>60.405000412857149</v>
      </c>
      <c r="Z166" s="520"/>
      <c r="AA166" s="520"/>
      <c r="AB166" s="520"/>
      <c r="AC166" s="290"/>
      <c r="AD166" s="290"/>
      <c r="AE166" s="278"/>
      <c r="AF166" s="278"/>
    </row>
    <row r="167" spans="13:32" s="582" customFormat="1">
      <c r="M167" s="520"/>
      <c r="N167" s="278"/>
      <c r="O167" s="278"/>
      <c r="P167" s="639">
        <v>7</v>
      </c>
      <c r="Q167" s="748">
        <v>18.677976190476191</v>
      </c>
      <c r="R167" s="748">
        <v>18.677976190476191</v>
      </c>
      <c r="S167" s="640">
        <v>231.286666666667</v>
      </c>
      <c r="T167" s="640">
        <v>91.321428571428569</v>
      </c>
      <c r="U167" s="748">
        <v>18.5625</v>
      </c>
      <c r="V167" s="748">
        <v>14.07</v>
      </c>
      <c r="W167" s="748">
        <v>3.3580000000000001</v>
      </c>
      <c r="X167" s="748">
        <v>339.78</v>
      </c>
      <c r="Y167" s="748">
        <v>76.87</v>
      </c>
      <c r="Z167" s="520"/>
      <c r="AA167" s="520"/>
      <c r="AB167" s="520"/>
      <c r="AC167" s="290"/>
      <c r="AD167" s="290"/>
      <c r="AE167" s="278"/>
      <c r="AF167" s="278"/>
    </row>
    <row r="168" spans="13:32" s="582" customFormat="1">
      <c r="M168" s="520"/>
      <c r="N168" s="278"/>
      <c r="O168" s="278"/>
      <c r="P168" s="639">
        <v>8</v>
      </c>
      <c r="Q168" s="748">
        <v>15.895833333333314</v>
      </c>
      <c r="R168" s="748">
        <v>8.1069999999999993</v>
      </c>
      <c r="S168" s="640">
        <v>131.62660714285707</v>
      </c>
      <c r="T168" s="640">
        <v>104.375</v>
      </c>
      <c r="U168" s="748">
        <v>21.619</v>
      </c>
      <c r="V168" s="748">
        <v>13.162619047619055</v>
      </c>
      <c r="W168" s="748">
        <v>2.181</v>
      </c>
      <c r="X168" s="748">
        <v>264.85700000000003</v>
      </c>
      <c r="Y168" s="748">
        <v>119.958</v>
      </c>
      <c r="Z168" s="520"/>
      <c r="AA168" s="520"/>
      <c r="AB168" s="520"/>
      <c r="AC168" s="290"/>
      <c r="AD168" s="290"/>
      <c r="AE168" s="278"/>
      <c r="AF168" s="278"/>
    </row>
    <row r="169" spans="13:32" s="582" customFormat="1">
      <c r="M169" s="520"/>
      <c r="N169" s="278"/>
      <c r="O169" s="278">
        <v>9</v>
      </c>
      <c r="P169" s="639">
        <v>9</v>
      </c>
      <c r="Q169" s="748">
        <v>16.03157152448377</v>
      </c>
      <c r="R169" s="748">
        <v>10.70885712759833</v>
      </c>
      <c r="S169" s="640">
        <v>115.81614358084498</v>
      </c>
      <c r="T169" s="640">
        <v>81.571428571428527</v>
      </c>
      <c r="U169" s="748">
        <v>19.778999873570012</v>
      </c>
      <c r="V169" s="748">
        <v>11.839642660958372</v>
      </c>
      <c r="W169" s="748">
        <v>2.5798570939472714</v>
      </c>
      <c r="X169" s="748">
        <v>195.40928431919602</v>
      </c>
      <c r="Y169" s="748">
        <v>71.76285661969861</v>
      </c>
      <c r="Z169" s="520"/>
      <c r="AA169" s="520"/>
      <c r="AB169" s="520"/>
      <c r="AC169" s="290"/>
      <c r="AD169" s="290"/>
      <c r="AE169" s="278"/>
      <c r="AF169" s="278"/>
    </row>
    <row r="170" spans="13:32" s="582" customFormat="1">
      <c r="M170" s="520"/>
      <c r="N170" s="278"/>
      <c r="O170" s="278"/>
      <c r="P170" s="639">
        <v>10</v>
      </c>
      <c r="Q170" s="748">
        <v>28.276142392857142</v>
      </c>
      <c r="R170" s="748">
        <v>21.731714248571429</v>
      </c>
      <c r="S170" s="640">
        <v>254.39099884285716</v>
      </c>
      <c r="T170" s="640">
        <v>146.17256928571427</v>
      </c>
      <c r="U170" s="748">
        <v>29.352285658571429</v>
      </c>
      <c r="V170" s="748">
        <v>10.568511418142858</v>
      </c>
      <c r="W170" s="748">
        <v>2.1962857415714288</v>
      </c>
      <c r="X170" s="748">
        <v>212.2000013</v>
      </c>
      <c r="Y170" s="748">
        <v>56.04871422714286</v>
      </c>
      <c r="Z170" s="520"/>
      <c r="AA170" s="520"/>
      <c r="AB170" s="520"/>
      <c r="AC170" s="290"/>
      <c r="AD170" s="290"/>
      <c r="AE170" s="278"/>
      <c r="AF170" s="278"/>
    </row>
    <row r="171" spans="13:32" s="582" customFormat="1">
      <c r="M171" s="520"/>
      <c r="N171" s="278"/>
      <c r="O171" s="278"/>
      <c r="P171" s="639">
        <v>11</v>
      </c>
      <c r="Q171" s="748">
        <v>28.634571619999999</v>
      </c>
      <c r="R171" s="748">
        <v>21.524857657142856</v>
      </c>
      <c r="S171" s="640">
        <v>320.82542418571427</v>
      </c>
      <c r="T171" s="640">
        <v>138.12514602857144</v>
      </c>
      <c r="U171" s="748">
        <v>28.100000654285715</v>
      </c>
      <c r="V171" s="748">
        <v>11.367022922857142</v>
      </c>
      <c r="W171" s="748">
        <v>2.7152857098571426</v>
      </c>
      <c r="X171" s="748">
        <v>229.93857247142856</v>
      </c>
      <c r="Y171" s="748">
        <v>63.309571402857145</v>
      </c>
      <c r="Z171" s="520"/>
      <c r="AA171" s="520"/>
      <c r="AB171" s="520"/>
      <c r="AC171" s="290"/>
      <c r="AD171" s="290"/>
      <c r="AE171" s="278"/>
      <c r="AF171" s="278"/>
    </row>
    <row r="172" spans="13:32" s="582" customFormat="1">
      <c r="M172" s="520"/>
      <c r="N172" s="278"/>
      <c r="O172" s="278"/>
      <c r="P172" s="639">
        <v>12</v>
      </c>
      <c r="Q172" s="748">
        <v>28.223285404285715</v>
      </c>
      <c r="R172" s="748">
        <v>22.087285995714286</v>
      </c>
      <c r="S172" s="640">
        <v>295.67700197142852</v>
      </c>
      <c r="T172" s="640">
        <v>176.22028785714286</v>
      </c>
      <c r="U172" s="748">
        <v>43.393999101428577</v>
      </c>
      <c r="V172" s="748">
        <v>14.060239925714285</v>
      </c>
      <c r="W172" s="748">
        <v>3.625</v>
      </c>
      <c r="X172" s="748">
        <v>287.37429152857146</v>
      </c>
      <c r="Y172" s="748">
        <v>68.27</v>
      </c>
      <c r="Z172" s="520"/>
      <c r="AA172" s="520"/>
      <c r="AB172" s="520"/>
      <c r="AC172" s="290"/>
      <c r="AD172" s="290"/>
      <c r="AE172" s="278"/>
      <c r="AF172" s="278"/>
    </row>
    <row r="173" spans="13:32">
      <c r="O173" s="278">
        <v>13</v>
      </c>
      <c r="P173" s="639">
        <v>13</v>
      </c>
      <c r="Q173" s="748">
        <v>27.516571317142855</v>
      </c>
      <c r="R173" s="748">
        <v>23.321285792857143</v>
      </c>
      <c r="S173" s="640">
        <v>358.4028538428571</v>
      </c>
      <c r="T173" s="640">
        <v>161.61914497142857</v>
      </c>
      <c r="U173" s="748">
        <v>39.082286288571431</v>
      </c>
      <c r="V173" s="748">
        <v>20.107797215142853</v>
      </c>
      <c r="W173" s="748">
        <v>4.0744285582857147</v>
      </c>
      <c r="X173" s="748">
        <v>292.37857055714284</v>
      </c>
      <c r="Y173" s="748">
        <v>61.654713765714291</v>
      </c>
    </row>
    <row r="174" spans="13:32">
      <c r="P174" s="639"/>
    </row>
    <row r="175" spans="13:32">
      <c r="Q175" s="749" t="s">
        <v>264</v>
      </c>
      <c r="R175" s="749" t="s">
        <v>265</v>
      </c>
      <c r="S175" s="749" t="s">
        <v>266</v>
      </c>
      <c r="T175" s="749" t="s">
        <v>267</v>
      </c>
      <c r="U175" s="749" t="s">
        <v>268</v>
      </c>
      <c r="V175" s="749" t="s">
        <v>269</v>
      </c>
      <c r="W175" s="749" t="s">
        <v>270</v>
      </c>
      <c r="X175" s="749" t="s">
        <v>271</v>
      </c>
      <c r="Y175" s="749" t="s">
        <v>272</v>
      </c>
    </row>
    <row r="179" spans="13:32" s="582" customFormat="1">
      <c r="M179" s="520"/>
      <c r="N179" s="278"/>
      <c r="O179" s="278"/>
      <c r="P179" s="278"/>
      <c r="Q179" s="278"/>
      <c r="R179" s="278"/>
      <c r="S179" s="278"/>
      <c r="T179" s="278"/>
      <c r="U179" s="278"/>
      <c r="V179" s="278"/>
      <c r="W179" s="278"/>
      <c r="X179" s="278"/>
      <c r="Y179" s="278"/>
      <c r="Z179" s="520"/>
      <c r="AA179" s="520"/>
      <c r="AB179" s="520"/>
      <c r="AC179" s="290"/>
      <c r="AD179" s="290"/>
      <c r="AE179" s="278"/>
      <c r="AF179" s="278"/>
    </row>
    <row r="180" spans="13:32" s="582" customFormat="1">
      <c r="M180" s="520"/>
      <c r="N180" s="278"/>
      <c r="O180" s="278"/>
      <c r="P180" s="278"/>
      <c r="Q180" s="278"/>
      <c r="R180" s="278"/>
      <c r="S180" s="278"/>
      <c r="T180" s="278"/>
      <c r="U180" s="278"/>
      <c r="V180" s="278"/>
      <c r="W180" s="278"/>
      <c r="X180" s="278"/>
      <c r="Y180" s="278"/>
      <c r="Z180" s="520"/>
      <c r="AA180" s="520"/>
      <c r="AB180" s="520"/>
      <c r="AC180" s="290"/>
      <c r="AD180" s="290"/>
      <c r="AE180" s="278"/>
      <c r="AF180" s="278"/>
    </row>
    <row r="181" spans="13:32" s="582" customFormat="1">
      <c r="M181" s="520"/>
      <c r="N181" s="278"/>
      <c r="O181" s="278"/>
      <c r="P181" s="278"/>
      <c r="Q181" s="278"/>
      <c r="R181" s="278"/>
      <c r="S181" s="278"/>
      <c r="T181" s="278"/>
      <c r="U181" s="278"/>
      <c r="V181" s="278"/>
      <c r="W181" s="278"/>
      <c r="X181" s="278"/>
      <c r="Y181" s="278"/>
      <c r="Z181" s="520"/>
      <c r="AA181" s="520"/>
      <c r="AB181" s="520"/>
      <c r="AC181" s="290"/>
      <c r="AD181" s="290"/>
      <c r="AE181" s="278"/>
      <c r="AF181" s="278"/>
    </row>
    <row r="182" spans="13:32" s="582" customFormat="1">
      <c r="M182" s="520"/>
      <c r="N182" s="278"/>
      <c r="O182" s="278"/>
      <c r="P182" s="278"/>
      <c r="Q182" s="278"/>
      <c r="R182" s="278"/>
      <c r="S182" s="278"/>
      <c r="T182" s="278"/>
      <c r="U182" s="278"/>
      <c r="V182" s="278"/>
      <c r="W182" s="278"/>
      <c r="X182" s="278"/>
      <c r="Y182" s="278"/>
      <c r="Z182" s="520"/>
      <c r="AA182" s="520"/>
      <c r="AB182" s="520"/>
      <c r="AC182" s="290"/>
      <c r="AD182" s="290"/>
      <c r="AE182" s="278"/>
      <c r="AF182" s="278"/>
    </row>
    <row r="185" spans="13:32" s="582" customFormat="1">
      <c r="M185" s="520"/>
      <c r="N185" s="278"/>
      <c r="O185" s="278"/>
      <c r="P185" s="278"/>
      <c r="Q185" s="278"/>
      <c r="R185" s="278"/>
      <c r="S185" s="278"/>
      <c r="T185" s="278"/>
      <c r="U185" s="278"/>
      <c r="V185" s="278"/>
      <c r="W185" s="278"/>
      <c r="X185" s="278"/>
      <c r="Y185" s="278"/>
      <c r="Z185" s="520"/>
      <c r="AA185" s="520"/>
      <c r="AB185" s="520"/>
      <c r="AC185" s="290"/>
      <c r="AD185" s="290"/>
      <c r="AE185" s="278"/>
      <c r="AF185" s="278"/>
    </row>
    <row r="186" spans="13:32" s="582" customFormat="1">
      <c r="M186" s="520"/>
      <c r="N186" s="278"/>
      <c r="O186" s="278"/>
      <c r="P186" s="278"/>
      <c r="Q186" s="278"/>
      <c r="R186" s="278"/>
      <c r="S186" s="278"/>
      <c r="T186" s="278"/>
      <c r="U186" s="278"/>
      <c r="V186" s="278"/>
      <c r="W186" s="278"/>
      <c r="X186" s="278"/>
      <c r="Y186" s="278"/>
      <c r="Z186" s="520"/>
      <c r="AA186" s="520"/>
      <c r="AB186" s="520"/>
      <c r="AC186" s="290"/>
      <c r="AD186" s="290"/>
      <c r="AE186" s="278"/>
      <c r="AF186" s="278"/>
    </row>
    <row r="187" spans="13:32" s="582" customFormat="1">
      <c r="M187" s="520"/>
      <c r="N187" s="278"/>
      <c r="O187" s="278"/>
      <c r="P187" s="278"/>
      <c r="Q187" s="278"/>
      <c r="R187" s="278"/>
      <c r="S187" s="278"/>
      <c r="T187" s="278"/>
      <c r="U187" s="278"/>
      <c r="V187" s="278"/>
      <c r="W187" s="278"/>
      <c r="X187" s="278"/>
      <c r="Y187" s="278"/>
      <c r="Z187" s="520"/>
      <c r="AA187" s="520"/>
      <c r="AB187" s="520"/>
      <c r="AC187" s="290"/>
      <c r="AD187" s="290"/>
      <c r="AE187" s="278"/>
      <c r="AF187" s="278"/>
    </row>
    <row r="188" spans="13:32" s="582" customFormat="1">
      <c r="M188" s="520"/>
      <c r="N188" s="278"/>
      <c r="O188" s="278"/>
      <c r="P188" s="278"/>
      <c r="Q188" s="278"/>
      <c r="R188" s="278"/>
      <c r="S188" s="278"/>
      <c r="T188" s="278"/>
      <c r="U188" s="278"/>
      <c r="V188" s="278"/>
      <c r="W188" s="278"/>
      <c r="X188" s="278"/>
      <c r="Y188" s="278"/>
      <c r="Z188" s="520"/>
      <c r="AA188" s="520"/>
      <c r="AB188" s="520"/>
      <c r="AC188" s="290"/>
      <c r="AD188" s="290"/>
      <c r="AE188" s="278"/>
      <c r="AF188" s="278"/>
    </row>
    <row r="189" spans="13:32" s="582" customFormat="1">
      <c r="M189" s="520"/>
      <c r="N189" s="278"/>
      <c r="O189" s="278"/>
      <c r="P189" s="278"/>
      <c r="Q189" s="278"/>
      <c r="R189" s="278"/>
      <c r="S189" s="278"/>
      <c r="T189" s="278"/>
      <c r="U189" s="278"/>
      <c r="V189" s="278"/>
      <c r="W189" s="278"/>
      <c r="X189" s="278"/>
      <c r="Y189" s="278"/>
      <c r="Z189" s="520"/>
      <c r="AA189" s="520"/>
      <c r="AB189" s="520"/>
      <c r="AC189" s="290"/>
      <c r="AD189" s="290"/>
      <c r="AE189" s="278"/>
      <c r="AF189" s="278"/>
    </row>
    <row r="190" spans="13:32" s="582" customFormat="1">
      <c r="M190" s="520"/>
      <c r="N190" s="278"/>
      <c r="O190" s="278"/>
      <c r="P190" s="278"/>
      <c r="Q190" s="278"/>
      <c r="R190" s="278"/>
      <c r="S190" s="278"/>
      <c r="T190" s="278"/>
      <c r="U190" s="278"/>
      <c r="V190" s="278"/>
      <c r="W190" s="278"/>
      <c r="X190" s="278"/>
      <c r="Y190" s="278"/>
      <c r="Z190" s="520"/>
      <c r="AA190" s="520"/>
      <c r="AB190" s="520"/>
      <c r="AC190" s="290"/>
      <c r="AD190" s="290"/>
      <c r="AE190" s="278"/>
      <c r="AF190" s="278"/>
    </row>
    <row r="191" spans="13:32" s="582" customFormat="1">
      <c r="M191" s="520"/>
      <c r="N191" s="278"/>
      <c r="O191" s="278"/>
      <c r="P191" s="278"/>
      <c r="Q191" s="278"/>
      <c r="R191" s="278"/>
      <c r="S191" s="278"/>
      <c r="T191" s="278"/>
      <c r="U191" s="278"/>
      <c r="V191" s="278"/>
      <c r="W191" s="278"/>
      <c r="X191" s="278"/>
      <c r="Y191" s="278"/>
      <c r="Z191" s="520"/>
      <c r="AA191" s="520"/>
      <c r="AB191" s="520"/>
      <c r="AC191" s="290"/>
      <c r="AD191" s="290"/>
      <c r="AE191" s="278"/>
      <c r="AF191" s="278"/>
    </row>
    <row r="192" spans="13:32" s="582" customFormat="1">
      <c r="M192" s="520"/>
      <c r="N192" s="278"/>
      <c r="O192" s="278"/>
      <c r="P192" s="278"/>
      <c r="Q192" s="278"/>
      <c r="R192" s="278"/>
      <c r="S192" s="278"/>
      <c r="T192" s="278"/>
      <c r="U192" s="278"/>
      <c r="V192" s="278"/>
      <c r="W192" s="278"/>
      <c r="X192" s="278"/>
      <c r="Y192" s="278"/>
      <c r="Z192" s="520"/>
      <c r="AA192" s="520"/>
      <c r="AB192" s="520"/>
      <c r="AC192" s="290"/>
      <c r="AD192" s="290"/>
      <c r="AE192" s="278"/>
      <c r="AF192" s="278"/>
    </row>
    <row r="193" spans="13:32" s="582" customFormat="1">
      <c r="M193" s="520"/>
      <c r="N193" s="278"/>
      <c r="O193" s="278"/>
      <c r="P193" s="278"/>
      <c r="Q193" s="278"/>
      <c r="R193" s="278"/>
      <c r="S193" s="278"/>
      <c r="T193" s="278"/>
      <c r="U193" s="278"/>
      <c r="V193" s="278"/>
      <c r="W193" s="278"/>
      <c r="X193" s="278"/>
      <c r="Y193" s="278"/>
      <c r="Z193" s="520"/>
      <c r="AA193" s="520"/>
      <c r="AB193" s="520"/>
      <c r="AC193" s="290"/>
      <c r="AD193" s="290"/>
      <c r="AE193" s="278"/>
      <c r="AF193" s="278"/>
    </row>
    <row r="194" spans="13:32" s="582" customFormat="1">
      <c r="M194" s="520"/>
      <c r="N194" s="278"/>
      <c r="O194" s="278"/>
      <c r="P194" s="278"/>
      <c r="Q194" s="278"/>
      <c r="R194" s="278"/>
      <c r="S194" s="278"/>
      <c r="T194" s="278"/>
      <c r="U194" s="278"/>
      <c r="V194" s="278"/>
      <c r="W194" s="278"/>
      <c r="X194" s="278"/>
      <c r="Y194" s="278"/>
      <c r="Z194" s="520"/>
      <c r="AA194" s="520"/>
      <c r="AB194" s="520"/>
      <c r="AC194" s="290"/>
      <c r="AD194" s="290"/>
      <c r="AE194" s="278"/>
      <c r="AF194" s="278"/>
    </row>
    <row r="195" spans="13:32" s="582" customFormat="1">
      <c r="M195" s="520"/>
      <c r="N195" s="278"/>
      <c r="O195" s="278"/>
      <c r="P195" s="278"/>
      <c r="Q195" s="278"/>
      <c r="R195" s="278"/>
      <c r="S195" s="278"/>
      <c r="T195" s="278"/>
      <c r="U195" s="278"/>
      <c r="V195" s="278"/>
      <c r="W195" s="278"/>
      <c r="X195" s="278"/>
      <c r="Y195" s="278"/>
      <c r="Z195" s="520"/>
      <c r="AA195" s="520"/>
      <c r="AB195" s="520"/>
      <c r="AC195" s="290"/>
      <c r="AD195" s="290"/>
      <c r="AE195" s="278"/>
      <c r="AF195" s="278"/>
    </row>
    <row r="196" spans="13:32" s="582" customFormat="1">
      <c r="M196" s="520"/>
      <c r="N196" s="278"/>
      <c r="O196" s="278"/>
      <c r="P196" s="278"/>
      <c r="Q196" s="278"/>
      <c r="R196" s="278"/>
      <c r="S196" s="278"/>
      <c r="T196" s="278"/>
      <c r="U196" s="278"/>
      <c r="V196" s="278"/>
      <c r="W196" s="278"/>
      <c r="X196" s="278"/>
      <c r="Y196" s="278"/>
      <c r="Z196" s="520"/>
      <c r="AA196" s="520"/>
      <c r="AB196" s="520"/>
      <c r="AC196" s="290"/>
      <c r="AD196" s="290"/>
      <c r="AE196" s="278"/>
      <c r="AF196" s="278"/>
    </row>
    <row r="197" spans="13:32" s="582" customFormat="1">
      <c r="M197" s="520"/>
      <c r="N197" s="278"/>
      <c r="O197" s="278"/>
      <c r="P197" s="278"/>
      <c r="Q197" s="278"/>
      <c r="R197" s="278"/>
      <c r="S197" s="278"/>
      <c r="T197" s="278"/>
      <c r="U197" s="278"/>
      <c r="V197" s="278"/>
      <c r="W197" s="278"/>
      <c r="X197" s="278"/>
      <c r="Y197" s="278"/>
      <c r="Z197" s="520"/>
      <c r="AA197" s="520"/>
      <c r="AB197" s="520"/>
      <c r="AC197" s="290"/>
      <c r="AD197" s="290"/>
      <c r="AE197" s="278"/>
      <c r="AF197" s="278"/>
    </row>
    <row r="198" spans="13:32" s="582" customFormat="1">
      <c r="M198" s="520"/>
      <c r="N198" s="278"/>
      <c r="O198" s="278"/>
      <c r="P198" s="278"/>
      <c r="Q198" s="278"/>
      <c r="R198" s="278"/>
      <c r="S198" s="278"/>
      <c r="T198" s="278"/>
      <c r="U198" s="278"/>
      <c r="V198" s="278"/>
      <c r="W198" s="278"/>
      <c r="X198" s="278"/>
      <c r="Y198" s="278"/>
      <c r="Z198" s="520"/>
      <c r="AA198" s="520"/>
      <c r="AB198" s="520"/>
      <c r="AC198" s="290"/>
      <c r="AD198" s="290"/>
      <c r="AE198" s="278"/>
      <c r="AF198" s="278"/>
    </row>
    <row r="199" spans="13:32" s="582" customFormat="1">
      <c r="M199" s="520"/>
      <c r="N199" s="278"/>
      <c r="O199" s="278"/>
      <c r="P199" s="278"/>
      <c r="Q199" s="278"/>
      <c r="R199" s="278"/>
      <c r="S199" s="278"/>
      <c r="T199" s="278"/>
      <c r="U199" s="278"/>
      <c r="V199" s="278"/>
      <c r="W199" s="278"/>
      <c r="X199" s="278"/>
      <c r="Y199" s="278"/>
      <c r="Z199" s="520"/>
      <c r="AA199" s="520"/>
      <c r="AB199" s="520"/>
      <c r="AC199" s="290"/>
      <c r="AD199" s="290"/>
      <c r="AE199" s="278"/>
      <c r="AF199" s="278"/>
    </row>
    <row r="200" spans="13:32" s="582" customFormat="1">
      <c r="M200" s="520"/>
      <c r="N200" s="278"/>
      <c r="O200" s="278"/>
      <c r="P200" s="278"/>
      <c r="Q200" s="278"/>
      <c r="R200" s="278"/>
      <c r="S200" s="278"/>
      <c r="T200" s="278"/>
      <c r="U200" s="278"/>
      <c r="V200" s="278"/>
      <c r="W200" s="278"/>
      <c r="X200" s="278"/>
      <c r="Y200" s="278"/>
      <c r="Z200" s="520"/>
      <c r="AA200" s="520"/>
      <c r="AB200" s="520"/>
      <c r="AC200" s="290"/>
      <c r="AD200" s="290"/>
      <c r="AE200" s="278"/>
      <c r="AF200" s="278"/>
    </row>
    <row r="201" spans="13:32" s="582" customFormat="1">
      <c r="M201" s="520"/>
      <c r="N201" s="278"/>
      <c r="O201" s="278"/>
      <c r="P201" s="278"/>
      <c r="Q201" s="278"/>
      <c r="R201" s="278"/>
      <c r="S201" s="278"/>
      <c r="T201" s="278"/>
      <c r="U201" s="278"/>
      <c r="V201" s="278"/>
      <c r="W201" s="278"/>
      <c r="X201" s="278"/>
      <c r="Y201" s="278"/>
      <c r="Z201" s="520"/>
      <c r="AA201" s="520"/>
      <c r="AB201" s="520"/>
      <c r="AC201" s="290"/>
      <c r="AD201" s="290"/>
      <c r="AE201" s="278"/>
      <c r="AF201" s="278"/>
    </row>
    <row r="202" spans="13:32" s="582" customFormat="1">
      <c r="M202" s="520"/>
      <c r="N202" s="278"/>
      <c r="O202" s="278"/>
      <c r="P202" s="278"/>
      <c r="Q202" s="278"/>
      <c r="R202" s="278"/>
      <c r="S202" s="278"/>
      <c r="T202" s="278"/>
      <c r="U202" s="278"/>
      <c r="V202" s="278"/>
      <c r="W202" s="278"/>
      <c r="X202" s="278"/>
      <c r="Y202" s="278"/>
      <c r="Z202" s="520"/>
      <c r="AA202" s="520"/>
      <c r="AB202" s="520"/>
      <c r="AC202" s="290"/>
      <c r="AD202" s="290"/>
      <c r="AE202" s="278"/>
      <c r="AF202" s="278"/>
    </row>
    <row r="203" spans="13:32" s="582" customFormat="1">
      <c r="M203" s="520"/>
      <c r="N203" s="278"/>
      <c r="O203" s="278"/>
      <c r="P203" s="278"/>
      <c r="Q203" s="278"/>
      <c r="R203" s="278"/>
      <c r="S203" s="278"/>
      <c r="T203" s="278"/>
      <c r="U203" s="278"/>
      <c r="V203" s="278"/>
      <c r="W203" s="278"/>
      <c r="X203" s="278"/>
      <c r="Y203" s="278"/>
      <c r="Z203" s="520"/>
      <c r="AA203" s="520"/>
      <c r="AB203" s="520"/>
      <c r="AC203" s="290"/>
      <c r="AD203" s="290"/>
      <c r="AE203" s="278"/>
      <c r="AF203" s="278"/>
    </row>
    <row r="204" spans="13:32" s="582" customFormat="1">
      <c r="M204" s="520"/>
      <c r="N204" s="278"/>
      <c r="O204" s="278"/>
      <c r="P204" s="278"/>
      <c r="Q204" s="278"/>
      <c r="R204" s="278"/>
      <c r="S204" s="278"/>
      <c r="T204" s="278"/>
      <c r="U204" s="278"/>
      <c r="V204" s="278"/>
      <c r="W204" s="278"/>
      <c r="X204" s="278"/>
      <c r="Y204" s="278"/>
      <c r="Z204" s="520"/>
      <c r="AA204" s="520"/>
      <c r="AB204" s="520"/>
      <c r="AC204" s="290"/>
      <c r="AD204" s="290"/>
      <c r="AE204" s="278"/>
      <c r="AF204" s="278"/>
    </row>
    <row r="205" spans="13:32" s="582" customFormat="1">
      <c r="M205" s="520"/>
      <c r="N205" s="278"/>
      <c r="O205" s="278"/>
      <c r="P205" s="278"/>
      <c r="Q205" s="278"/>
      <c r="R205" s="278"/>
      <c r="S205" s="278"/>
      <c r="T205" s="278"/>
      <c r="U205" s="278"/>
      <c r="V205" s="278"/>
      <c r="W205" s="278"/>
      <c r="X205" s="278"/>
      <c r="Y205" s="278"/>
      <c r="Z205" s="520"/>
      <c r="AA205" s="520"/>
      <c r="AB205" s="520"/>
      <c r="AC205" s="290"/>
      <c r="AD205" s="290"/>
      <c r="AE205" s="278"/>
      <c r="AF205" s="278"/>
    </row>
    <row r="206" spans="13:32" s="582" customFormat="1">
      <c r="M206" s="520"/>
      <c r="N206" s="278"/>
      <c r="O206" s="278"/>
      <c r="P206" s="278"/>
      <c r="Q206" s="278"/>
      <c r="R206" s="278"/>
      <c r="S206" s="278"/>
      <c r="T206" s="278"/>
      <c r="U206" s="278"/>
      <c r="V206" s="278"/>
      <c r="W206" s="278"/>
      <c r="X206" s="278"/>
      <c r="Y206" s="278"/>
      <c r="Z206" s="520"/>
      <c r="AA206" s="520"/>
      <c r="AB206" s="520"/>
      <c r="AC206" s="290"/>
      <c r="AD206" s="290"/>
      <c r="AE206" s="278"/>
      <c r="AF206" s="278"/>
    </row>
    <row r="207" spans="13:32" s="582" customFormat="1">
      <c r="M207" s="520"/>
      <c r="N207" s="278"/>
      <c r="O207" s="278"/>
      <c r="P207" s="278"/>
      <c r="Q207" s="278"/>
      <c r="R207" s="278"/>
      <c r="S207" s="278"/>
      <c r="T207" s="278"/>
      <c r="U207" s="278"/>
      <c r="V207" s="278"/>
      <c r="W207" s="278"/>
      <c r="X207" s="278"/>
      <c r="Y207" s="278"/>
      <c r="Z207" s="520"/>
      <c r="AA207" s="520"/>
      <c r="AB207" s="520"/>
      <c r="AC207" s="290"/>
      <c r="AD207" s="290"/>
      <c r="AE207" s="278"/>
      <c r="AF207" s="278"/>
    </row>
    <row r="208" spans="13:32" s="582" customFormat="1">
      <c r="M208" s="520"/>
      <c r="N208" s="278"/>
      <c r="O208" s="278"/>
      <c r="P208" s="278"/>
      <c r="Q208" s="278"/>
      <c r="R208" s="278"/>
      <c r="S208" s="278"/>
      <c r="T208" s="278"/>
      <c r="U208" s="278"/>
      <c r="V208" s="278"/>
      <c r="W208" s="278"/>
      <c r="X208" s="278"/>
      <c r="Y208" s="278"/>
      <c r="Z208" s="520"/>
      <c r="AA208" s="520"/>
      <c r="AB208" s="520"/>
      <c r="AC208" s="290"/>
      <c r="AD208" s="290"/>
      <c r="AE208" s="278"/>
      <c r="AF208" s="278"/>
    </row>
    <row r="209" spans="13:32" s="582" customFormat="1">
      <c r="M209" s="520"/>
      <c r="N209" s="278"/>
      <c r="O209" s="278"/>
      <c r="P209" s="278"/>
      <c r="Q209" s="278"/>
      <c r="R209" s="278"/>
      <c r="S209" s="278"/>
      <c r="T209" s="278"/>
      <c r="U209" s="278"/>
      <c r="V209" s="278"/>
      <c r="W209" s="278"/>
      <c r="X209" s="278"/>
      <c r="Y209" s="278"/>
      <c r="Z209" s="520"/>
      <c r="AA209" s="520"/>
      <c r="AB209" s="520"/>
      <c r="AC209" s="290"/>
      <c r="AD209" s="290"/>
      <c r="AE209" s="278"/>
      <c r="AF209" s="278"/>
    </row>
    <row r="210" spans="13:32" s="582" customFormat="1">
      <c r="M210" s="520"/>
      <c r="N210" s="278"/>
      <c r="O210" s="278"/>
      <c r="P210" s="278"/>
      <c r="Q210" s="278"/>
      <c r="R210" s="278"/>
      <c r="S210" s="278"/>
      <c r="T210" s="278"/>
      <c r="U210" s="278"/>
      <c r="V210" s="278"/>
      <c r="W210" s="278"/>
      <c r="X210" s="278"/>
      <c r="Y210" s="278"/>
      <c r="Z210" s="520"/>
      <c r="AA210" s="520"/>
      <c r="AB210" s="520"/>
      <c r="AC210" s="290"/>
      <c r="AD210" s="290"/>
      <c r="AE210" s="278"/>
      <c r="AF210" s="278"/>
    </row>
    <row r="211" spans="13:32" s="582" customFormat="1">
      <c r="M211" s="520"/>
      <c r="N211" s="278"/>
      <c r="O211" s="278"/>
      <c r="P211" s="278"/>
      <c r="Q211" s="278"/>
      <c r="R211" s="278"/>
      <c r="S211" s="278"/>
      <c r="T211" s="278"/>
      <c r="U211" s="278"/>
      <c r="V211" s="278"/>
      <c r="W211" s="278"/>
      <c r="X211" s="278"/>
      <c r="Y211" s="278"/>
      <c r="Z211" s="520"/>
      <c r="AA211" s="520"/>
      <c r="AB211" s="520"/>
      <c r="AC211" s="290"/>
      <c r="AD211" s="290"/>
      <c r="AE211" s="278"/>
      <c r="AF211" s="278"/>
    </row>
    <row r="212" spans="13:32" s="582" customFormat="1">
      <c r="M212" s="520"/>
      <c r="N212" s="278"/>
      <c r="O212" s="278"/>
      <c r="P212" s="278"/>
      <c r="Q212" s="278"/>
      <c r="R212" s="278"/>
      <c r="S212" s="278"/>
      <c r="T212" s="278"/>
      <c r="U212" s="278"/>
      <c r="V212" s="278"/>
      <c r="W212" s="278"/>
      <c r="X212" s="278"/>
      <c r="Y212" s="278"/>
      <c r="Z212" s="520"/>
      <c r="AA212" s="520"/>
      <c r="AB212" s="520"/>
      <c r="AC212" s="290"/>
      <c r="AD212" s="290"/>
      <c r="AE212" s="278"/>
      <c r="AF212" s="278"/>
    </row>
    <row r="213" spans="13:32" s="582" customFormat="1">
      <c r="M213" s="520"/>
      <c r="N213" s="278"/>
      <c r="O213" s="278"/>
      <c r="P213" s="278"/>
      <c r="Q213" s="278"/>
      <c r="R213" s="278"/>
      <c r="S213" s="278"/>
      <c r="T213" s="278"/>
      <c r="U213" s="278"/>
      <c r="V213" s="278"/>
      <c r="W213" s="278"/>
      <c r="X213" s="278"/>
      <c r="Y213" s="278"/>
      <c r="Z213" s="520"/>
      <c r="AA213" s="520"/>
      <c r="AB213" s="520"/>
      <c r="AC213" s="290"/>
      <c r="AD213" s="290"/>
      <c r="AE213" s="278"/>
      <c r="AF213" s="278"/>
    </row>
    <row r="214" spans="13:32" s="582" customFormat="1">
      <c r="M214" s="520"/>
      <c r="N214" s="278"/>
      <c r="O214" s="278"/>
      <c r="P214" s="278"/>
      <c r="Q214" s="278"/>
      <c r="R214" s="278"/>
      <c r="S214" s="278"/>
      <c r="T214" s="278"/>
      <c r="U214" s="278"/>
      <c r="V214" s="278"/>
      <c r="W214" s="278"/>
      <c r="X214" s="278"/>
      <c r="Y214" s="278"/>
      <c r="Z214" s="520"/>
      <c r="AA214" s="520"/>
      <c r="AB214" s="520"/>
      <c r="AC214" s="290"/>
      <c r="AD214" s="290"/>
      <c r="AE214" s="278"/>
      <c r="AF214" s="278"/>
    </row>
    <row r="215" spans="13:32" s="582" customFormat="1">
      <c r="M215" s="520"/>
      <c r="N215" s="278"/>
      <c r="O215" s="278"/>
      <c r="P215" s="278"/>
      <c r="Q215" s="278"/>
      <c r="R215" s="278"/>
      <c r="S215" s="278"/>
      <c r="T215" s="278"/>
      <c r="U215" s="278"/>
      <c r="V215" s="278"/>
      <c r="W215" s="278"/>
      <c r="X215" s="278"/>
      <c r="Y215" s="278"/>
      <c r="Z215" s="520"/>
      <c r="AA215" s="520"/>
      <c r="AB215" s="520"/>
      <c r="AC215" s="290"/>
      <c r="AD215" s="290"/>
      <c r="AE215" s="278"/>
      <c r="AF215" s="278"/>
    </row>
    <row r="216" spans="13:32" s="582" customFormat="1">
      <c r="M216" s="520"/>
      <c r="N216" s="278"/>
      <c r="O216" s="278"/>
      <c r="P216" s="278"/>
      <c r="Q216" s="278"/>
      <c r="R216" s="278"/>
      <c r="S216" s="278"/>
      <c r="T216" s="278"/>
      <c r="U216" s="278"/>
      <c r="V216" s="278"/>
      <c r="W216" s="278"/>
      <c r="X216" s="278"/>
      <c r="Y216" s="278"/>
      <c r="Z216" s="520"/>
      <c r="AA216" s="520"/>
      <c r="AB216" s="520"/>
      <c r="AC216" s="290"/>
      <c r="AD216" s="290"/>
      <c r="AE216" s="278"/>
      <c r="AF216" s="278"/>
    </row>
    <row r="217" spans="13:32" s="582" customFormat="1">
      <c r="M217" s="520"/>
      <c r="N217" s="278"/>
      <c r="O217" s="278"/>
      <c r="P217" s="278"/>
      <c r="Q217" s="278"/>
      <c r="R217" s="278"/>
      <c r="S217" s="278"/>
      <c r="T217" s="278"/>
      <c r="U217" s="278"/>
      <c r="V217" s="278"/>
      <c r="W217" s="278"/>
      <c r="X217" s="278"/>
      <c r="Y217" s="278"/>
      <c r="Z217" s="520"/>
      <c r="AA217" s="520"/>
      <c r="AB217" s="520"/>
      <c r="AC217" s="290"/>
      <c r="AD217" s="290"/>
      <c r="AE217" s="278"/>
      <c r="AF217" s="278"/>
    </row>
    <row r="218" spans="13:32" s="582" customFormat="1">
      <c r="M218" s="520"/>
      <c r="N218" s="278"/>
      <c r="O218" s="278"/>
      <c r="P218" s="278"/>
      <c r="Q218" s="278"/>
      <c r="R218" s="278"/>
      <c r="S218" s="278"/>
      <c r="T218" s="278"/>
      <c r="U218" s="278"/>
      <c r="V218" s="278"/>
      <c r="W218" s="278"/>
      <c r="X218" s="278"/>
      <c r="Y218" s="278"/>
      <c r="Z218" s="520"/>
      <c r="AA218" s="520"/>
      <c r="AB218" s="520"/>
      <c r="AC218" s="290"/>
      <c r="AD218" s="290"/>
      <c r="AE218" s="278"/>
      <c r="AF218" s="278"/>
    </row>
    <row r="219" spans="13:32" s="582" customFormat="1">
      <c r="M219" s="520"/>
      <c r="N219" s="278"/>
      <c r="O219" s="278"/>
      <c r="P219" s="278"/>
      <c r="Q219" s="278"/>
      <c r="R219" s="278"/>
      <c r="S219" s="278"/>
      <c r="T219" s="278"/>
      <c r="U219" s="278"/>
      <c r="V219" s="278"/>
      <c r="W219" s="278"/>
      <c r="X219" s="278"/>
      <c r="Y219" s="278"/>
      <c r="Z219" s="520"/>
      <c r="AA219" s="520"/>
      <c r="AB219" s="520"/>
      <c r="AC219" s="290"/>
      <c r="AD219" s="290"/>
      <c r="AE219" s="278"/>
      <c r="AF219" s="278"/>
    </row>
    <row r="220" spans="13:32" s="582" customFormat="1">
      <c r="M220" s="520"/>
      <c r="N220" s="278"/>
      <c r="O220" s="278"/>
      <c r="P220" s="278"/>
      <c r="Q220" s="278"/>
      <c r="R220" s="278"/>
      <c r="S220" s="278"/>
      <c r="T220" s="278"/>
      <c r="U220" s="278"/>
      <c r="V220" s="278"/>
      <c r="W220" s="278"/>
      <c r="X220" s="278"/>
      <c r="Y220" s="278"/>
      <c r="Z220" s="520"/>
      <c r="AA220" s="520"/>
      <c r="AB220" s="520"/>
      <c r="AC220" s="290"/>
      <c r="AD220" s="290"/>
      <c r="AE220" s="278"/>
      <c r="AF220" s="278"/>
    </row>
    <row r="225" spans="16:25">
      <c r="P225" s="639"/>
      <c r="Q225" s="748"/>
      <c r="R225" s="748"/>
      <c r="S225" s="748"/>
      <c r="T225" s="748"/>
      <c r="U225" s="748"/>
      <c r="V225" s="748"/>
      <c r="W225" s="748"/>
      <c r="X225" s="748"/>
      <c r="Y225" s="748"/>
    </row>
    <row r="229" spans="16:25">
      <c r="P229" s="639"/>
      <c r="Q229" s="748"/>
      <c r="R229" s="748"/>
      <c r="S229" s="748"/>
      <c r="T229" s="748"/>
      <c r="U229" s="748"/>
      <c r="V229" s="748"/>
      <c r="W229" s="748"/>
      <c r="X229" s="748"/>
      <c r="Y229" s="748"/>
    </row>
    <row r="230" spans="16:25">
      <c r="P230" s="639"/>
      <c r="Q230" s="748"/>
      <c r="R230" s="748"/>
      <c r="S230" s="748"/>
      <c r="T230" s="748"/>
      <c r="U230" s="748"/>
      <c r="V230" s="748"/>
      <c r="W230" s="748"/>
      <c r="X230" s="748"/>
      <c r="Y230" s="748"/>
    </row>
    <row r="231" spans="16:25">
      <c r="P231" s="639"/>
      <c r="Q231" s="748"/>
      <c r="R231" s="748"/>
      <c r="S231" s="748"/>
      <c r="T231" s="748"/>
      <c r="U231" s="748"/>
      <c r="V231" s="748"/>
      <c r="W231" s="748"/>
      <c r="X231" s="748"/>
      <c r="Y231" s="748"/>
    </row>
    <row r="232" spans="16:25">
      <c r="P232" s="639"/>
      <c r="Q232" s="748"/>
      <c r="R232" s="748"/>
      <c r="S232" s="748"/>
      <c r="T232" s="748"/>
      <c r="U232" s="748"/>
      <c r="V232" s="748"/>
      <c r="W232" s="748"/>
      <c r="X232" s="748"/>
      <c r="Y232" s="748"/>
    </row>
    <row r="233" spans="16:25">
      <c r="P233" s="639"/>
      <c r="Q233" s="748"/>
      <c r="R233" s="748"/>
      <c r="S233" s="750"/>
      <c r="T233" s="748"/>
      <c r="U233" s="748"/>
      <c r="V233" s="748"/>
      <c r="W233" s="748"/>
      <c r="X233" s="748"/>
      <c r="Y233" s="748"/>
    </row>
    <row r="234" spans="16:25">
      <c r="P234" s="639"/>
      <c r="Q234" s="748"/>
      <c r="R234" s="748"/>
      <c r="S234" s="750"/>
      <c r="T234" s="748"/>
      <c r="U234" s="748"/>
      <c r="V234" s="748"/>
      <c r="W234" s="748"/>
      <c r="X234" s="748"/>
      <c r="Y234" s="748"/>
    </row>
    <row r="235" spans="16:25">
      <c r="P235" s="639"/>
      <c r="Q235" s="748"/>
      <c r="R235" s="748"/>
      <c r="S235" s="750"/>
      <c r="T235" s="748"/>
      <c r="U235" s="748"/>
      <c r="V235" s="748"/>
      <c r="W235" s="748"/>
      <c r="X235" s="748"/>
      <c r="Y235" s="748"/>
    </row>
    <row r="236" spans="16:25">
      <c r="P236" s="639"/>
      <c r="Q236" s="748"/>
      <c r="R236" s="748"/>
      <c r="S236" s="750"/>
      <c r="T236" s="748"/>
      <c r="U236" s="748"/>
      <c r="V236" s="748"/>
      <c r="W236" s="748"/>
      <c r="X236" s="748"/>
      <c r="Y236" s="748"/>
    </row>
    <row r="237" spans="16:25">
      <c r="P237" s="639"/>
      <c r="Q237" s="748"/>
      <c r="R237" s="748"/>
      <c r="S237" s="750"/>
      <c r="T237" s="748"/>
      <c r="U237" s="748"/>
      <c r="V237" s="748"/>
      <c r="W237" s="748"/>
      <c r="X237" s="748"/>
      <c r="Y237" s="748"/>
    </row>
    <row r="238" spans="16:25">
      <c r="P238" s="639"/>
      <c r="Q238" s="748"/>
      <c r="R238" s="748"/>
      <c r="S238" s="748"/>
      <c r="T238" s="748"/>
      <c r="U238" s="748"/>
      <c r="V238" s="748"/>
      <c r="W238" s="748"/>
      <c r="X238" s="748"/>
      <c r="Y238" s="748"/>
    </row>
    <row r="239" spans="16:25">
      <c r="P239" s="639"/>
      <c r="Q239" s="748"/>
      <c r="R239" s="748"/>
      <c r="S239" s="748"/>
      <c r="T239" s="748"/>
      <c r="U239" s="748"/>
      <c r="V239" s="748"/>
      <c r="W239" s="748"/>
      <c r="X239" s="748"/>
      <c r="Y239" s="748"/>
    </row>
    <row r="240" spans="16:25">
      <c r="P240" s="639"/>
      <c r="Q240" s="748"/>
      <c r="R240" s="748"/>
      <c r="S240" s="748"/>
      <c r="T240" s="748"/>
      <c r="U240" s="748"/>
      <c r="V240" s="748"/>
      <c r="W240" s="748"/>
      <c r="X240" s="748"/>
      <c r="Y240" s="748"/>
    </row>
    <row r="241" spans="16:25">
      <c r="P241" s="639"/>
      <c r="Q241" s="748"/>
      <c r="R241" s="748"/>
      <c r="S241" s="748"/>
      <c r="T241" s="748"/>
      <c r="U241" s="748"/>
      <c r="V241" s="748"/>
      <c r="W241" s="748"/>
      <c r="X241" s="748"/>
      <c r="Y241" s="748"/>
    </row>
    <row r="242" spans="16:25">
      <c r="P242" s="639"/>
      <c r="Q242" s="748"/>
      <c r="R242" s="748"/>
      <c r="S242" s="748"/>
      <c r="T242" s="748"/>
      <c r="U242" s="748"/>
      <c r="V242" s="748"/>
      <c r="W242" s="748"/>
      <c r="X242" s="748"/>
      <c r="Y242" s="748"/>
    </row>
    <row r="243" spans="16:25">
      <c r="P243" s="639"/>
      <c r="Q243" s="748"/>
      <c r="R243" s="748"/>
      <c r="S243" s="748"/>
      <c r="T243" s="748"/>
      <c r="U243" s="748"/>
      <c r="V243" s="748"/>
      <c r="W243" s="748"/>
      <c r="X243" s="748"/>
      <c r="Y243" s="748"/>
    </row>
    <row r="244" spans="16:25">
      <c r="P244" s="639"/>
      <c r="Q244" s="748"/>
      <c r="R244" s="748"/>
      <c r="S244" s="748"/>
      <c r="T244" s="748"/>
      <c r="U244" s="748"/>
      <c r="V244" s="748"/>
      <c r="W244" s="748"/>
      <c r="X244" s="748"/>
      <c r="Y244" s="748"/>
    </row>
    <row r="245" spans="16:25">
      <c r="P245" s="639"/>
      <c r="Q245" s="748"/>
      <c r="R245" s="748"/>
      <c r="S245" s="748"/>
      <c r="T245" s="748"/>
      <c r="U245" s="748"/>
      <c r="V245" s="748"/>
      <c r="W245" s="748"/>
      <c r="X245" s="748"/>
      <c r="Y245" s="748"/>
    </row>
    <row r="246" spans="16:25">
      <c r="P246" s="639"/>
      <c r="Q246" s="748"/>
      <c r="R246" s="748"/>
      <c r="S246" s="748"/>
      <c r="T246" s="748"/>
      <c r="U246" s="748"/>
      <c r="V246" s="748"/>
      <c r="W246" s="748"/>
      <c r="X246" s="748"/>
      <c r="Y246" s="748"/>
    </row>
    <row r="247" spans="16:25">
      <c r="P247" s="639"/>
      <c r="Q247" s="748"/>
      <c r="R247" s="748"/>
      <c r="S247" s="748"/>
      <c r="T247" s="748"/>
      <c r="U247" s="748"/>
      <c r="V247" s="748"/>
      <c r="W247" s="748"/>
      <c r="X247" s="748"/>
      <c r="Y247" s="748"/>
    </row>
    <row r="248" spans="16:25">
      <c r="P248" s="639"/>
      <c r="Q248" s="748"/>
      <c r="R248" s="748"/>
      <c r="S248" s="748"/>
      <c r="T248" s="748"/>
      <c r="U248" s="748"/>
      <c r="V248" s="748"/>
      <c r="W248" s="748"/>
      <c r="X248" s="748"/>
      <c r="Y248" s="748"/>
    </row>
    <row r="249" spans="16:25">
      <c r="P249" s="639"/>
      <c r="Q249" s="748"/>
      <c r="R249" s="748"/>
      <c r="S249" s="748"/>
      <c r="T249" s="748"/>
      <c r="U249" s="748"/>
      <c r="V249" s="748"/>
      <c r="W249" s="748"/>
      <c r="X249" s="748"/>
      <c r="Y249" s="748"/>
    </row>
    <row r="250" spans="16:25">
      <c r="P250" s="639"/>
      <c r="Q250" s="748"/>
      <c r="R250" s="748"/>
      <c r="S250" s="748"/>
      <c r="T250" s="748"/>
      <c r="U250" s="748"/>
      <c r="V250" s="748"/>
      <c r="W250" s="748"/>
      <c r="X250" s="748"/>
      <c r="Y250" s="748"/>
    </row>
    <row r="251" spans="16:25">
      <c r="P251" s="639"/>
      <c r="Q251" s="748"/>
      <c r="R251" s="748"/>
      <c r="S251" s="748"/>
      <c r="T251" s="748"/>
      <c r="U251" s="748"/>
      <c r="V251" s="748"/>
      <c r="W251" s="748"/>
      <c r="X251" s="748"/>
      <c r="Y251" s="748"/>
    </row>
    <row r="252" spans="16:25">
      <c r="P252" s="639"/>
      <c r="Q252" s="748"/>
      <c r="R252" s="748"/>
      <c r="S252" s="748"/>
      <c r="T252" s="748"/>
      <c r="U252" s="748"/>
      <c r="V252" s="748"/>
      <c r="W252" s="748"/>
      <c r="X252" s="748"/>
      <c r="Y252" s="748"/>
    </row>
    <row r="253" spans="16:25">
      <c r="P253" s="639"/>
      <c r="Q253" s="748"/>
      <c r="R253" s="748"/>
      <c r="S253" s="748"/>
      <c r="T253" s="748"/>
      <c r="U253" s="748"/>
      <c r="V253" s="748"/>
      <c r="W253" s="748"/>
      <c r="X253" s="748"/>
      <c r="Y253" s="748"/>
    </row>
    <row r="254" spans="16:25">
      <c r="P254" s="639"/>
      <c r="Q254" s="748"/>
      <c r="R254" s="748"/>
      <c r="S254" s="748"/>
      <c r="T254" s="748"/>
      <c r="U254" s="748"/>
      <c r="V254" s="748"/>
      <c r="W254" s="748"/>
      <c r="X254" s="748"/>
      <c r="Y254" s="748"/>
    </row>
    <row r="255" spans="16:25">
      <c r="P255" s="639"/>
      <c r="Q255" s="748"/>
      <c r="R255" s="748"/>
      <c r="S255" s="748"/>
      <c r="T255" s="748"/>
      <c r="U255" s="748"/>
      <c r="V255" s="748"/>
      <c r="W255" s="748"/>
      <c r="X255" s="748"/>
      <c r="Y255" s="748"/>
    </row>
    <row r="256" spans="16:25">
      <c r="P256" s="639"/>
      <c r="Q256" s="748"/>
      <c r="R256" s="748"/>
      <c r="S256" s="748"/>
      <c r="T256" s="748"/>
      <c r="U256" s="748"/>
      <c r="V256" s="748"/>
      <c r="W256" s="748"/>
      <c r="X256" s="748"/>
      <c r="Y256" s="748"/>
    </row>
    <row r="257" spans="16:25">
      <c r="P257" s="639"/>
      <c r="Q257" s="748"/>
      <c r="R257" s="748"/>
      <c r="S257" s="748"/>
      <c r="T257" s="748"/>
      <c r="U257" s="748"/>
      <c r="V257" s="748"/>
      <c r="W257" s="748"/>
      <c r="X257" s="748"/>
      <c r="Y257" s="748"/>
    </row>
    <row r="258" spans="16:25">
      <c r="P258" s="639"/>
      <c r="Q258" s="748"/>
      <c r="R258" s="748"/>
      <c r="S258" s="748"/>
      <c r="T258" s="748"/>
      <c r="U258" s="748"/>
      <c r="V258" s="748"/>
      <c r="W258" s="748"/>
      <c r="X258" s="748"/>
      <c r="Y258" s="748"/>
    </row>
    <row r="259" spans="16:25">
      <c r="P259" s="63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O61" sqref="O61"/>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20" customWidth="1"/>
    <col min="12" max="12" width="9.28515625" style="520"/>
    <col min="13" max="13" width="20.42578125" style="555" customWidth="1"/>
    <col min="14" max="21" width="9.28515625" style="599"/>
  </cols>
  <sheetData>
    <row r="1" spans="1:17" ht="11.25" customHeight="1"/>
    <row r="2" spans="1:17" ht="11.25" customHeight="1">
      <c r="A2" s="862" t="s">
        <v>447</v>
      </c>
      <c r="B2" s="862"/>
      <c r="C2" s="862"/>
      <c r="D2" s="862"/>
      <c r="E2" s="862"/>
      <c r="F2" s="862"/>
      <c r="G2" s="862"/>
      <c r="H2" s="862"/>
      <c r="I2" s="862"/>
      <c r="J2" s="862"/>
      <c r="K2" s="862"/>
    </row>
    <row r="3" spans="1:17" ht="11.25" customHeight="1">
      <c r="A3" s="18"/>
      <c r="B3" s="18"/>
      <c r="C3" s="18"/>
      <c r="D3" s="18"/>
      <c r="E3" s="18"/>
      <c r="F3" s="18"/>
      <c r="G3" s="18"/>
      <c r="H3" s="18"/>
      <c r="I3" s="18"/>
      <c r="J3" s="538"/>
      <c r="K3" s="538"/>
      <c r="L3" s="300"/>
    </row>
    <row r="4" spans="1:17" ht="11.25" customHeight="1">
      <c r="A4" s="848" t="s">
        <v>384</v>
      </c>
      <c r="B4" s="848"/>
      <c r="C4" s="848"/>
      <c r="D4" s="848"/>
      <c r="E4" s="848"/>
      <c r="F4" s="848"/>
      <c r="G4" s="848"/>
      <c r="H4" s="848"/>
      <c r="I4" s="183"/>
      <c r="J4" s="539"/>
      <c r="L4" s="300"/>
    </row>
    <row r="5" spans="1:17" ht="7.5" customHeight="1">
      <c r="A5" s="184"/>
      <c r="B5" s="184"/>
      <c r="C5" s="184"/>
      <c r="D5" s="184"/>
      <c r="E5" s="184"/>
      <c r="F5" s="184"/>
      <c r="G5" s="184"/>
      <c r="H5" s="184"/>
      <c r="I5" s="184"/>
      <c r="J5" s="540"/>
      <c r="L5" s="541"/>
    </row>
    <row r="6" spans="1:17" ht="11.25" customHeight="1">
      <c r="A6" s="184"/>
      <c r="B6" s="188" t="s">
        <v>385</v>
      </c>
      <c r="C6" s="184"/>
      <c r="D6" s="184"/>
      <c r="E6" s="184"/>
      <c r="F6" s="184"/>
      <c r="G6" s="184"/>
      <c r="H6" s="184"/>
      <c r="I6" s="184"/>
      <c r="J6" s="540"/>
      <c r="L6" s="542"/>
    </row>
    <row r="7" spans="1:17" ht="7.5" customHeight="1">
      <c r="A7" s="184"/>
      <c r="B7" s="185"/>
      <c r="C7" s="184"/>
      <c r="D7" s="184"/>
      <c r="E7" s="184"/>
      <c r="F7" s="184"/>
      <c r="G7" s="184"/>
      <c r="H7" s="184"/>
      <c r="I7" s="184"/>
      <c r="J7" s="540"/>
      <c r="L7" s="543"/>
    </row>
    <row r="8" spans="1:17" ht="21" customHeight="1">
      <c r="A8" s="184"/>
      <c r="B8" s="387" t="s">
        <v>164</v>
      </c>
      <c r="C8" s="388" t="s">
        <v>165</v>
      </c>
      <c r="D8" s="388" t="s">
        <v>166</v>
      </c>
      <c r="E8" s="388" t="s">
        <v>168</v>
      </c>
      <c r="F8" s="388" t="s">
        <v>167</v>
      </c>
      <c r="G8" s="389" t="s">
        <v>169</v>
      </c>
      <c r="H8" s="180"/>
      <c r="I8" s="180"/>
      <c r="J8" s="544"/>
      <c r="L8" s="545"/>
      <c r="M8" s="556" t="s">
        <v>165</v>
      </c>
      <c r="N8" s="600" t="str">
        <f>M8&amp;"
 ("&amp;ROUND(HLOOKUP(M8,$C$8:$G$9,2,0),2)&amp;" USD/MWh)"</f>
        <v>PIURA OESTE 220
 (8,65 USD/MWh)</v>
      </c>
      <c r="O8" s="278"/>
      <c r="P8" s="278"/>
      <c r="Q8" s="278"/>
    </row>
    <row r="9" spans="1:17" ht="18" customHeight="1">
      <c r="A9" s="184"/>
      <c r="B9" s="390" t="s">
        <v>170</v>
      </c>
      <c r="C9" s="267">
        <v>8.6521328681608498</v>
      </c>
      <c r="D9" s="267">
        <v>8.4884361664649468</v>
      </c>
      <c r="E9" s="267">
        <v>8.4002352746041176</v>
      </c>
      <c r="F9" s="267">
        <v>8.3350904765174629</v>
      </c>
      <c r="G9" s="267">
        <v>8.240404759988726</v>
      </c>
      <c r="H9" s="180"/>
      <c r="I9" s="180"/>
      <c r="J9" s="544"/>
      <c r="K9" s="544"/>
      <c r="L9" s="545"/>
      <c r="M9" s="556" t="s">
        <v>166</v>
      </c>
      <c r="N9" s="600" t="str">
        <f>M9&amp;"
("&amp;ROUND(HLOOKUP(M9,$C$8:$G$9,2,0),2)&amp;" USD/MWh)"</f>
        <v>CHICLAYO 220
(8,49 USD/MWh)</v>
      </c>
      <c r="O9" s="278"/>
      <c r="P9" s="278"/>
      <c r="Q9" s="278"/>
    </row>
    <row r="10" spans="1:17" ht="14.25" customHeight="1">
      <c r="A10" s="184"/>
      <c r="B10" s="886" t="str">
        <f>"Cuadro N°11: Valor de los costos marginales medios registrados en las principales barras del área norte durante el mes de "&amp;'1. Resumen'!Q4</f>
        <v>Cuadro N°11: Valor de los costos marginales medios registrados en las principales barras del área norte durante el mes de marzo</v>
      </c>
      <c r="C10" s="886"/>
      <c r="D10" s="886"/>
      <c r="E10" s="886"/>
      <c r="F10" s="886"/>
      <c r="G10" s="886"/>
      <c r="H10" s="886"/>
      <c r="I10" s="886"/>
      <c r="J10" s="544"/>
      <c r="K10" s="544"/>
      <c r="L10" s="545"/>
      <c r="M10" s="556" t="s">
        <v>168</v>
      </c>
      <c r="N10" s="600" t="str">
        <f>M10&amp;"
("&amp;ROUND(HLOOKUP(M10,$C$8:$G$9,2,0),2)&amp;" USD/MWh)"</f>
        <v>TRUJILLO 220
(8,4 USD/MWh)</v>
      </c>
      <c r="O10" s="278"/>
      <c r="P10" s="278"/>
      <c r="Q10" s="278"/>
    </row>
    <row r="11" spans="1:17" ht="11.25" customHeight="1">
      <c r="A11" s="184"/>
      <c r="B11" s="191"/>
      <c r="C11" s="180"/>
      <c r="D11" s="180"/>
      <c r="E11" s="180"/>
      <c r="F11" s="180"/>
      <c r="G11" s="180"/>
      <c r="H11" s="180"/>
      <c r="I11" s="180"/>
      <c r="J11" s="544"/>
      <c r="K11" s="544"/>
      <c r="L11" s="545"/>
      <c r="M11" s="556" t="s">
        <v>167</v>
      </c>
      <c r="N11" s="600" t="str">
        <f>M11&amp;"
("&amp;ROUND(HLOOKUP(M11,$C$8:$G$9,2,0),2)&amp;" USD/MWh)"</f>
        <v>CHIMBOTE1 138
(8,34 USD/MWh)</v>
      </c>
      <c r="O11" s="278"/>
      <c r="P11" s="278"/>
      <c r="Q11" s="278"/>
    </row>
    <row r="12" spans="1:17" ht="11.25" customHeight="1">
      <c r="A12" s="184"/>
      <c r="B12" s="180"/>
      <c r="C12" s="180"/>
      <c r="D12" s="180"/>
      <c r="E12" s="180"/>
      <c r="F12" s="180"/>
      <c r="G12" s="180"/>
      <c r="H12" s="180"/>
      <c r="I12" s="180"/>
      <c r="J12" s="544"/>
      <c r="K12" s="544"/>
      <c r="L12" s="546"/>
      <c r="M12" s="556" t="s">
        <v>169</v>
      </c>
      <c r="N12" s="600" t="str">
        <f>M12&amp;"
("&amp;ROUND(HLOOKUP(M12,$C$8:$G$9,2,0),2)&amp;" USD/MWh)"</f>
        <v>CAJAMARCA 220
(8,24 USD/MWh)</v>
      </c>
      <c r="O12" s="278"/>
      <c r="P12" s="278"/>
      <c r="Q12" s="278"/>
    </row>
    <row r="13" spans="1:17" ht="11.25" customHeight="1">
      <c r="A13" s="184"/>
      <c r="B13" s="180"/>
      <c r="C13" s="180"/>
      <c r="D13" s="180"/>
      <c r="E13" s="180"/>
      <c r="F13" s="180"/>
      <c r="G13" s="180"/>
      <c r="H13" s="180"/>
      <c r="I13" s="180"/>
      <c r="J13" s="544"/>
      <c r="K13" s="544"/>
      <c r="L13" s="545"/>
      <c r="M13" s="556"/>
      <c r="N13" s="600"/>
      <c r="O13" s="556"/>
      <c r="P13" s="278"/>
      <c r="Q13" s="278"/>
    </row>
    <row r="14" spans="1:17" ht="11.25" customHeight="1">
      <c r="A14" s="184"/>
      <c r="B14" s="180"/>
      <c r="C14" s="180"/>
      <c r="D14" s="180"/>
      <c r="E14" s="180"/>
      <c r="F14" s="180"/>
      <c r="G14" s="180"/>
      <c r="H14" s="180"/>
      <c r="I14" s="180"/>
      <c r="J14" s="544"/>
      <c r="K14" s="544"/>
      <c r="L14" s="545"/>
      <c r="M14" s="556" t="s">
        <v>440</v>
      </c>
      <c r="N14" s="600" t="str">
        <f>M14&amp;"
("&amp;ROUND(HLOOKUP(M14,$C$26:$I$27,2,0),2)&amp;" USD/MWh)"</f>
        <v>CHAVARRIA 220
(8,28 USD/MWh)</v>
      </c>
      <c r="O14" s="278"/>
      <c r="P14" s="278"/>
      <c r="Q14" s="278"/>
    </row>
    <row r="15" spans="1:17" ht="11.25" customHeight="1">
      <c r="A15" s="184"/>
      <c r="B15" s="180"/>
      <c r="C15" s="180"/>
      <c r="D15" s="180"/>
      <c r="E15" s="180"/>
      <c r="F15" s="180"/>
      <c r="G15" s="180"/>
      <c r="H15" s="180"/>
      <c r="I15" s="180"/>
      <c r="J15" s="544"/>
      <c r="K15" s="544"/>
      <c r="L15" s="545"/>
      <c r="M15" s="556" t="s">
        <v>173</v>
      </c>
      <c r="N15" s="600" t="str">
        <f t="shared" ref="N15:N20" si="0">M15&amp;"
("&amp;ROUND(HLOOKUP(M15,$C$26:$I$27,2,0),2)&amp;" USD/MWh)"</f>
        <v>INDEPENDENCIA 220
(8,17 USD/MWh)</v>
      </c>
      <c r="O15" s="278"/>
      <c r="P15" s="278"/>
      <c r="Q15" s="278"/>
    </row>
    <row r="16" spans="1:17" ht="11.25" customHeight="1">
      <c r="A16" s="184"/>
      <c r="B16" s="180"/>
      <c r="C16" s="180"/>
      <c r="D16" s="180"/>
      <c r="E16" s="180"/>
      <c r="F16" s="180"/>
      <c r="G16" s="180"/>
      <c r="H16" s="180"/>
      <c r="I16" s="180"/>
      <c r="J16" s="544"/>
      <c r="K16" s="544"/>
      <c r="L16" s="545"/>
      <c r="M16" s="556" t="s">
        <v>174</v>
      </c>
      <c r="N16" s="600" t="str">
        <f t="shared" si="0"/>
        <v>CARABAYLLO 220
(8,22 USD/MWh)</v>
      </c>
      <c r="O16" s="278"/>
      <c r="P16" s="278"/>
      <c r="Q16" s="278"/>
    </row>
    <row r="17" spans="1:17" ht="11.25" customHeight="1">
      <c r="A17" s="184"/>
      <c r="B17" s="180"/>
      <c r="C17" s="180"/>
      <c r="D17" s="180"/>
      <c r="E17" s="180"/>
      <c r="F17" s="180"/>
      <c r="G17" s="180"/>
      <c r="H17" s="180"/>
      <c r="I17" s="180"/>
      <c r="J17" s="544"/>
      <c r="K17" s="544"/>
      <c r="L17" s="545"/>
      <c r="M17" s="556" t="s">
        <v>171</v>
      </c>
      <c r="N17" s="600" t="str">
        <f t="shared" si="0"/>
        <v>SANTA ROSA 220
(8,15 USD/MWh)</v>
      </c>
      <c r="O17" s="278"/>
      <c r="P17" s="278"/>
      <c r="Q17" s="278"/>
    </row>
    <row r="18" spans="1:17" ht="11.25" customHeight="1">
      <c r="A18" s="184"/>
      <c r="B18" s="180"/>
      <c r="C18" s="180"/>
      <c r="D18" s="180"/>
      <c r="E18" s="180"/>
      <c r="F18" s="180"/>
      <c r="G18" s="180"/>
      <c r="H18" s="180"/>
      <c r="I18" s="180"/>
      <c r="J18" s="544"/>
      <c r="K18" s="544"/>
      <c r="L18" s="545"/>
      <c r="M18" s="556" t="s">
        <v>172</v>
      </c>
      <c r="N18" s="600" t="str">
        <f t="shared" si="0"/>
        <v>SAN JUAN 220
(8,11 USD/MWh)</v>
      </c>
      <c r="O18" s="278"/>
      <c r="P18" s="278"/>
      <c r="Q18" s="278"/>
    </row>
    <row r="19" spans="1:17" ht="11.25" customHeight="1">
      <c r="A19" s="184"/>
      <c r="B19" s="180"/>
      <c r="C19" s="180"/>
      <c r="D19" s="180"/>
      <c r="E19" s="180"/>
      <c r="F19" s="180"/>
      <c r="G19" s="180"/>
      <c r="H19" s="180"/>
      <c r="I19" s="180"/>
      <c r="J19" s="544"/>
      <c r="K19" s="544"/>
      <c r="L19" s="547"/>
      <c r="M19" s="556" t="s">
        <v>175</v>
      </c>
      <c r="N19" s="600" t="str">
        <f t="shared" si="0"/>
        <v>POMACOCHA 220
(7,89 USD/MWh)</v>
      </c>
      <c r="O19" s="278"/>
      <c r="P19" s="278"/>
      <c r="Q19" s="278"/>
    </row>
    <row r="20" spans="1:17" ht="11.25" customHeight="1">
      <c r="A20" s="184"/>
      <c r="B20" s="190"/>
      <c r="C20" s="190"/>
      <c r="D20" s="190"/>
      <c r="E20" s="190"/>
      <c r="F20" s="190"/>
      <c r="G20" s="180"/>
      <c r="H20" s="180"/>
      <c r="I20" s="180"/>
      <c r="J20" s="544"/>
      <c r="K20" s="544"/>
      <c r="L20" s="545"/>
      <c r="M20" s="556" t="s">
        <v>176</v>
      </c>
      <c r="N20" s="600" t="str">
        <f t="shared" si="0"/>
        <v>OROYA NUEVA 50
(7,77 USD/MWh)</v>
      </c>
      <c r="O20" s="278"/>
      <c r="P20" s="278"/>
      <c r="Q20" s="278"/>
    </row>
    <row r="21" spans="1:17" ht="11.25" customHeight="1">
      <c r="A21" s="184"/>
      <c r="B21" s="887" t="str">
        <f>"Gráfico N°20: Costos marginales medios registrados en las principales barras del área norte durante el mes de "&amp;'1. Resumen'!Q4</f>
        <v>Gráfico N°20: Costos marginales medios registrados en las principales barras del área norte durante el mes de marzo</v>
      </c>
      <c r="C21" s="887"/>
      <c r="D21" s="887"/>
      <c r="E21" s="887"/>
      <c r="F21" s="887"/>
      <c r="G21" s="887"/>
      <c r="H21" s="887"/>
      <c r="I21" s="887"/>
      <c r="J21" s="544"/>
      <c r="K21" s="544"/>
      <c r="L21" s="545"/>
      <c r="M21" s="556"/>
      <c r="N21" s="600"/>
      <c r="O21" s="278"/>
      <c r="P21" s="278"/>
      <c r="Q21" s="278"/>
    </row>
    <row r="22" spans="1:17" ht="7.5" customHeight="1">
      <c r="A22" s="184"/>
      <c r="B22" s="186"/>
      <c r="C22" s="186"/>
      <c r="D22" s="186"/>
      <c r="E22" s="186"/>
      <c r="F22" s="186"/>
      <c r="G22" s="184"/>
      <c r="H22" s="184"/>
      <c r="I22" s="184"/>
      <c r="J22" s="540"/>
      <c r="K22" s="540"/>
      <c r="L22" s="542"/>
      <c r="M22" s="556"/>
      <c r="N22" s="600"/>
      <c r="O22" s="278"/>
      <c r="P22" s="278"/>
      <c r="Q22" s="278"/>
    </row>
    <row r="23" spans="1:17" ht="11.25" customHeight="1">
      <c r="A23" s="184"/>
      <c r="B23" s="186"/>
      <c r="C23" s="186"/>
      <c r="D23" s="186"/>
      <c r="E23" s="186"/>
      <c r="F23" s="186"/>
      <c r="G23" s="184"/>
      <c r="H23" s="184"/>
      <c r="I23" s="184"/>
      <c r="J23" s="540"/>
      <c r="K23" s="540"/>
      <c r="L23" s="548"/>
      <c r="M23" s="556" t="s">
        <v>177</v>
      </c>
      <c r="N23" s="600" t="str">
        <f t="shared" ref="N23:N29" si="1">M23&amp;"
("&amp;ROUND(HLOOKUP(M23,$C$45:$I$46,2,0),2)&amp;" USD/MWh)"</f>
        <v>TINTAYA NUEVA 220
(8,82 USD/MWh)</v>
      </c>
      <c r="O23" s="278"/>
      <c r="P23" s="278"/>
      <c r="Q23" s="278"/>
    </row>
    <row r="24" spans="1:17" ht="11.25" customHeight="1">
      <c r="A24" s="184"/>
      <c r="B24" s="189" t="s">
        <v>386</v>
      </c>
      <c r="C24" s="186"/>
      <c r="D24" s="186"/>
      <c r="E24" s="186"/>
      <c r="F24" s="186"/>
      <c r="G24" s="184"/>
      <c r="H24" s="184"/>
      <c r="I24" s="184"/>
      <c r="J24" s="540"/>
      <c r="K24" s="540"/>
      <c r="L24" s="542"/>
      <c r="M24" s="556" t="s">
        <v>178</v>
      </c>
      <c r="N24" s="600" t="str">
        <f t="shared" si="1"/>
        <v>PUNO 138
(8,48 USD/MWh)</v>
      </c>
      <c r="O24" s="278"/>
      <c r="P24" s="278"/>
      <c r="Q24" s="278"/>
    </row>
    <row r="25" spans="1:17" ht="6.75" customHeight="1">
      <c r="A25" s="184"/>
      <c r="B25" s="186"/>
      <c r="C25" s="186"/>
      <c r="D25" s="186"/>
      <c r="E25" s="186"/>
      <c r="F25" s="186"/>
      <c r="G25" s="184"/>
      <c r="H25" s="184"/>
      <c r="I25" s="184"/>
      <c r="J25" s="540"/>
      <c r="K25" s="540"/>
      <c r="L25" s="542"/>
      <c r="M25" s="556" t="s">
        <v>179</v>
      </c>
      <c r="N25" s="600" t="str">
        <f t="shared" si="1"/>
        <v>SOCABAYA 220
(8,57 USD/MWh)</v>
      </c>
      <c r="O25" s="278"/>
      <c r="P25" s="278"/>
      <c r="Q25" s="278"/>
    </row>
    <row r="26" spans="1:17" ht="25.5" customHeight="1">
      <c r="A26" s="184"/>
      <c r="B26" s="391" t="s">
        <v>164</v>
      </c>
      <c r="C26" s="388" t="s">
        <v>440</v>
      </c>
      <c r="D26" s="388" t="s">
        <v>171</v>
      </c>
      <c r="E26" s="388" t="s">
        <v>174</v>
      </c>
      <c r="F26" s="388" t="s">
        <v>172</v>
      </c>
      <c r="G26" s="388" t="s">
        <v>173</v>
      </c>
      <c r="H26" s="388" t="s">
        <v>175</v>
      </c>
      <c r="I26" s="389" t="s">
        <v>176</v>
      </c>
      <c r="J26" s="549"/>
      <c r="K26" s="544"/>
      <c r="L26" s="545"/>
      <c r="M26" s="556" t="s">
        <v>180</v>
      </c>
      <c r="N26" s="600" t="str">
        <f t="shared" si="1"/>
        <v>MOQUEGUA 138
(8,55 USD/MWh)</v>
      </c>
      <c r="O26" s="278"/>
      <c r="P26" s="278"/>
      <c r="Q26" s="278"/>
    </row>
    <row r="27" spans="1:17" ht="18" customHeight="1">
      <c r="A27" s="184"/>
      <c r="B27" s="392" t="s">
        <v>170</v>
      </c>
      <c r="C27" s="267">
        <v>8.2785242339639655</v>
      </c>
      <c r="D27" s="267">
        <v>8.1522424174306423</v>
      </c>
      <c r="E27" s="267">
        <v>8.2211584410247571</v>
      </c>
      <c r="F27" s="267">
        <v>8.1097854158440406</v>
      </c>
      <c r="G27" s="267">
        <v>8.1725202000964163</v>
      </c>
      <c r="H27" s="267">
        <v>7.8916496892650523</v>
      </c>
      <c r="I27" s="267">
        <v>7.7657172551603644</v>
      </c>
      <c r="J27" s="550"/>
      <c r="K27" s="544"/>
      <c r="L27" s="545"/>
      <c r="M27" s="556" t="s">
        <v>181</v>
      </c>
      <c r="N27" s="600" t="str">
        <f t="shared" si="1"/>
        <v>DOLORESPATA 138
(8,21 USD/MWh)</v>
      </c>
      <c r="O27" s="278"/>
      <c r="P27" s="278"/>
      <c r="Q27" s="278"/>
    </row>
    <row r="28" spans="1:17" ht="19.5" customHeight="1">
      <c r="A28" s="184"/>
      <c r="B28" s="888" t="str">
        <f>"Cuadro N°12: Valor de los costos marginales medios registrados en las principales barras del área centro durante el mes de "&amp;'1. Resumen'!Q4</f>
        <v>Cuadro N°12: Valor de los costos marginales medios registrados en las principales barras del área centro durante el mes de marzo</v>
      </c>
      <c r="C28" s="888"/>
      <c r="D28" s="888"/>
      <c r="E28" s="888"/>
      <c r="F28" s="888"/>
      <c r="G28" s="888"/>
      <c r="H28" s="888"/>
      <c r="I28" s="888"/>
      <c r="J28" s="544"/>
      <c r="K28" s="544"/>
      <c r="L28" s="545"/>
      <c r="M28" s="556" t="s">
        <v>182</v>
      </c>
      <c r="N28" s="600" t="str">
        <f t="shared" si="1"/>
        <v>COTARUSE 220
(8,2 USD/MWh)</v>
      </c>
      <c r="O28" s="278"/>
      <c r="P28" s="278"/>
      <c r="Q28" s="278"/>
    </row>
    <row r="29" spans="1:17" ht="11.25" customHeight="1">
      <c r="A29" s="184"/>
      <c r="B29" s="190"/>
      <c r="C29" s="190"/>
      <c r="D29" s="190"/>
      <c r="E29" s="190"/>
      <c r="F29" s="190"/>
      <c r="G29" s="190"/>
      <c r="H29" s="190"/>
      <c r="I29" s="190"/>
      <c r="J29" s="551"/>
      <c r="K29" s="551"/>
      <c r="L29" s="545"/>
      <c r="M29" s="556" t="s">
        <v>183</v>
      </c>
      <c r="N29" s="600" t="str">
        <f t="shared" si="1"/>
        <v>SAN GABAN 138
(7,35 USD/MWh)</v>
      </c>
      <c r="O29" s="278"/>
      <c r="P29" s="278"/>
      <c r="Q29" s="278"/>
    </row>
    <row r="30" spans="1:17" ht="11.25" customHeight="1">
      <c r="A30" s="184"/>
      <c r="B30" s="190"/>
      <c r="C30" s="190"/>
      <c r="D30" s="190"/>
      <c r="E30" s="190"/>
      <c r="F30" s="190"/>
      <c r="G30" s="190"/>
      <c r="H30" s="190"/>
      <c r="I30" s="190"/>
      <c r="J30" s="551"/>
      <c r="K30" s="551"/>
      <c r="L30" s="545"/>
      <c r="M30" s="556"/>
      <c r="N30" s="601"/>
      <c r="O30" s="278"/>
      <c r="P30" s="278"/>
      <c r="Q30" s="278"/>
    </row>
    <row r="31" spans="1:17" ht="11.25" customHeight="1">
      <c r="A31" s="184"/>
      <c r="B31" s="190"/>
      <c r="C31" s="190"/>
      <c r="D31" s="190"/>
      <c r="E31" s="190"/>
      <c r="F31" s="190"/>
      <c r="G31" s="190"/>
      <c r="H31" s="190"/>
      <c r="I31" s="190"/>
      <c r="J31" s="551"/>
      <c r="K31" s="551"/>
      <c r="L31" s="545"/>
      <c r="M31" s="556"/>
      <c r="N31" s="601"/>
      <c r="O31" s="278"/>
      <c r="P31" s="278"/>
      <c r="Q31" s="278"/>
    </row>
    <row r="32" spans="1:17" ht="11.25" customHeight="1">
      <c r="A32" s="184"/>
      <c r="B32" s="190"/>
      <c r="C32" s="190"/>
      <c r="D32" s="190"/>
      <c r="E32" s="190"/>
      <c r="F32" s="190"/>
      <c r="G32" s="190"/>
      <c r="H32" s="190"/>
      <c r="I32" s="190"/>
      <c r="J32" s="551"/>
      <c r="K32" s="551"/>
      <c r="L32" s="545"/>
      <c r="M32" s="556"/>
      <c r="N32" s="278"/>
      <c r="O32" s="278"/>
      <c r="P32" s="278"/>
      <c r="Q32" s="278"/>
    </row>
    <row r="33" spans="1:17" ht="11.25" customHeight="1">
      <c r="A33" s="184"/>
      <c r="B33" s="190"/>
      <c r="C33" s="190"/>
      <c r="D33" s="190"/>
      <c r="E33" s="190"/>
      <c r="F33" s="190"/>
      <c r="G33" s="190"/>
      <c r="H33" s="190"/>
      <c r="I33" s="190"/>
      <c r="J33" s="551"/>
      <c r="K33" s="551"/>
      <c r="L33" s="545"/>
      <c r="N33" s="278"/>
      <c r="O33" s="278"/>
      <c r="P33" s="278"/>
      <c r="Q33" s="278"/>
    </row>
    <row r="34" spans="1:17" ht="11.25" customHeight="1">
      <c r="A34" s="184"/>
      <c r="B34" s="190"/>
      <c r="C34" s="190"/>
      <c r="D34" s="190"/>
      <c r="E34" s="190"/>
      <c r="F34" s="190"/>
      <c r="G34" s="190"/>
      <c r="H34" s="190"/>
      <c r="I34" s="190"/>
      <c r="J34" s="551"/>
      <c r="K34" s="551"/>
      <c r="L34" s="545"/>
      <c r="N34" s="278"/>
      <c r="O34" s="278"/>
      <c r="P34" s="278"/>
      <c r="Q34" s="278"/>
    </row>
    <row r="35" spans="1:17" ht="11.25" customHeight="1">
      <c r="A35" s="184"/>
      <c r="B35" s="190"/>
      <c r="C35" s="190"/>
      <c r="D35" s="190"/>
      <c r="E35" s="190"/>
      <c r="F35" s="190"/>
      <c r="G35" s="190"/>
      <c r="H35" s="190"/>
      <c r="I35" s="190"/>
      <c r="J35" s="551"/>
      <c r="K35" s="551"/>
      <c r="L35" s="552"/>
      <c r="N35" s="278"/>
      <c r="O35" s="278"/>
      <c r="P35" s="278"/>
      <c r="Q35" s="278"/>
    </row>
    <row r="36" spans="1:17" ht="11.25" customHeight="1">
      <c r="A36" s="184"/>
      <c r="B36" s="190"/>
      <c r="C36" s="190"/>
      <c r="D36" s="190"/>
      <c r="E36" s="190"/>
      <c r="F36" s="190"/>
      <c r="G36" s="190"/>
      <c r="H36" s="190"/>
      <c r="I36" s="190"/>
      <c r="J36" s="551"/>
      <c r="K36" s="551"/>
      <c r="L36" s="545"/>
      <c r="N36" s="278"/>
      <c r="O36" s="278"/>
      <c r="P36" s="278"/>
      <c r="Q36" s="278"/>
    </row>
    <row r="37" spans="1:17" ht="11.25" customHeight="1">
      <c r="A37" s="184"/>
      <c r="B37" s="190"/>
      <c r="C37" s="190"/>
      <c r="D37" s="190"/>
      <c r="E37" s="190"/>
      <c r="F37" s="190"/>
      <c r="G37" s="190"/>
      <c r="H37" s="190"/>
      <c r="I37" s="190"/>
      <c r="J37" s="551"/>
      <c r="K37" s="551"/>
      <c r="L37" s="545"/>
      <c r="N37" s="278"/>
      <c r="O37" s="278"/>
      <c r="P37" s="278"/>
      <c r="Q37" s="278"/>
    </row>
    <row r="38" spans="1:17" ht="11.25" customHeight="1">
      <c r="A38" s="184"/>
      <c r="B38" s="190"/>
      <c r="C38" s="190"/>
      <c r="D38" s="190"/>
      <c r="E38" s="190"/>
      <c r="F38" s="190"/>
      <c r="G38" s="190"/>
      <c r="H38" s="190"/>
      <c r="I38" s="190"/>
      <c r="J38" s="551"/>
      <c r="K38" s="551"/>
      <c r="L38" s="545"/>
      <c r="N38" s="278"/>
      <c r="O38" s="278"/>
      <c r="P38" s="278"/>
      <c r="Q38" s="278"/>
    </row>
    <row r="39" spans="1:17" ht="11.25" customHeight="1">
      <c r="A39" s="184"/>
      <c r="B39" s="190"/>
      <c r="C39" s="190"/>
      <c r="D39" s="190"/>
      <c r="E39" s="190"/>
      <c r="F39" s="190"/>
      <c r="G39" s="190"/>
      <c r="H39" s="190"/>
      <c r="I39" s="190"/>
      <c r="J39" s="551"/>
      <c r="K39" s="551"/>
      <c r="L39" s="545"/>
      <c r="N39" s="278"/>
      <c r="O39" s="278"/>
      <c r="P39" s="278"/>
      <c r="Q39" s="278"/>
    </row>
    <row r="40" spans="1:17" ht="13.5" customHeight="1">
      <c r="A40" s="184"/>
      <c r="B40" s="886" t="str">
        <f>"Gráfico N°21: Costos marginales medios registrados en las principales barras del área centro durante el mes de "&amp;'1. Resumen'!Q4</f>
        <v>Gráfico N°21: Costos marginales medios registrados en las principales barras del área centro durante el mes de marzo</v>
      </c>
      <c r="C40" s="886"/>
      <c r="D40" s="886"/>
      <c r="E40" s="886"/>
      <c r="F40" s="886"/>
      <c r="G40" s="886"/>
      <c r="H40" s="886"/>
      <c r="I40" s="886"/>
      <c r="J40" s="551"/>
      <c r="K40" s="551"/>
      <c r="L40" s="545"/>
      <c r="N40" s="278"/>
      <c r="O40" s="278"/>
      <c r="P40" s="278"/>
      <c r="Q40" s="278"/>
    </row>
    <row r="41" spans="1:17" ht="6.75" customHeight="1">
      <c r="A41" s="184"/>
      <c r="B41" s="190"/>
      <c r="C41" s="190"/>
      <c r="D41" s="190"/>
      <c r="E41" s="190"/>
      <c r="F41" s="190"/>
      <c r="G41" s="190"/>
      <c r="H41" s="190"/>
      <c r="I41" s="190"/>
      <c r="J41" s="551"/>
      <c r="K41" s="551"/>
      <c r="L41" s="545"/>
      <c r="N41" s="278"/>
      <c r="O41" s="278"/>
      <c r="P41" s="278"/>
      <c r="Q41" s="278"/>
    </row>
    <row r="42" spans="1:17" ht="8.25" customHeight="1">
      <c r="A42" s="184"/>
      <c r="B42" s="186"/>
      <c r="C42" s="186"/>
      <c r="D42" s="186"/>
      <c r="E42" s="186"/>
      <c r="F42" s="186"/>
      <c r="G42" s="186"/>
      <c r="H42" s="186"/>
      <c r="I42" s="186"/>
      <c r="J42" s="553"/>
      <c r="K42" s="553"/>
      <c r="L42" s="11"/>
      <c r="N42" s="278"/>
      <c r="O42" s="278"/>
      <c r="P42" s="278"/>
      <c r="Q42" s="278"/>
    </row>
    <row r="43" spans="1:17" ht="11.25" customHeight="1">
      <c r="A43" s="184"/>
      <c r="B43" s="189" t="s">
        <v>387</v>
      </c>
      <c r="C43" s="186"/>
      <c r="D43" s="186"/>
      <c r="E43" s="186"/>
      <c r="F43" s="186"/>
      <c r="G43" s="186"/>
      <c r="H43" s="186"/>
      <c r="I43" s="186"/>
      <c r="J43" s="553"/>
      <c r="K43" s="553"/>
      <c r="L43" s="11"/>
      <c r="N43" s="278"/>
      <c r="O43" s="278"/>
      <c r="P43" s="278"/>
      <c r="Q43" s="278"/>
    </row>
    <row r="44" spans="1:17" ht="6.75" customHeight="1">
      <c r="A44" s="184"/>
      <c r="B44" s="186"/>
      <c r="C44" s="186"/>
      <c r="D44" s="186"/>
      <c r="E44" s="186"/>
      <c r="F44" s="186"/>
      <c r="G44" s="186"/>
      <c r="H44" s="186"/>
      <c r="I44" s="186"/>
      <c r="J44" s="553"/>
      <c r="K44" s="553"/>
      <c r="L44" s="11"/>
      <c r="N44" s="278"/>
      <c r="O44" s="278"/>
      <c r="P44" s="278"/>
      <c r="Q44" s="278"/>
    </row>
    <row r="45" spans="1:17" ht="27" customHeight="1">
      <c r="A45" s="184"/>
      <c r="B45" s="391" t="s">
        <v>164</v>
      </c>
      <c r="C45" s="388" t="s">
        <v>177</v>
      </c>
      <c r="D45" s="388" t="s">
        <v>179</v>
      </c>
      <c r="E45" s="388" t="s">
        <v>180</v>
      </c>
      <c r="F45" s="388" t="s">
        <v>178</v>
      </c>
      <c r="G45" s="388" t="s">
        <v>181</v>
      </c>
      <c r="H45" s="388" t="s">
        <v>182</v>
      </c>
      <c r="I45" s="389" t="s">
        <v>183</v>
      </c>
      <c r="J45" s="549"/>
      <c r="K45" s="551"/>
      <c r="N45" s="278"/>
      <c r="O45" s="278"/>
      <c r="P45" s="278"/>
      <c r="Q45" s="278"/>
    </row>
    <row r="46" spans="1:17" ht="18.75" customHeight="1">
      <c r="A46" s="184"/>
      <c r="B46" s="392" t="s">
        <v>170</v>
      </c>
      <c r="C46" s="267">
        <v>8.824106199784552</v>
      </c>
      <c r="D46" s="267">
        <v>8.5692074821026658</v>
      </c>
      <c r="E46" s="267">
        <v>8.554738391789293</v>
      </c>
      <c r="F46" s="267">
        <v>8.4805806324643331</v>
      </c>
      <c r="G46" s="267">
        <v>8.2073327696612761</v>
      </c>
      <c r="H46" s="267">
        <v>8.1973852106545291</v>
      </c>
      <c r="I46" s="267">
        <v>7.3518933676257774</v>
      </c>
      <c r="J46" s="550"/>
      <c r="K46" s="551"/>
      <c r="N46" s="278"/>
      <c r="O46" s="278"/>
      <c r="P46" s="278"/>
      <c r="Q46" s="278"/>
    </row>
    <row r="47" spans="1:17" ht="18" customHeight="1">
      <c r="A47" s="184"/>
      <c r="B47" s="888" t="str">
        <f>"Cuadro N°13: Valor de los costos marginales medios registrados en las principales barras del área sur durante el mes de "&amp;'1. Resumen'!Q4</f>
        <v>Cuadro N°13: Valor de los costos marginales medios registrados en las principales barras del área sur durante el mes de marzo</v>
      </c>
      <c r="C47" s="888"/>
      <c r="D47" s="888"/>
      <c r="E47" s="888"/>
      <c r="F47" s="888"/>
      <c r="G47" s="888"/>
      <c r="H47" s="888"/>
      <c r="I47" s="888"/>
      <c r="J47" s="550"/>
      <c r="K47" s="551"/>
    </row>
    <row r="48" spans="1:17" ht="13.2">
      <c r="A48" s="184"/>
      <c r="B48" s="190"/>
      <c r="C48" s="190"/>
      <c r="D48" s="190"/>
      <c r="E48" s="190"/>
      <c r="F48" s="190"/>
      <c r="G48" s="180"/>
      <c r="H48" s="180"/>
      <c r="I48" s="180"/>
      <c r="J48" s="544"/>
      <c r="K48" s="551"/>
    </row>
    <row r="49" spans="1:11" ht="13.2">
      <c r="A49" s="184"/>
      <c r="B49" s="180"/>
      <c r="C49" s="180"/>
      <c r="D49" s="180"/>
      <c r="E49" s="180"/>
      <c r="F49" s="180"/>
      <c r="G49" s="180"/>
      <c r="H49" s="180"/>
      <c r="I49" s="180"/>
      <c r="J49" s="544"/>
      <c r="K49" s="551"/>
    </row>
    <row r="50" spans="1:11" ht="13.2">
      <c r="A50" s="184"/>
      <c r="B50" s="111"/>
      <c r="C50" s="111"/>
      <c r="D50" s="111"/>
      <c r="E50" s="111"/>
      <c r="F50" s="111"/>
      <c r="G50" s="111"/>
      <c r="H50" s="111"/>
      <c r="I50" s="111"/>
      <c r="J50" s="554"/>
      <c r="K50" s="551"/>
    </row>
    <row r="51" spans="1:11" ht="13.2">
      <c r="A51" s="184"/>
      <c r="B51" s="111"/>
      <c r="C51" s="111"/>
      <c r="D51" s="111"/>
      <c r="E51" s="111"/>
      <c r="F51" s="111"/>
      <c r="G51" s="111"/>
      <c r="H51" s="111"/>
      <c r="I51" s="111"/>
      <c r="J51" s="554"/>
      <c r="K51" s="551"/>
    </row>
    <row r="52" spans="1:11" ht="13.2">
      <c r="A52" s="184"/>
      <c r="B52" s="111"/>
      <c r="C52" s="111"/>
      <c r="D52" s="111"/>
      <c r="E52" s="111"/>
      <c r="F52" s="111"/>
      <c r="G52" s="111"/>
      <c r="H52" s="111"/>
      <c r="I52" s="111"/>
      <c r="J52" s="554"/>
      <c r="K52" s="551"/>
    </row>
    <row r="53" spans="1:11" ht="13.2">
      <c r="A53" s="184"/>
      <c r="B53" s="111"/>
      <c r="C53" s="111"/>
      <c r="D53" s="111"/>
      <c r="E53" s="111"/>
      <c r="F53" s="111"/>
      <c r="G53" s="111"/>
      <c r="H53" s="111"/>
      <c r="I53" s="111"/>
      <c r="J53" s="554"/>
      <c r="K53" s="551"/>
    </row>
    <row r="54" spans="1:11" ht="13.2">
      <c r="A54" s="184"/>
      <c r="B54" s="111"/>
      <c r="C54" s="111"/>
      <c r="D54" s="111"/>
      <c r="E54" s="111"/>
      <c r="F54" s="111"/>
      <c r="G54" s="111"/>
      <c r="H54" s="111"/>
      <c r="I54" s="111"/>
      <c r="J54" s="554"/>
      <c r="K54" s="551"/>
    </row>
    <row r="55" spans="1:11" ht="13.2">
      <c r="A55" s="184"/>
      <c r="B55" s="111"/>
      <c r="C55" s="111"/>
      <c r="D55" s="111"/>
      <c r="E55" s="111"/>
      <c r="F55" s="111"/>
      <c r="G55" s="111"/>
      <c r="H55" s="111"/>
      <c r="I55" s="111"/>
      <c r="J55" s="554"/>
      <c r="K55" s="551"/>
    </row>
    <row r="56" spans="1:11" ht="13.2">
      <c r="A56" s="184"/>
      <c r="B56" s="180"/>
      <c r="C56" s="180"/>
      <c r="D56" s="180"/>
      <c r="E56" s="180"/>
      <c r="F56" s="180"/>
      <c r="G56" s="180"/>
      <c r="H56" s="180"/>
      <c r="I56" s="180"/>
      <c r="J56" s="544"/>
      <c r="K56" s="551"/>
    </row>
    <row r="57" spans="1:11" ht="13.2">
      <c r="A57" s="184"/>
      <c r="B57" s="180"/>
      <c r="C57" s="180"/>
      <c r="D57" s="180"/>
      <c r="E57" s="180"/>
      <c r="F57" s="180"/>
      <c r="G57" s="180"/>
      <c r="H57" s="180"/>
      <c r="I57" s="180"/>
      <c r="J57" s="544"/>
      <c r="K57" s="551"/>
    </row>
    <row r="58" spans="1:11" ht="13.2">
      <c r="A58" s="184"/>
      <c r="B58" s="886" t="str">
        <f>"Gráfico N°22: Costos marginales medios registrados en las principales barras del área sur durante el mes de "&amp;'1. Resumen'!Q4</f>
        <v>Gráfico N°22: Costos marginales medios registrados en las principales barras del área sur durante el mes de marzo</v>
      </c>
      <c r="C58" s="886"/>
      <c r="D58" s="886"/>
      <c r="E58" s="886"/>
      <c r="F58" s="886"/>
      <c r="G58" s="886"/>
      <c r="H58" s="886"/>
      <c r="I58" s="886"/>
      <c r="J58" s="544"/>
      <c r="K58" s="551"/>
    </row>
    <row r="59" spans="1:11" ht="13.2">
      <c r="A59" s="74"/>
      <c r="B59" s="136"/>
      <c r="C59" s="136"/>
      <c r="D59" s="136"/>
      <c r="E59" s="136"/>
      <c r="F59" s="136"/>
      <c r="G59" s="136"/>
      <c r="H59" s="180"/>
      <c r="I59" s="180"/>
      <c r="J59" s="544"/>
      <c r="K59" s="55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O61" sqref="O61"/>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48" t="s">
        <v>389</v>
      </c>
      <c r="B2" s="848"/>
      <c r="C2" s="848"/>
      <c r="D2" s="848"/>
      <c r="E2" s="848"/>
      <c r="F2" s="848"/>
      <c r="G2" s="848"/>
      <c r="H2" s="848"/>
      <c r="I2" s="848"/>
      <c r="J2" s="848"/>
      <c r="K2" s="848"/>
      <c r="L2" s="848"/>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zoomScale="115" zoomScaleNormal="100" zoomScaleSheetLayoutView="115" zoomScalePageLayoutView="115" workbookViewId="0">
      <selection activeCell="O61" sqref="O61"/>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89" t="s">
        <v>388</v>
      </c>
      <c r="B2" s="889"/>
      <c r="C2" s="889"/>
      <c r="D2" s="889"/>
      <c r="E2" s="889"/>
      <c r="F2" s="889"/>
      <c r="G2" s="889"/>
      <c r="H2" s="889"/>
      <c r="I2" s="203"/>
      <c r="J2" s="203"/>
      <c r="K2" s="203"/>
    </row>
    <row r="3" spans="1:12" ht="3" customHeight="1">
      <c r="A3" s="77"/>
      <c r="B3" s="77"/>
      <c r="C3" s="77"/>
      <c r="D3" s="77"/>
      <c r="E3" s="77"/>
      <c r="F3" s="77"/>
      <c r="G3" s="77"/>
      <c r="H3" s="77"/>
      <c r="I3" s="204"/>
      <c r="J3" s="204"/>
      <c r="K3" s="204"/>
      <c r="L3" s="36"/>
    </row>
    <row r="4" spans="1:12" ht="15" customHeight="1">
      <c r="A4" s="880" t="s">
        <v>437</v>
      </c>
      <c r="B4" s="880"/>
      <c r="C4" s="880"/>
      <c r="D4" s="880"/>
      <c r="E4" s="880"/>
      <c r="F4" s="880"/>
      <c r="G4" s="880"/>
      <c r="H4" s="880"/>
      <c r="I4" s="195"/>
      <c r="J4" s="195"/>
      <c r="K4" s="195"/>
      <c r="L4" s="36"/>
    </row>
    <row r="5" spans="1:12" ht="11.25" customHeight="1">
      <c r="A5" s="77"/>
      <c r="B5" s="164"/>
      <c r="C5" s="78"/>
      <c r="D5" s="79"/>
      <c r="E5" s="79"/>
      <c r="F5" s="80"/>
      <c r="G5" s="76"/>
      <c r="H5" s="76"/>
      <c r="I5" s="196"/>
      <c r="J5" s="196"/>
      <c r="K5" s="196"/>
      <c r="L5" s="205"/>
    </row>
    <row r="6" spans="1:12" ht="30.75" customHeight="1">
      <c r="A6" s="414" t="s">
        <v>184</v>
      </c>
      <c r="B6" s="412" t="s">
        <v>185</v>
      </c>
      <c r="C6" s="412" t="s">
        <v>186</v>
      </c>
      <c r="D6" s="411" t="str">
        <f>UPPER('1. Resumen'!Q4)&amp;"
 "&amp;'1. Resumen'!Q5</f>
        <v>MARZO
 2021</v>
      </c>
      <c r="E6" s="411" t="str">
        <f>UPPER('1. Resumen'!Q4)&amp;"
 "&amp;'1. Resumen'!Q5-1</f>
        <v>MARZO
 2020</v>
      </c>
      <c r="F6" s="411" t="str">
        <f>UPPER('1. Resumen'!Q4)&amp;"
 "&amp;'1. Resumen'!Q5-2</f>
        <v>MARZO
 2019</v>
      </c>
      <c r="G6" s="412" t="s">
        <v>589</v>
      </c>
      <c r="H6" s="413" t="s">
        <v>461</v>
      </c>
      <c r="I6" s="196"/>
      <c r="J6" s="196"/>
      <c r="K6" s="196"/>
      <c r="L6" s="166"/>
    </row>
    <row r="7" spans="1:12" ht="19.5" customHeight="1">
      <c r="A7" s="890" t="s">
        <v>187</v>
      </c>
      <c r="B7" s="633" t="s">
        <v>785</v>
      </c>
      <c r="C7" s="634" t="s">
        <v>787</v>
      </c>
      <c r="D7" s="635"/>
      <c r="E7" s="635">
        <v>7.8999999999999986</v>
      </c>
      <c r="F7" s="635"/>
      <c r="G7" s="636">
        <f t="shared" ref="G7:G10" si="0">+D7/E7</f>
        <v>0</v>
      </c>
      <c r="H7" s="636"/>
      <c r="I7" s="196"/>
      <c r="J7" s="196"/>
      <c r="K7" s="196"/>
      <c r="L7" s="58"/>
    </row>
    <row r="8" spans="1:12" ht="19.5" customHeight="1">
      <c r="A8" s="891"/>
      <c r="B8" s="633" t="s">
        <v>786</v>
      </c>
      <c r="C8" s="634" t="s">
        <v>788</v>
      </c>
      <c r="D8" s="635">
        <v>26.099999999999994</v>
      </c>
      <c r="E8" s="635"/>
      <c r="F8" s="635"/>
      <c r="G8" s="636"/>
      <c r="H8" s="636"/>
      <c r="I8" s="196"/>
      <c r="J8" s="196"/>
      <c r="K8" s="196"/>
      <c r="L8" s="58"/>
    </row>
    <row r="9" spans="1:12" ht="19.5" customHeight="1">
      <c r="A9" s="891"/>
      <c r="B9" s="633" t="s">
        <v>495</v>
      </c>
      <c r="C9" s="634" t="s">
        <v>497</v>
      </c>
      <c r="D9" s="635">
        <v>9.7499999999999982</v>
      </c>
      <c r="E9" s="635">
        <v>59.666666666666671</v>
      </c>
      <c r="F9" s="635">
        <v>0.5333333333333341</v>
      </c>
      <c r="G9" s="636">
        <f t="shared" si="0"/>
        <v>0.16340782122905023</v>
      </c>
      <c r="H9" s="636">
        <f t="shared" ref="H9:H10" si="1">+E9/F9</f>
        <v>111.87499999999984</v>
      </c>
      <c r="I9" s="196"/>
      <c r="J9" s="196"/>
      <c r="K9" s="196"/>
      <c r="L9" s="58"/>
    </row>
    <row r="10" spans="1:12" ht="19.5" customHeight="1">
      <c r="A10" s="891"/>
      <c r="B10" s="633" t="s">
        <v>480</v>
      </c>
      <c r="C10" s="634" t="s">
        <v>481</v>
      </c>
      <c r="D10" s="635"/>
      <c r="E10" s="635">
        <v>20.500000000000004</v>
      </c>
      <c r="F10" s="635">
        <v>1.0666666666666682</v>
      </c>
      <c r="G10" s="636">
        <f t="shared" si="0"/>
        <v>0</v>
      </c>
      <c r="H10" s="636">
        <f t="shared" si="1"/>
        <v>19.218749999999975</v>
      </c>
      <c r="I10" s="196"/>
      <c r="J10" s="196"/>
      <c r="K10" s="196"/>
      <c r="L10" s="58"/>
    </row>
    <row r="11" spans="1:12" ht="19.5" customHeight="1">
      <c r="A11" s="891"/>
      <c r="B11" s="633" t="s">
        <v>496</v>
      </c>
      <c r="C11" s="634" t="s">
        <v>498</v>
      </c>
      <c r="D11" s="635"/>
      <c r="E11" s="635"/>
      <c r="F11" s="635">
        <v>2.1333333333333337</v>
      </c>
      <c r="G11" s="636"/>
      <c r="H11" s="636">
        <f t="shared" ref="H11" si="2">+E11/F11</f>
        <v>0</v>
      </c>
      <c r="I11" s="196"/>
      <c r="J11" s="196"/>
      <c r="K11" s="196"/>
      <c r="L11" s="58"/>
    </row>
    <row r="12" spans="1:12" ht="19.5" customHeight="1">
      <c r="A12" s="891"/>
      <c r="B12" s="633" t="s">
        <v>488</v>
      </c>
      <c r="C12" s="634" t="s">
        <v>489</v>
      </c>
      <c r="D12" s="635">
        <v>40.716666666666669</v>
      </c>
      <c r="E12" s="635">
        <v>14.600000000000001</v>
      </c>
      <c r="F12" s="635"/>
      <c r="G12" s="636">
        <f t="shared" ref="G12:G14" si="3">+D12/E12</f>
        <v>2.7888127853881275</v>
      </c>
      <c r="H12" s="636"/>
      <c r="I12" s="196"/>
      <c r="J12" s="196"/>
      <c r="K12" s="196"/>
      <c r="L12" s="58"/>
    </row>
    <row r="13" spans="1:12" ht="19.5" customHeight="1">
      <c r="A13" s="891"/>
      <c r="B13" s="633" t="s">
        <v>490</v>
      </c>
      <c r="C13" s="634" t="s">
        <v>491</v>
      </c>
      <c r="D13" s="635">
        <v>206.36666666666667</v>
      </c>
      <c r="E13" s="635">
        <v>226.90000000000009</v>
      </c>
      <c r="F13" s="635">
        <v>10.666666666666655</v>
      </c>
      <c r="G13" s="636">
        <f t="shared" si="3"/>
        <v>0.90950492140443628</v>
      </c>
      <c r="H13" s="636">
        <f t="shared" ref="H13:H14" si="4">+E13/F13</f>
        <v>21.27187500000003</v>
      </c>
      <c r="I13" s="196"/>
      <c r="J13" s="196"/>
      <c r="K13" s="196"/>
      <c r="L13" s="58"/>
    </row>
    <row r="14" spans="1:12" ht="19.5" customHeight="1">
      <c r="A14" s="892"/>
      <c r="B14" s="633" t="s">
        <v>482</v>
      </c>
      <c r="C14" s="634" t="s">
        <v>462</v>
      </c>
      <c r="D14" s="635"/>
      <c r="E14" s="635">
        <v>8.9166666666666696</v>
      </c>
      <c r="F14" s="635">
        <v>38.4</v>
      </c>
      <c r="G14" s="636">
        <f t="shared" si="3"/>
        <v>0</v>
      </c>
      <c r="H14" s="636">
        <f t="shared" si="4"/>
        <v>0.23220486111111119</v>
      </c>
      <c r="I14" s="196"/>
      <c r="J14" s="196"/>
      <c r="K14" s="196"/>
      <c r="L14" s="58"/>
    </row>
    <row r="15" spans="1:12" ht="19.5" customHeight="1">
      <c r="A15" s="778" t="s">
        <v>588</v>
      </c>
      <c r="B15" s="633" t="s">
        <v>586</v>
      </c>
      <c r="C15" s="634" t="s">
        <v>587</v>
      </c>
      <c r="D15" s="635">
        <v>1.0666666666666655</v>
      </c>
      <c r="E15" s="635"/>
      <c r="F15" s="635"/>
      <c r="G15" s="636"/>
      <c r="H15" s="636"/>
      <c r="I15" s="196"/>
      <c r="J15" s="196"/>
      <c r="K15" s="196"/>
      <c r="L15" s="58"/>
    </row>
    <row r="16" spans="1:12" ht="18.75" customHeight="1">
      <c r="A16" s="405" t="s">
        <v>188</v>
      </c>
      <c r="B16" s="406"/>
      <c r="C16" s="407"/>
      <c r="D16" s="408">
        <f>SUM(D7:D15)</f>
        <v>284</v>
      </c>
      <c r="E16" s="408">
        <f>SUM(E7:E15)</f>
        <v>338.48333333333341</v>
      </c>
      <c r="F16" s="408">
        <f>SUM(F7:F15)</f>
        <v>52.79999999999999</v>
      </c>
      <c r="G16" s="408">
        <f>SUM(G7:G15)</f>
        <v>3.8617255280216143</v>
      </c>
      <c r="H16" s="595">
        <f t="shared" ref="H16" si="5">+E16/F16-1</f>
        <v>5.4106691919191947</v>
      </c>
      <c r="I16" s="196"/>
      <c r="J16" s="196"/>
      <c r="K16" s="197"/>
      <c r="L16" s="206"/>
    </row>
    <row r="17" spans="1:12" ht="11.25" customHeight="1">
      <c r="A17" s="265" t="str">
        <f>"Cuadro N° 14: Horas de operación de los principales equipos de congestión en "&amp;'1. Resumen'!Q4</f>
        <v>Cuadro N° 14: Horas de operación de los principales equipos de congestión en marzo</v>
      </c>
      <c r="B17" s="209"/>
      <c r="C17" s="210"/>
      <c r="D17" s="211"/>
      <c r="E17" s="211"/>
      <c r="F17" s="212"/>
      <c r="G17" s="76"/>
      <c r="H17" s="82"/>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8.25" customHeight="1">
      <c r="A42" s="77"/>
      <c r="B42" s="77"/>
      <c r="C42" s="77"/>
      <c r="D42" s="77"/>
      <c r="E42" s="77"/>
      <c r="F42" s="77"/>
      <c r="G42" s="77"/>
      <c r="H42" s="77"/>
      <c r="I42" s="196"/>
      <c r="J42" s="196"/>
      <c r="K42" s="199"/>
      <c r="L42" s="59"/>
    </row>
    <row r="43" spans="1:12" ht="24.7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3.2">
      <c r="A47" s="265" t="str">
        <f>"Gráfico N° 23: Comparación de las horas de operación de los principales equipos de congestión en "&amp;'1. Resumen'!Q4&amp;"."</f>
        <v>Gráfico N° 23: Comparación de las horas de operación de los principales equipos de congestión en marzo.</v>
      </c>
      <c r="B47" s="77"/>
      <c r="C47" s="77"/>
      <c r="D47" s="77"/>
      <c r="E47" s="77"/>
      <c r="F47" s="77"/>
      <c r="G47" s="77"/>
      <c r="H47" s="77"/>
      <c r="I47" s="111"/>
      <c r="J47" s="111"/>
      <c r="K47" s="198"/>
    </row>
    <row r="48" spans="1:12" ht="13.2">
      <c r="A48" s="77"/>
      <c r="B48" s="77"/>
      <c r="C48" s="77"/>
      <c r="D48" s="77"/>
      <c r="E48" s="77"/>
      <c r="F48" s="77"/>
      <c r="G48" s="77"/>
      <c r="H48" s="77"/>
      <c r="I48" s="197"/>
      <c r="J48" s="197"/>
      <c r="K48" s="198"/>
    </row>
    <row r="49" spans="1:11" ht="13.2">
      <c r="A49" s="196"/>
      <c r="B49" s="197"/>
      <c r="C49" s="197"/>
      <c r="D49" s="197"/>
      <c r="E49" s="197"/>
      <c r="F49" s="197"/>
      <c r="G49" s="197"/>
      <c r="H49" s="197"/>
      <c r="I49" s="197"/>
      <c r="J49" s="197"/>
      <c r="K49" s="198"/>
    </row>
    <row r="50" spans="1:11" ht="13.2">
      <c r="A50" s="196"/>
      <c r="B50" s="208"/>
      <c r="C50" s="198"/>
      <c r="D50" s="198"/>
      <c r="E50" s="198"/>
      <c r="F50" s="198"/>
      <c r="G50" s="197"/>
      <c r="H50" s="197"/>
      <c r="I50" s="197"/>
      <c r="J50" s="197"/>
      <c r="K50" s="198"/>
    </row>
    <row r="51" spans="1:11" ht="13.2">
      <c r="A51" s="1"/>
      <c r="B51" s="31"/>
      <c r="C51" s="31"/>
      <c r="D51" s="31"/>
      <c r="E51" s="31"/>
      <c r="F51" s="31"/>
      <c r="G51" s="31"/>
      <c r="H51" s="197"/>
      <c r="I51" s="197"/>
      <c r="J51" s="197"/>
      <c r="K51" s="198"/>
    </row>
    <row r="52" spans="1:11" ht="13.2">
      <c r="A52" s="1"/>
      <c r="B52" s="31"/>
      <c r="C52" s="31"/>
      <c r="D52" s="31"/>
      <c r="E52" s="31"/>
      <c r="F52" s="31"/>
      <c r="G52" s="31"/>
      <c r="H52" s="197"/>
      <c r="I52" s="197"/>
      <c r="J52" s="197"/>
      <c r="K52" s="197"/>
    </row>
    <row r="53" spans="1:11" ht="13.2">
      <c r="A53" s="1"/>
      <c r="B53" s="31"/>
      <c r="C53" s="31"/>
      <c r="D53" s="31"/>
      <c r="E53" s="31"/>
      <c r="F53" s="31"/>
      <c r="G53" s="31"/>
      <c r="H53" s="197"/>
      <c r="I53" s="197"/>
      <c r="J53" s="197"/>
      <c r="K53"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topLeftCell="A4" zoomScale="110" zoomScaleNormal="160" zoomScaleSheetLayoutView="110" zoomScalePageLayoutView="130" workbookViewId="0">
      <selection activeCell="O61" sqref="O61"/>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0" t="s">
        <v>416</v>
      </c>
      <c r="B2" s="900"/>
      <c r="C2" s="900"/>
      <c r="D2" s="900"/>
      <c r="E2" s="900"/>
      <c r="F2" s="900"/>
      <c r="G2" s="900"/>
      <c r="H2" s="900"/>
      <c r="I2" s="900"/>
      <c r="J2" s="900"/>
      <c r="K2" s="163"/>
    </row>
    <row r="3" spans="1:12" ht="6.75" customHeight="1">
      <c r="A3" s="17"/>
      <c r="B3" s="159"/>
      <c r="C3" s="213"/>
      <c r="D3" s="18"/>
      <c r="E3" s="18"/>
      <c r="F3" s="192"/>
      <c r="G3" s="66"/>
      <c r="H3" s="66"/>
      <c r="I3" s="71"/>
      <c r="J3" s="163"/>
      <c r="K3" s="163"/>
      <c r="L3" s="36"/>
    </row>
    <row r="4" spans="1:12" ht="15" customHeight="1">
      <c r="A4" s="901" t="s">
        <v>436</v>
      </c>
      <c r="B4" s="901"/>
      <c r="C4" s="901"/>
      <c r="D4" s="901"/>
      <c r="E4" s="901"/>
      <c r="F4" s="901"/>
      <c r="G4" s="901"/>
      <c r="H4" s="901"/>
      <c r="I4" s="901"/>
      <c r="J4" s="901"/>
      <c r="K4" s="163"/>
      <c r="L4" s="36"/>
    </row>
    <row r="5" spans="1:12" ht="38.25" customHeight="1">
      <c r="A5" s="898" t="s">
        <v>189</v>
      </c>
      <c r="B5" s="415" t="s">
        <v>190</v>
      </c>
      <c r="C5" s="416" t="s">
        <v>191</v>
      </c>
      <c r="D5" s="416" t="s">
        <v>192</v>
      </c>
      <c r="E5" s="416" t="s">
        <v>193</v>
      </c>
      <c r="F5" s="416" t="s">
        <v>194</v>
      </c>
      <c r="G5" s="416" t="s">
        <v>195</v>
      </c>
      <c r="H5" s="416" t="s">
        <v>196</v>
      </c>
      <c r="I5" s="417" t="s">
        <v>197</v>
      </c>
      <c r="J5" s="418" t="s">
        <v>198</v>
      </c>
      <c r="K5" s="131"/>
    </row>
    <row r="6" spans="1:12" ht="11.25" customHeight="1">
      <c r="A6" s="899"/>
      <c r="B6" s="568" t="s">
        <v>199</v>
      </c>
      <c r="C6" s="417" t="s">
        <v>200</v>
      </c>
      <c r="D6" s="417" t="s">
        <v>201</v>
      </c>
      <c r="E6" s="417" t="s">
        <v>202</v>
      </c>
      <c r="F6" s="417" t="s">
        <v>203</v>
      </c>
      <c r="G6" s="417" t="s">
        <v>204</v>
      </c>
      <c r="H6" s="417" t="s">
        <v>205</v>
      </c>
      <c r="I6" s="569"/>
      <c r="J6" s="570" t="s">
        <v>206</v>
      </c>
      <c r="K6" s="19"/>
    </row>
    <row r="7" spans="1:12" ht="14.4" customHeight="1">
      <c r="A7" s="577" t="s">
        <v>164</v>
      </c>
      <c r="B7" s="578"/>
      <c r="C7" s="578">
        <v>1</v>
      </c>
      <c r="D7" s="578"/>
      <c r="E7" s="578"/>
      <c r="F7" s="578"/>
      <c r="G7" s="578"/>
      <c r="H7" s="578"/>
      <c r="I7" s="579">
        <f>+SUM(B7:H7)</f>
        <v>1</v>
      </c>
      <c r="J7" s="580">
        <v>1</v>
      </c>
      <c r="K7" s="22"/>
    </row>
    <row r="8" spans="1:12" s="582" customFormat="1" ht="20.25" customHeight="1">
      <c r="A8" s="642" t="s">
        <v>782</v>
      </c>
      <c r="B8" s="643">
        <v>1</v>
      </c>
      <c r="C8" s="643"/>
      <c r="D8" s="643"/>
      <c r="E8" s="643"/>
      <c r="F8" s="643"/>
      <c r="G8" s="643"/>
      <c r="H8" s="643"/>
      <c r="I8" s="579">
        <f t="shared" ref="I8:I12" si="0">+SUM(B8:H8)</f>
        <v>1</v>
      </c>
      <c r="J8" s="644">
        <v>0.74</v>
      </c>
      <c r="K8" s="22"/>
    </row>
    <row r="9" spans="1:12" s="582" customFormat="1" ht="15" customHeight="1">
      <c r="A9" s="642" t="s">
        <v>494</v>
      </c>
      <c r="B9" s="643">
        <v>19</v>
      </c>
      <c r="C9" s="643">
        <v>4</v>
      </c>
      <c r="D9" s="643">
        <v>2</v>
      </c>
      <c r="E9" s="643"/>
      <c r="F9" s="643">
        <v>10</v>
      </c>
      <c r="G9" s="643"/>
      <c r="H9" s="643"/>
      <c r="I9" s="579">
        <f t="shared" si="0"/>
        <v>35</v>
      </c>
      <c r="J9" s="644">
        <v>278.56</v>
      </c>
      <c r="K9" s="22"/>
    </row>
    <row r="10" spans="1:12" s="582" customFormat="1" ht="15" customHeight="1">
      <c r="A10" s="642" t="s">
        <v>783</v>
      </c>
      <c r="B10" s="643"/>
      <c r="C10" s="643"/>
      <c r="D10" s="643"/>
      <c r="E10" s="643"/>
      <c r="F10" s="643">
        <v>1</v>
      </c>
      <c r="G10" s="643"/>
      <c r="H10" s="643"/>
      <c r="I10" s="579">
        <f t="shared" si="0"/>
        <v>1</v>
      </c>
      <c r="J10" s="644">
        <v>129.57</v>
      </c>
      <c r="K10" s="22"/>
    </row>
    <row r="11" spans="1:12" s="582" customFormat="1" ht="15" customHeight="1">
      <c r="A11" s="642" t="s">
        <v>784</v>
      </c>
      <c r="B11" s="643"/>
      <c r="C11" s="643"/>
      <c r="D11" s="643"/>
      <c r="E11" s="643"/>
      <c r="F11" s="643"/>
      <c r="G11" s="643">
        <v>2</v>
      </c>
      <c r="H11" s="643"/>
      <c r="I11" s="579">
        <f t="shared" si="0"/>
        <v>2</v>
      </c>
      <c r="J11" s="644">
        <v>43.42</v>
      </c>
      <c r="K11" s="22"/>
    </row>
    <row r="12" spans="1:12" s="582" customFormat="1" ht="15" customHeight="1">
      <c r="A12" s="642" t="s">
        <v>478</v>
      </c>
      <c r="B12" s="643"/>
      <c r="C12" s="643"/>
      <c r="D12" s="643"/>
      <c r="E12" s="643"/>
      <c r="F12" s="643">
        <v>2</v>
      </c>
      <c r="G12" s="643"/>
      <c r="H12" s="643"/>
      <c r="I12" s="579">
        <f t="shared" si="0"/>
        <v>2</v>
      </c>
      <c r="J12" s="644">
        <v>11.11</v>
      </c>
      <c r="K12" s="22"/>
    </row>
    <row r="13" spans="1:12" ht="14.25" customHeight="1">
      <c r="A13" s="576" t="s">
        <v>197</v>
      </c>
      <c r="B13" s="571">
        <f t="shared" ref="B13:H13" si="1">+SUM(B7:B12)</f>
        <v>20</v>
      </c>
      <c r="C13" s="571">
        <f t="shared" si="1"/>
        <v>5</v>
      </c>
      <c r="D13" s="571">
        <f t="shared" si="1"/>
        <v>2</v>
      </c>
      <c r="E13" s="571">
        <f t="shared" si="1"/>
        <v>0</v>
      </c>
      <c r="F13" s="571">
        <f t="shared" si="1"/>
        <v>13</v>
      </c>
      <c r="G13" s="571">
        <f t="shared" si="1"/>
        <v>2</v>
      </c>
      <c r="H13" s="571">
        <f t="shared" si="1"/>
        <v>0</v>
      </c>
      <c r="I13" s="571">
        <f>SUM(I7:I12)</f>
        <v>42</v>
      </c>
      <c r="J13" s="572">
        <f>SUM(J7:J12)</f>
        <v>464.40000000000003</v>
      </c>
      <c r="K13" s="22"/>
    </row>
    <row r="14" spans="1:12" ht="11.25" customHeight="1">
      <c r="A14" s="90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2021</v>
      </c>
      <c r="B14" s="902"/>
      <c r="C14" s="902"/>
      <c r="D14" s="902"/>
      <c r="E14" s="902"/>
      <c r="F14" s="902"/>
      <c r="G14" s="902"/>
      <c r="H14" s="902"/>
      <c r="I14" s="902"/>
      <c r="J14" s="902"/>
      <c r="K14" s="22"/>
    </row>
    <row r="15" spans="1:12" ht="11.25" customHeight="1">
      <c r="K15" s="22"/>
    </row>
    <row r="16" spans="1:12" ht="11.25" customHeight="1">
      <c r="A16" s="17"/>
      <c r="B16" s="215"/>
      <c r="C16" s="214"/>
      <c r="D16" s="214"/>
      <c r="E16" s="214"/>
      <c r="F16" s="214"/>
      <c r="G16" s="178"/>
      <c r="H16" s="178"/>
      <c r="I16" s="138"/>
      <c r="J16" s="25"/>
      <c r="K16" s="25"/>
      <c r="L16" s="22"/>
    </row>
    <row r="17" spans="1:12" ht="11.25" customHeight="1">
      <c r="A17" s="895" t="str">
        <f>"FALLAS  POR TIPO DE CAUSA  -  "&amp;UPPER('1. Resumen'!Q4)&amp;" "&amp;'1. Resumen'!Q5</f>
        <v>FALLAS  POR TIPO DE CAUSA  -  MARZO 2021</v>
      </c>
      <c r="B17" s="895"/>
      <c r="C17" s="895"/>
      <c r="D17" s="895"/>
      <c r="E17" s="895" t="str">
        <f>"FALLAS  POR TIPO DE EQUIPO  -  "&amp;UPPER('1. Resumen'!Q4)&amp;" "&amp;'1. Resumen'!Q5</f>
        <v>FALLAS  POR TIPO DE EQUIPO  -  MARZO 2021</v>
      </c>
      <c r="F17" s="895"/>
      <c r="G17" s="895"/>
      <c r="H17" s="895"/>
      <c r="I17" s="895"/>
      <c r="J17" s="895"/>
      <c r="K17" s="25"/>
      <c r="L17" s="22"/>
    </row>
    <row r="18" spans="1:12" ht="11.25" customHeight="1">
      <c r="A18" s="17"/>
      <c r="E18" s="214"/>
      <c r="F18" s="214"/>
      <c r="G18" s="178"/>
      <c r="H18" s="178"/>
      <c r="I18" s="138"/>
      <c r="J18" s="111"/>
      <c r="K18" s="111"/>
      <c r="L18" s="22"/>
    </row>
    <row r="19" spans="1:12" ht="11.25" customHeight="1">
      <c r="A19" s="17"/>
      <c r="B19" s="215"/>
      <c r="C19" s="214"/>
      <c r="D19" s="214"/>
      <c r="E19" s="214"/>
      <c r="F19" s="214"/>
      <c r="G19" s="178"/>
      <c r="H19" s="178"/>
      <c r="I19" s="138"/>
      <c r="J19" s="111"/>
      <c r="K19" s="111"/>
      <c r="L19" s="30"/>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30"/>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11.25" customHeight="1">
      <c r="A34" s="17"/>
      <c r="B34" s="215"/>
      <c r="C34" s="214"/>
      <c r="D34" s="214"/>
      <c r="E34" s="214"/>
      <c r="F34" s="214"/>
      <c r="G34" s="178"/>
      <c r="H34" s="178"/>
      <c r="I34" s="138"/>
      <c r="J34" s="111"/>
      <c r="K34" s="111"/>
      <c r="L34" s="22"/>
    </row>
    <row r="35" spans="1:12" ht="23.25" customHeight="1">
      <c r="A35" s="894" t="s">
        <v>404</v>
      </c>
      <c r="B35" s="894"/>
      <c r="C35" s="894"/>
      <c r="D35" s="268"/>
      <c r="E35" s="897" t="s">
        <v>405</v>
      </c>
      <c r="F35" s="897"/>
      <c r="G35" s="897"/>
      <c r="H35" s="897"/>
      <c r="I35" s="897"/>
      <c r="J35" s="897"/>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6"/>
    </row>
    <row r="38" spans="1:12" ht="11.25" customHeight="1">
      <c r="A38" s="896" t="str">
        <f>"ENERGÍA INTERRUMPIDA APROXIMADA POR TIPO DE EQUIPO (MWh)  -  "&amp;UPPER('1. Resumen'!Q4)&amp;" "&amp;'1. Resumen'!Q5</f>
        <v>ENERGÍA INTERRUMPIDA APROXIMADA POR TIPO DE EQUIPO (MWh)  -  MARZO 2021</v>
      </c>
      <c r="B38" s="896"/>
      <c r="C38" s="896"/>
      <c r="D38" s="896"/>
      <c r="E38" s="896"/>
      <c r="F38" s="896"/>
      <c r="G38" s="896"/>
      <c r="H38" s="896"/>
      <c r="I38" s="896"/>
      <c r="J38" s="896"/>
      <c r="K38" s="25"/>
      <c r="L38" s="216"/>
    </row>
    <row r="39" spans="1:12" ht="11.25" customHeight="1">
      <c r="A39" s="17"/>
      <c r="B39" s="132"/>
      <c r="C39" s="132"/>
      <c r="D39" s="132"/>
      <c r="E39" s="132"/>
      <c r="F39" s="132"/>
      <c r="G39" s="25"/>
      <c r="H39" s="25"/>
      <c r="I39" s="25"/>
      <c r="J39" s="25"/>
      <c r="K39" s="25"/>
      <c r="L39" s="216"/>
    </row>
    <row r="40" spans="1:12" ht="11.25" customHeight="1">
      <c r="A40" s="17"/>
      <c r="B40" s="132"/>
      <c r="C40" s="25"/>
      <c r="D40" s="25"/>
      <c r="E40" s="25"/>
      <c r="F40" s="25"/>
      <c r="G40" s="25"/>
      <c r="H40" s="25"/>
      <c r="I40" s="25"/>
      <c r="J40" s="25"/>
      <c r="K40" s="25"/>
      <c r="L40" s="216"/>
    </row>
    <row r="41" spans="1:12" ht="11.25" customHeight="1">
      <c r="A41" s="17"/>
      <c r="B41" s="132"/>
      <c r="C41" s="25"/>
      <c r="D41" s="25"/>
      <c r="E41" s="25"/>
      <c r="F41" s="25"/>
      <c r="G41" s="25"/>
      <c r="H41" s="25"/>
    </row>
    <row r="42" spans="1:12" ht="13.2">
      <c r="A42" s="17"/>
      <c r="B42" s="132"/>
      <c r="J42" s="25"/>
      <c r="K42" s="25"/>
      <c r="L42" s="216"/>
    </row>
    <row r="43" spans="1:12" ht="13.2">
      <c r="A43" s="17"/>
      <c r="B43" s="132"/>
      <c r="C43" s="132"/>
      <c r="D43" s="132"/>
      <c r="E43" s="132"/>
      <c r="F43" s="132"/>
      <c r="G43" s="25"/>
      <c r="H43" s="25"/>
      <c r="I43" s="25"/>
      <c r="J43" s="25"/>
      <c r="K43" s="25"/>
      <c r="L43" s="216"/>
    </row>
    <row r="44" spans="1:12" ht="3" customHeight="1">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7"/>
      <c r="B46" s="132"/>
      <c r="C46" s="132"/>
      <c r="D46" s="132"/>
      <c r="E46" s="132"/>
      <c r="F46" s="132"/>
      <c r="G46" s="25"/>
      <c r="H46" s="25"/>
      <c r="I46" s="25"/>
      <c r="J46" s="25"/>
      <c r="K46" s="25"/>
      <c r="L46" s="216"/>
    </row>
    <row r="47" spans="1:12" ht="13.2">
      <c r="A47" s="17"/>
      <c r="B47" s="132"/>
      <c r="C47" s="132"/>
      <c r="D47" s="132"/>
      <c r="E47" s="132"/>
      <c r="F47" s="132"/>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13.2">
      <c r="A51" s="163"/>
      <c r="B51" s="25"/>
      <c r="C51" s="25"/>
      <c r="D51" s="25"/>
      <c r="E51" s="25"/>
      <c r="F51" s="25"/>
      <c r="G51" s="25"/>
      <c r="H51" s="25"/>
      <c r="I51" s="25"/>
      <c r="J51" s="25"/>
      <c r="K51" s="25"/>
      <c r="L51" s="216"/>
    </row>
    <row r="52" spans="1:12" ht="13.2">
      <c r="A52" s="163"/>
      <c r="B52" s="25"/>
      <c r="C52" s="25"/>
      <c r="D52" s="25"/>
      <c r="E52" s="25"/>
      <c r="F52" s="25"/>
      <c r="G52" s="25"/>
      <c r="H52" s="25"/>
      <c r="I52" s="25"/>
      <c r="J52" s="25"/>
      <c r="K52" s="25"/>
      <c r="L52" s="216"/>
    </row>
    <row r="53" spans="1:12" ht="9" customHeight="1">
      <c r="A53" s="163"/>
      <c r="B53" s="25"/>
      <c r="C53" s="25"/>
      <c r="D53" s="25"/>
      <c r="E53" s="25"/>
      <c r="F53" s="25"/>
      <c r="G53" s="25"/>
      <c r="H53" s="25"/>
      <c r="I53" s="25"/>
      <c r="J53" s="25"/>
      <c r="K53" s="25"/>
      <c r="L53" s="216"/>
    </row>
    <row r="54" spans="1:12">
      <c r="A54" s="268" t="str">
        <f>"Gráfico N°26: Comparación de la energía interrumpida aproximada por tipo de equipo en "&amp;'1. Resumen'!Q4&amp;" "&amp;'1. Resumen'!Q5</f>
        <v>Gráfico N°26: Comparación de la energía interrumpida aproximada por tipo de equipo en marzo 2021</v>
      </c>
      <c r="B54" s="25"/>
      <c r="C54" s="25"/>
      <c r="D54" s="25"/>
      <c r="E54" s="25"/>
      <c r="F54" s="25"/>
      <c r="G54" s="25"/>
      <c r="H54" s="25"/>
      <c r="I54" s="25"/>
      <c r="J54" s="25"/>
      <c r="K54" s="25"/>
      <c r="L54" s="216"/>
    </row>
    <row r="55" spans="1:12" ht="5.25" customHeight="1">
      <c r="B55" s="25"/>
      <c r="C55" s="25"/>
      <c r="D55" s="25"/>
      <c r="E55" s="25"/>
      <c r="F55" s="25"/>
      <c r="G55" s="25"/>
      <c r="H55" s="25"/>
      <c r="I55" s="25"/>
      <c r="J55" s="25"/>
      <c r="K55" s="25"/>
      <c r="L55" s="216"/>
    </row>
    <row r="56" spans="1:12" ht="24" customHeight="1">
      <c r="A56" s="903" t="s">
        <v>207</v>
      </c>
      <c r="B56" s="903"/>
      <c r="C56" s="903"/>
      <c r="D56" s="903"/>
      <c r="E56" s="903"/>
      <c r="F56" s="903"/>
      <c r="G56" s="903"/>
      <c r="H56" s="903"/>
      <c r="I56" s="903"/>
      <c r="J56" s="903"/>
      <c r="K56" s="25"/>
      <c r="L56" s="216"/>
    </row>
    <row r="57" spans="1:12" ht="11.25" customHeight="1">
      <c r="A57" s="893" t="s">
        <v>208</v>
      </c>
      <c r="B57" s="893"/>
      <c r="C57" s="893"/>
      <c r="D57" s="893"/>
      <c r="E57" s="893"/>
      <c r="F57" s="893"/>
      <c r="G57" s="893"/>
      <c r="H57" s="893"/>
      <c r="I57" s="893"/>
      <c r="J57" s="893"/>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C66" s="25"/>
      <c r="D66" s="25"/>
      <c r="E66" s="25"/>
      <c r="F66" s="25"/>
      <c r="G66" s="25"/>
      <c r="H66" s="25"/>
      <c r="I66" s="25"/>
      <c r="J66" s="25"/>
      <c r="K66" s="25"/>
      <c r="L66" s="216"/>
    </row>
    <row r="67" spans="1:12" ht="13.2">
      <c r="A67" s="163"/>
      <c r="B67" s="25"/>
      <c r="C67" s="25"/>
      <c r="D67" s="25"/>
      <c r="E67" s="25"/>
      <c r="F67" s="25"/>
      <c r="G67" s="25"/>
      <c r="H67" s="25"/>
      <c r="I67" s="25"/>
      <c r="J67" s="25"/>
      <c r="K67" s="25"/>
      <c r="L67" s="216"/>
    </row>
    <row r="68" spans="1:12" ht="13.2">
      <c r="A68" s="163"/>
      <c r="B68" s="25"/>
      <c r="J68" s="25"/>
      <c r="K68" s="25"/>
      <c r="L68" s="216"/>
    </row>
    <row r="69" spans="1:12" ht="13.2">
      <c r="A69" s="163"/>
      <c r="B69" s="25"/>
      <c r="J69" s="25"/>
      <c r="K69" s="25"/>
      <c r="L69" s="216"/>
    </row>
    <row r="70" spans="1:12" ht="13.2">
      <c r="A70" s="163"/>
      <c r="B70" s="25"/>
      <c r="J70" s="25"/>
      <c r="K70" s="25"/>
      <c r="L70" s="216"/>
    </row>
    <row r="71" spans="1:12" ht="13.2">
      <c r="A71" s="163"/>
      <c r="B71" s="25"/>
      <c r="J71" s="25"/>
      <c r="K71" s="25"/>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row r="251" spans="2:12">
      <c r="B251" s="216"/>
      <c r="C251" s="216"/>
      <c r="D251" s="216"/>
      <c r="E251" s="216"/>
      <c r="F251" s="216"/>
      <c r="G251" s="216"/>
      <c r="H251" s="216"/>
      <c r="I251" s="216"/>
      <c r="J251" s="216"/>
      <c r="K251" s="216"/>
      <c r="L251" s="216"/>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O61" sqref="O61"/>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08" t="s">
        <v>0</v>
      </c>
      <c r="B3" s="808"/>
      <c r="C3" s="808"/>
      <c r="D3" s="808"/>
      <c r="E3" s="808"/>
      <c r="F3" s="808"/>
      <c r="G3" s="808"/>
      <c r="H3" s="808"/>
      <c r="I3" s="808"/>
      <c r="J3" s="808"/>
      <c r="K3" s="808"/>
      <c r="L3" s="808"/>
    </row>
    <row r="4" spans="1:12">
      <c r="A4" s="808"/>
      <c r="B4" s="808"/>
      <c r="C4" s="808"/>
      <c r="D4" s="808"/>
      <c r="E4" s="808"/>
      <c r="F4" s="808"/>
      <c r="G4" s="808"/>
      <c r="H4" s="808"/>
      <c r="I4" s="808"/>
      <c r="J4" s="808"/>
      <c r="K4" s="808"/>
      <c r="L4" s="808"/>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603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575</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Marzo 2021
INFSGI-MES-03-2021
13/04/2021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zoomScale="130" zoomScaleNormal="100" zoomScaleSheetLayoutView="130" zoomScalePageLayoutView="140" workbookViewId="0">
      <selection activeCell="O61" sqref="O61"/>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04" t="s">
        <v>248</v>
      </c>
      <c r="B2" s="907" t="s">
        <v>54</v>
      </c>
      <c r="C2" s="910" t="str">
        <f>"ENERGÍA PRODUCIDA "&amp;UPPER('1. Resumen'!Q4)&amp;" "&amp;'1. Resumen'!Q5</f>
        <v>ENERGÍA PRODUCIDA MARZO 2021</v>
      </c>
      <c r="D2" s="910"/>
      <c r="E2" s="910"/>
      <c r="F2" s="910"/>
      <c r="G2" s="521" t="s">
        <v>274</v>
      </c>
      <c r="H2" s="203"/>
    </row>
    <row r="3" spans="1:8" ht="11.25" customHeight="1">
      <c r="A3" s="905"/>
      <c r="B3" s="908"/>
      <c r="C3" s="911" t="s">
        <v>275</v>
      </c>
      <c r="D3" s="911"/>
      <c r="E3" s="911"/>
      <c r="F3" s="912" t="str">
        <f>"TOTAL 
"&amp;UPPER('1. Resumen'!Q4)</f>
        <v>TOTAL 
MARZO</v>
      </c>
      <c r="G3" s="522" t="s">
        <v>276</v>
      </c>
      <c r="H3" s="194"/>
    </row>
    <row r="4" spans="1:8" ht="12.75" customHeight="1">
      <c r="A4" s="905"/>
      <c r="B4" s="908"/>
      <c r="C4" s="513" t="s">
        <v>213</v>
      </c>
      <c r="D4" s="513" t="s">
        <v>214</v>
      </c>
      <c r="E4" s="513" t="s">
        <v>277</v>
      </c>
      <c r="F4" s="913"/>
      <c r="G4" s="522">
        <v>2021</v>
      </c>
      <c r="H4" s="196"/>
    </row>
    <row r="5" spans="1:8" ht="11.25" customHeight="1">
      <c r="A5" s="906"/>
      <c r="B5" s="909"/>
      <c r="C5" s="514" t="s">
        <v>278</v>
      </c>
      <c r="D5" s="514" t="s">
        <v>278</v>
      </c>
      <c r="E5" s="514" t="s">
        <v>278</v>
      </c>
      <c r="F5" s="514" t="s">
        <v>278</v>
      </c>
      <c r="G5" s="523" t="s">
        <v>206</v>
      </c>
      <c r="H5" s="196"/>
    </row>
    <row r="6" spans="1:8" ht="9.75" customHeight="1">
      <c r="A6" s="563" t="s">
        <v>119</v>
      </c>
      <c r="B6" s="341" t="s">
        <v>86</v>
      </c>
      <c r="C6" s="342"/>
      <c r="D6" s="342"/>
      <c r="E6" s="342">
        <v>0</v>
      </c>
      <c r="F6" s="342">
        <v>0</v>
      </c>
      <c r="G6" s="562">
        <v>94.973550000000003</v>
      </c>
      <c r="H6" s="196"/>
    </row>
    <row r="7" spans="1:8" ht="9.75" customHeight="1">
      <c r="A7" s="558" t="s">
        <v>499</v>
      </c>
      <c r="B7" s="409"/>
      <c r="C7" s="410"/>
      <c r="D7" s="410"/>
      <c r="E7" s="410">
        <v>0</v>
      </c>
      <c r="F7" s="410">
        <v>0</v>
      </c>
      <c r="G7" s="560">
        <v>94.973550000000003</v>
      </c>
      <c r="H7" s="196"/>
    </row>
    <row r="8" spans="1:8" ht="9.75" customHeight="1">
      <c r="A8" s="563" t="s">
        <v>118</v>
      </c>
      <c r="B8" s="341" t="s">
        <v>63</v>
      </c>
      <c r="C8" s="342"/>
      <c r="D8" s="342"/>
      <c r="E8" s="342">
        <v>14558.775150000001</v>
      </c>
      <c r="F8" s="342">
        <v>14558.775150000001</v>
      </c>
      <c r="G8" s="562">
        <v>40489.516097500004</v>
      </c>
      <c r="H8" s="196"/>
    </row>
    <row r="9" spans="1:8" ht="9.75" customHeight="1">
      <c r="A9" s="558" t="s">
        <v>500</v>
      </c>
      <c r="B9" s="409"/>
      <c r="C9" s="410"/>
      <c r="D9" s="410"/>
      <c r="E9" s="410">
        <v>14558.775150000001</v>
      </c>
      <c r="F9" s="410">
        <v>14558.775150000001</v>
      </c>
      <c r="G9" s="560">
        <v>40489.516097500004</v>
      </c>
      <c r="H9" s="196"/>
    </row>
    <row r="10" spans="1:8" ht="9.75" customHeight="1">
      <c r="A10" s="557" t="s">
        <v>106</v>
      </c>
      <c r="B10" s="516" t="s">
        <v>83</v>
      </c>
      <c r="C10" s="517"/>
      <c r="D10" s="517"/>
      <c r="E10" s="517">
        <v>9553.8229499999998</v>
      </c>
      <c r="F10" s="517">
        <v>9553.8229499999998</v>
      </c>
      <c r="G10" s="559">
        <v>26984.49037</v>
      </c>
      <c r="H10" s="196"/>
    </row>
    <row r="11" spans="1:8" ht="9.75" customHeight="1">
      <c r="A11" s="558" t="s">
        <v>501</v>
      </c>
      <c r="B11" s="409"/>
      <c r="C11" s="410"/>
      <c r="D11" s="410"/>
      <c r="E11" s="410">
        <v>9553.8229499999998</v>
      </c>
      <c r="F11" s="410">
        <v>9553.8229499999998</v>
      </c>
      <c r="G11" s="560">
        <v>26984.49037</v>
      </c>
      <c r="H11" s="196"/>
    </row>
    <row r="12" spans="1:8" ht="9.75" customHeight="1">
      <c r="A12" s="557" t="s">
        <v>415</v>
      </c>
      <c r="B12" s="516" t="s">
        <v>417</v>
      </c>
      <c r="C12" s="517"/>
      <c r="D12" s="517"/>
      <c r="E12" s="517">
        <v>12976.1941475</v>
      </c>
      <c r="F12" s="517">
        <v>12976.1941475</v>
      </c>
      <c r="G12" s="559">
        <v>35581.095412499999</v>
      </c>
      <c r="H12" s="196"/>
    </row>
    <row r="13" spans="1:8" ht="9.75" customHeight="1">
      <c r="A13" s="558" t="s">
        <v>502</v>
      </c>
      <c r="B13" s="409"/>
      <c r="C13" s="410"/>
      <c r="D13" s="410"/>
      <c r="E13" s="410">
        <v>12976.1941475</v>
      </c>
      <c r="F13" s="410">
        <v>12976.1941475</v>
      </c>
      <c r="G13" s="560">
        <v>35581.095412499999</v>
      </c>
      <c r="H13" s="196"/>
    </row>
    <row r="14" spans="1:8" s="582" customFormat="1" ht="9.75" customHeight="1">
      <c r="A14" s="557" t="s">
        <v>561</v>
      </c>
      <c r="B14" s="516" t="s">
        <v>75</v>
      </c>
      <c r="C14" s="517"/>
      <c r="D14" s="517"/>
      <c r="E14" s="517">
        <v>417.44592999999998</v>
      </c>
      <c r="F14" s="517">
        <v>417.44592999999998</v>
      </c>
      <c r="G14" s="559">
        <v>866.13075249999997</v>
      </c>
      <c r="H14" s="196"/>
    </row>
    <row r="15" spans="1:8" s="582" customFormat="1" ht="13.5" customHeight="1">
      <c r="A15" s="558" t="s">
        <v>565</v>
      </c>
      <c r="B15" s="409"/>
      <c r="C15" s="410"/>
      <c r="D15" s="410"/>
      <c r="E15" s="410">
        <v>417.44592999999998</v>
      </c>
      <c r="F15" s="410">
        <v>417.44592999999998</v>
      </c>
      <c r="G15" s="560">
        <v>866.13075249999997</v>
      </c>
      <c r="H15" s="196"/>
    </row>
    <row r="16" spans="1:8" ht="9.75" customHeight="1">
      <c r="A16" s="557" t="s">
        <v>448</v>
      </c>
      <c r="B16" s="516" t="s">
        <v>455</v>
      </c>
      <c r="C16" s="517"/>
      <c r="D16" s="517"/>
      <c r="E16" s="517">
        <v>2196.4843774999999</v>
      </c>
      <c r="F16" s="517">
        <v>2196.4843774999999</v>
      </c>
      <c r="G16" s="559">
        <v>13596.507837499999</v>
      </c>
      <c r="H16" s="196"/>
    </row>
    <row r="17" spans="1:8" ht="9.75" customHeight="1">
      <c r="A17" s="558" t="s">
        <v>503</v>
      </c>
      <c r="B17" s="409"/>
      <c r="C17" s="410"/>
      <c r="D17" s="410"/>
      <c r="E17" s="410">
        <v>2196.4843774999999</v>
      </c>
      <c r="F17" s="410">
        <v>2196.4843774999999</v>
      </c>
      <c r="G17" s="560">
        <v>13596.507837499999</v>
      </c>
      <c r="H17" s="196"/>
    </row>
    <row r="18" spans="1:8" ht="10.5" customHeight="1">
      <c r="A18" s="557" t="s">
        <v>94</v>
      </c>
      <c r="B18" s="516" t="s">
        <v>279</v>
      </c>
      <c r="C18" s="517">
        <v>127484.13154999999</v>
      </c>
      <c r="D18" s="517"/>
      <c r="E18" s="517"/>
      <c r="F18" s="517">
        <v>127484.13154999999</v>
      </c>
      <c r="G18" s="559">
        <v>391938.1639625</v>
      </c>
      <c r="H18" s="196"/>
    </row>
    <row r="19" spans="1:8" ht="10.5" customHeight="1">
      <c r="A19" s="558" t="s">
        <v>504</v>
      </c>
      <c r="B19" s="409"/>
      <c r="C19" s="410">
        <v>127484.13154999999</v>
      </c>
      <c r="D19" s="410"/>
      <c r="E19" s="410"/>
      <c r="F19" s="410">
        <v>127484.13154999999</v>
      </c>
      <c r="G19" s="560">
        <v>391938.1639625</v>
      </c>
      <c r="H19" s="196"/>
    </row>
    <row r="20" spans="1:8" ht="9.75" customHeight="1">
      <c r="A20" s="557" t="s">
        <v>564</v>
      </c>
      <c r="B20" s="516" t="s">
        <v>321</v>
      </c>
      <c r="C20" s="517">
        <v>13567.987057499999</v>
      </c>
      <c r="D20" s="517"/>
      <c r="E20" s="517"/>
      <c r="F20" s="517">
        <v>13567.987057499999</v>
      </c>
      <c r="G20" s="559">
        <v>39424.531004999997</v>
      </c>
      <c r="H20" s="196"/>
    </row>
    <row r="21" spans="1:8" ht="9.75" customHeight="1">
      <c r="A21" s="558" t="s">
        <v>566</v>
      </c>
      <c r="B21" s="409"/>
      <c r="C21" s="410">
        <v>13567.987057499999</v>
      </c>
      <c r="D21" s="410"/>
      <c r="E21" s="410"/>
      <c r="F21" s="410">
        <v>13567.987057499999</v>
      </c>
      <c r="G21" s="560">
        <v>39424.531004999997</v>
      </c>
      <c r="H21" s="196"/>
    </row>
    <row r="22" spans="1:8" ht="9.75" customHeight="1">
      <c r="A22" s="557" t="s">
        <v>234</v>
      </c>
      <c r="B22" s="516" t="s">
        <v>280</v>
      </c>
      <c r="C22" s="517"/>
      <c r="D22" s="517">
        <v>1.5E-5</v>
      </c>
      <c r="E22" s="517"/>
      <c r="F22" s="517">
        <v>1.5E-5</v>
      </c>
      <c r="G22" s="559">
        <v>767.16629749999993</v>
      </c>
      <c r="H22" s="196"/>
    </row>
    <row r="23" spans="1:8" ht="9.75" customHeight="1">
      <c r="A23" s="558" t="s">
        <v>505</v>
      </c>
      <c r="B23" s="409"/>
      <c r="C23" s="410"/>
      <c r="D23" s="410">
        <v>1.5E-5</v>
      </c>
      <c r="E23" s="410"/>
      <c r="F23" s="410">
        <v>1.5E-5</v>
      </c>
      <c r="G23" s="560">
        <v>767.16629749999993</v>
      </c>
      <c r="H23" s="196"/>
    </row>
    <row r="24" spans="1:8" ht="9.75" customHeight="1">
      <c r="A24" s="557" t="s">
        <v>93</v>
      </c>
      <c r="B24" s="516" t="s">
        <v>281</v>
      </c>
      <c r="C24" s="517">
        <v>98942.122607500001</v>
      </c>
      <c r="D24" s="517"/>
      <c r="E24" s="517"/>
      <c r="F24" s="517">
        <v>98942.122607500001</v>
      </c>
      <c r="G24" s="559">
        <v>291369.36573999998</v>
      </c>
      <c r="H24" s="196"/>
    </row>
    <row r="25" spans="1:8" ht="9.75" customHeight="1">
      <c r="A25" s="557"/>
      <c r="B25" s="516" t="s">
        <v>282</v>
      </c>
      <c r="C25" s="517">
        <v>28347.663552499998</v>
      </c>
      <c r="D25" s="517"/>
      <c r="E25" s="517"/>
      <c r="F25" s="517">
        <v>28347.663552499998</v>
      </c>
      <c r="G25" s="559">
        <v>84110.859335000001</v>
      </c>
      <c r="H25" s="196"/>
    </row>
    <row r="26" spans="1:8" ht="9.75" customHeight="1">
      <c r="A26" s="558" t="s">
        <v>506</v>
      </c>
      <c r="B26" s="409"/>
      <c r="C26" s="410">
        <v>127289.78616</v>
      </c>
      <c r="D26" s="410"/>
      <c r="E26" s="410"/>
      <c r="F26" s="410">
        <v>127289.78616</v>
      </c>
      <c r="G26" s="560">
        <v>375480.22507499997</v>
      </c>
      <c r="H26" s="196"/>
    </row>
    <row r="27" spans="1:8" ht="9.75" customHeight="1">
      <c r="A27" s="557" t="s">
        <v>91</v>
      </c>
      <c r="B27" s="516" t="s">
        <v>283</v>
      </c>
      <c r="C27" s="517">
        <v>1179.050855</v>
      </c>
      <c r="D27" s="517"/>
      <c r="E27" s="517"/>
      <c r="F27" s="517">
        <v>1179.050855</v>
      </c>
      <c r="G27" s="559">
        <v>3509.9653399999997</v>
      </c>
      <c r="H27" s="196"/>
    </row>
    <row r="28" spans="1:8" ht="9.75" customHeight="1">
      <c r="A28" s="557"/>
      <c r="B28" s="516" t="s">
        <v>284</v>
      </c>
      <c r="C28" s="517">
        <v>416.14059500000002</v>
      </c>
      <c r="D28" s="517"/>
      <c r="E28" s="517"/>
      <c r="F28" s="517">
        <v>416.14059500000002</v>
      </c>
      <c r="G28" s="559">
        <v>1217.9927849999999</v>
      </c>
      <c r="H28" s="196"/>
    </row>
    <row r="29" spans="1:8" ht="9.75" customHeight="1">
      <c r="A29" s="557"/>
      <c r="B29" s="516" t="s">
        <v>285</v>
      </c>
      <c r="C29" s="517">
        <v>3412.1625199999999</v>
      </c>
      <c r="D29" s="517"/>
      <c r="E29" s="517"/>
      <c r="F29" s="517">
        <v>3412.1625199999999</v>
      </c>
      <c r="G29" s="559">
        <v>9886.0656275000001</v>
      </c>
      <c r="H29" s="196"/>
    </row>
    <row r="30" spans="1:8" ht="9.75" customHeight="1">
      <c r="A30" s="557"/>
      <c r="B30" s="516" t="s">
        <v>286</v>
      </c>
      <c r="C30" s="517">
        <v>8516.1474574999993</v>
      </c>
      <c r="D30" s="517"/>
      <c r="E30" s="517"/>
      <c r="F30" s="517">
        <v>8516.1474574999993</v>
      </c>
      <c r="G30" s="559">
        <v>28841.013147499998</v>
      </c>
      <c r="H30" s="196"/>
    </row>
    <row r="31" spans="1:8" ht="9.75" customHeight="1">
      <c r="A31" s="557"/>
      <c r="B31" s="516" t="s">
        <v>287</v>
      </c>
      <c r="C31" s="517">
        <v>59178.474852499996</v>
      </c>
      <c r="D31" s="517"/>
      <c r="E31" s="517"/>
      <c r="F31" s="517">
        <v>59178.474852499996</v>
      </c>
      <c r="G31" s="559">
        <v>199232.59855499998</v>
      </c>
      <c r="H31" s="196"/>
    </row>
    <row r="32" spans="1:8" ht="9.75" customHeight="1">
      <c r="A32" s="557"/>
      <c r="B32" s="516" t="s">
        <v>288</v>
      </c>
      <c r="C32" s="517">
        <v>4742.5634499999996</v>
      </c>
      <c r="D32" s="517"/>
      <c r="E32" s="517"/>
      <c r="F32" s="517">
        <v>4742.5634499999996</v>
      </c>
      <c r="G32" s="559">
        <v>16056.28601</v>
      </c>
      <c r="H32" s="196"/>
    </row>
    <row r="33" spans="1:8" ht="9.75" customHeight="1">
      <c r="A33" s="557"/>
      <c r="B33" s="516" t="s">
        <v>289</v>
      </c>
      <c r="C33" s="517"/>
      <c r="D33" s="517">
        <v>25.870294999999999</v>
      </c>
      <c r="E33" s="517"/>
      <c r="F33" s="517">
        <v>25.870294999999999</v>
      </c>
      <c r="G33" s="559">
        <v>31.963209999999997</v>
      </c>
      <c r="H33" s="196"/>
    </row>
    <row r="34" spans="1:8" ht="9.75" customHeight="1">
      <c r="A34" s="557"/>
      <c r="B34" s="516" t="s">
        <v>290</v>
      </c>
      <c r="C34" s="517"/>
      <c r="D34" s="517">
        <v>3.6601325</v>
      </c>
      <c r="E34" s="517"/>
      <c r="F34" s="517">
        <v>3.6601325</v>
      </c>
      <c r="G34" s="559">
        <v>6.6360224999999993</v>
      </c>
      <c r="H34" s="196"/>
    </row>
    <row r="35" spans="1:8" ht="9.75" customHeight="1">
      <c r="A35" s="557"/>
      <c r="B35" s="516" t="s">
        <v>291</v>
      </c>
      <c r="C35" s="517"/>
      <c r="D35" s="517">
        <v>0</v>
      </c>
      <c r="E35" s="517"/>
      <c r="F35" s="517">
        <v>0</v>
      </c>
      <c r="G35" s="559">
        <v>0</v>
      </c>
      <c r="H35" s="196"/>
    </row>
    <row r="36" spans="1:8" ht="9.75" customHeight="1">
      <c r="A36" s="558" t="s">
        <v>507</v>
      </c>
      <c r="B36" s="409"/>
      <c r="C36" s="410">
        <v>77444.539730000004</v>
      </c>
      <c r="D36" s="410">
        <v>29.530427499999998</v>
      </c>
      <c r="E36" s="410"/>
      <c r="F36" s="410">
        <v>77474.070157499998</v>
      </c>
      <c r="G36" s="560">
        <v>258782.52069749997</v>
      </c>
      <c r="H36" s="196"/>
    </row>
    <row r="37" spans="1:8" ht="9.75" customHeight="1">
      <c r="A37" s="557" t="s">
        <v>112</v>
      </c>
      <c r="B37" s="516" t="s">
        <v>70</v>
      </c>
      <c r="C37" s="517"/>
      <c r="D37" s="517"/>
      <c r="E37" s="517">
        <v>3359.3649599999999</v>
      </c>
      <c r="F37" s="517">
        <v>3359.3649599999999</v>
      </c>
      <c r="G37" s="559">
        <v>7531.632885</v>
      </c>
      <c r="H37" s="196"/>
    </row>
    <row r="38" spans="1:8" ht="9.75" customHeight="1">
      <c r="A38" s="558" t="s">
        <v>508</v>
      </c>
      <c r="B38" s="409"/>
      <c r="C38" s="410"/>
      <c r="D38" s="410"/>
      <c r="E38" s="410">
        <v>3359.3649599999999</v>
      </c>
      <c r="F38" s="410">
        <v>3359.3649599999999</v>
      </c>
      <c r="G38" s="560">
        <v>7531.632885</v>
      </c>
      <c r="H38" s="196"/>
    </row>
    <row r="39" spans="1:8" ht="9.75" customHeight="1">
      <c r="A39" s="557" t="s">
        <v>92</v>
      </c>
      <c r="B39" s="516" t="s">
        <v>292</v>
      </c>
      <c r="C39" s="517">
        <v>121287.59959249999</v>
      </c>
      <c r="D39" s="517"/>
      <c r="E39" s="517"/>
      <c r="F39" s="517">
        <v>121287.59959249999</v>
      </c>
      <c r="G39" s="559">
        <v>352556.31154000002</v>
      </c>
      <c r="H39" s="196"/>
    </row>
    <row r="40" spans="1:8" ht="9.75" customHeight="1">
      <c r="A40" s="558" t="s">
        <v>509</v>
      </c>
      <c r="B40" s="409"/>
      <c r="C40" s="410">
        <v>121287.59959249999</v>
      </c>
      <c r="D40" s="410"/>
      <c r="E40" s="410"/>
      <c r="F40" s="410">
        <v>121287.59959249999</v>
      </c>
      <c r="G40" s="560">
        <v>352556.31154000002</v>
      </c>
      <c r="H40" s="196"/>
    </row>
    <row r="41" spans="1:8" ht="10.95" customHeight="1">
      <c r="A41" s="557" t="s">
        <v>101</v>
      </c>
      <c r="B41" s="516" t="s">
        <v>293</v>
      </c>
      <c r="C41" s="517">
        <v>5301.7830000000004</v>
      </c>
      <c r="D41" s="517"/>
      <c r="E41" s="517"/>
      <c r="F41" s="517">
        <v>5301.7830000000004</v>
      </c>
      <c r="G41" s="559">
        <v>15369.494999999999</v>
      </c>
      <c r="H41" s="196"/>
    </row>
    <row r="42" spans="1:8" ht="12" customHeight="1">
      <c r="A42" s="557"/>
      <c r="B42" s="516" t="s">
        <v>294</v>
      </c>
      <c r="C42" s="517">
        <v>3710.5005000000001</v>
      </c>
      <c r="D42" s="517"/>
      <c r="E42" s="517"/>
      <c r="F42" s="517">
        <v>3710.5005000000001</v>
      </c>
      <c r="G42" s="559">
        <v>11086.102500000001</v>
      </c>
      <c r="H42" s="196"/>
    </row>
    <row r="43" spans="1:8" ht="9.75" customHeight="1">
      <c r="A43" s="557"/>
      <c r="B43" s="516" t="s">
        <v>295</v>
      </c>
      <c r="C43" s="517"/>
      <c r="D43" s="517">
        <v>3557.4397625000001</v>
      </c>
      <c r="E43" s="517"/>
      <c r="F43" s="517">
        <v>3557.4397625000001</v>
      </c>
      <c r="G43" s="559">
        <v>11170.521959999998</v>
      </c>
      <c r="H43" s="196"/>
    </row>
    <row r="44" spans="1:8" ht="9.75" customHeight="1">
      <c r="A44" s="558" t="s">
        <v>510</v>
      </c>
      <c r="B44" s="409"/>
      <c r="C44" s="410">
        <v>9012.2835000000014</v>
      </c>
      <c r="D44" s="410">
        <v>3557.4397625000001</v>
      </c>
      <c r="E44" s="410"/>
      <c r="F44" s="410">
        <v>12569.723262500002</v>
      </c>
      <c r="G44" s="560">
        <v>37626.119460000002</v>
      </c>
      <c r="H44" s="196"/>
    </row>
    <row r="45" spans="1:8" ht="9.75" customHeight="1">
      <c r="A45" s="557" t="s">
        <v>113</v>
      </c>
      <c r="B45" s="516" t="s">
        <v>73</v>
      </c>
      <c r="C45" s="517"/>
      <c r="D45" s="517"/>
      <c r="E45" s="517">
        <v>2646.3488349999998</v>
      </c>
      <c r="F45" s="517">
        <v>2646.3488349999998</v>
      </c>
      <c r="G45" s="559">
        <v>7677.2681425000001</v>
      </c>
      <c r="H45" s="196"/>
    </row>
    <row r="46" spans="1:8" ht="9.75" customHeight="1">
      <c r="A46" s="558" t="s">
        <v>511</v>
      </c>
      <c r="B46" s="409"/>
      <c r="C46" s="410"/>
      <c r="D46" s="410"/>
      <c r="E46" s="410">
        <v>2646.3488349999998</v>
      </c>
      <c r="F46" s="410">
        <v>2646.3488349999998</v>
      </c>
      <c r="G46" s="560">
        <v>7677.2681425000001</v>
      </c>
      <c r="H46" s="196"/>
    </row>
    <row r="47" spans="1:8" ht="9.75" customHeight="1">
      <c r="A47" s="557" t="s">
        <v>418</v>
      </c>
      <c r="B47" s="516" t="s">
        <v>420</v>
      </c>
      <c r="C47" s="517"/>
      <c r="D47" s="517"/>
      <c r="E47" s="517">
        <v>9338.89084</v>
      </c>
      <c r="F47" s="517">
        <v>9338.89084</v>
      </c>
      <c r="G47" s="559">
        <v>25575.949640000003</v>
      </c>
      <c r="H47" s="196"/>
    </row>
    <row r="48" spans="1:8" ht="9.75" customHeight="1">
      <c r="A48" s="558" t="s">
        <v>512</v>
      </c>
      <c r="B48" s="409"/>
      <c r="C48" s="410"/>
      <c r="D48" s="410"/>
      <c r="E48" s="410">
        <v>9338.89084</v>
      </c>
      <c r="F48" s="410">
        <v>9338.89084</v>
      </c>
      <c r="G48" s="560">
        <v>25575.949640000003</v>
      </c>
      <c r="H48" s="196"/>
    </row>
    <row r="49" spans="1:8" ht="9.75" customHeight="1">
      <c r="A49" s="557" t="s">
        <v>89</v>
      </c>
      <c r="B49" s="516" t="s">
        <v>296</v>
      </c>
      <c r="C49" s="517">
        <v>471625.59839999996</v>
      </c>
      <c r="D49" s="517"/>
      <c r="E49" s="517"/>
      <c r="F49" s="517">
        <v>471625.59839999996</v>
      </c>
      <c r="G49" s="559">
        <v>1375456.4051999999</v>
      </c>
      <c r="H49" s="196"/>
    </row>
    <row r="50" spans="1:8" ht="9.75" customHeight="1">
      <c r="A50" s="557"/>
      <c r="B50" s="516" t="s">
        <v>297</v>
      </c>
      <c r="C50" s="517">
        <v>153999.83039999998</v>
      </c>
      <c r="D50" s="517"/>
      <c r="E50" s="517"/>
      <c r="F50" s="517">
        <v>153999.83039999998</v>
      </c>
      <c r="G50" s="559">
        <v>444045.29375999991</v>
      </c>
      <c r="H50" s="196"/>
    </row>
    <row r="51" spans="1:8" ht="9.75" customHeight="1">
      <c r="A51" s="557"/>
      <c r="B51" s="516" t="s">
        <v>298</v>
      </c>
      <c r="C51" s="517"/>
      <c r="D51" s="517">
        <v>0</v>
      </c>
      <c r="E51" s="517"/>
      <c r="F51" s="517">
        <v>0</v>
      </c>
      <c r="G51" s="559">
        <v>0</v>
      </c>
      <c r="H51" s="196"/>
    </row>
    <row r="52" spans="1:8" ht="9.75" customHeight="1">
      <c r="A52" s="558" t="s">
        <v>513</v>
      </c>
      <c r="B52" s="409"/>
      <c r="C52" s="410">
        <v>625625.42879999988</v>
      </c>
      <c r="D52" s="410">
        <v>0</v>
      </c>
      <c r="E52" s="410"/>
      <c r="F52" s="410">
        <v>625625.42879999988</v>
      </c>
      <c r="G52" s="560">
        <v>1819501.6989599997</v>
      </c>
      <c r="H52" s="196"/>
    </row>
    <row r="53" spans="1:8" ht="9.75" customHeight="1">
      <c r="A53" s="557" t="s">
        <v>235</v>
      </c>
      <c r="B53" s="516" t="s">
        <v>299</v>
      </c>
      <c r="C53" s="517">
        <v>276969.62413250003</v>
      </c>
      <c r="D53" s="517"/>
      <c r="E53" s="517"/>
      <c r="F53" s="517">
        <v>276969.62413250003</v>
      </c>
      <c r="G53" s="559">
        <v>850695.00514749996</v>
      </c>
      <c r="H53" s="196"/>
    </row>
    <row r="54" spans="1:8" ht="9.75" customHeight="1">
      <c r="A54" s="557"/>
      <c r="B54" s="516" t="s">
        <v>300</v>
      </c>
      <c r="C54" s="517">
        <v>4691.6633400000001</v>
      </c>
      <c r="D54" s="517"/>
      <c r="E54" s="517"/>
      <c r="F54" s="517">
        <v>4691.6633400000001</v>
      </c>
      <c r="G54" s="559">
        <v>13550.296285</v>
      </c>
      <c r="H54" s="196"/>
    </row>
    <row r="55" spans="1:8" ht="9.75" customHeight="1">
      <c r="A55" s="558" t="s">
        <v>514</v>
      </c>
      <c r="B55" s="409"/>
      <c r="C55" s="410">
        <v>281661.28747250006</v>
      </c>
      <c r="D55" s="410"/>
      <c r="E55" s="410"/>
      <c r="F55" s="410">
        <v>281661.28747250006</v>
      </c>
      <c r="G55" s="560">
        <v>864245.30143250001</v>
      </c>
      <c r="H55" s="111"/>
    </row>
    <row r="56" spans="1:8">
      <c r="A56" s="557" t="s">
        <v>236</v>
      </c>
      <c r="B56" s="516" t="s">
        <v>301</v>
      </c>
      <c r="C56" s="517">
        <v>40450.577529999995</v>
      </c>
      <c r="D56" s="517"/>
      <c r="E56" s="517"/>
      <c r="F56" s="517">
        <v>40450.577529999995</v>
      </c>
      <c r="G56" s="559">
        <v>107915.3733025</v>
      </c>
      <c r="H56" s="111"/>
    </row>
    <row r="57" spans="1:8" ht="9.75" customHeight="1">
      <c r="A57" s="558" t="s">
        <v>515</v>
      </c>
      <c r="B57" s="409"/>
      <c r="C57" s="410">
        <v>40450.577529999995</v>
      </c>
      <c r="D57" s="410"/>
      <c r="E57" s="410"/>
      <c r="F57" s="410">
        <v>40450.577529999995</v>
      </c>
      <c r="G57" s="560">
        <v>107915.3733025</v>
      </c>
      <c r="H57" s="111"/>
    </row>
    <row r="58" spans="1:8" s="582" customFormat="1" ht="9.75" customHeight="1">
      <c r="A58" s="557" t="s">
        <v>562</v>
      </c>
      <c r="B58" s="516" t="s">
        <v>65</v>
      </c>
      <c r="C58" s="517"/>
      <c r="D58" s="517"/>
      <c r="E58" s="517">
        <v>6928.7397975000003</v>
      </c>
      <c r="F58" s="517">
        <v>6928.7397975000003</v>
      </c>
      <c r="G58" s="559">
        <v>19791.763177500001</v>
      </c>
      <c r="H58" s="111"/>
    </row>
    <row r="59" spans="1:8" s="582" customFormat="1" ht="9.75" customHeight="1">
      <c r="A59" s="557"/>
      <c r="B59" s="516" t="s">
        <v>64</v>
      </c>
      <c r="C59" s="517"/>
      <c r="D59" s="517"/>
      <c r="E59" s="517">
        <v>7148.3056200000001</v>
      </c>
      <c r="F59" s="517">
        <v>7148.3056200000001</v>
      </c>
      <c r="G59" s="559">
        <v>20469.0960925</v>
      </c>
      <c r="H59" s="111"/>
    </row>
    <row r="60" spans="1:8" s="582" customFormat="1" ht="9.75" customHeight="1">
      <c r="A60" s="557"/>
      <c r="B60" s="516" t="s">
        <v>60</v>
      </c>
      <c r="C60" s="517"/>
      <c r="D60" s="517"/>
      <c r="E60" s="517">
        <v>13800.057885</v>
      </c>
      <c r="F60" s="517">
        <v>13800.057885</v>
      </c>
      <c r="G60" s="559">
        <v>38781.401647500003</v>
      </c>
      <c r="H60" s="111"/>
    </row>
    <row r="61" spans="1:8" s="582" customFormat="1" ht="9.75" customHeight="1">
      <c r="A61" s="557"/>
      <c r="B61" s="516" t="s">
        <v>57</v>
      </c>
      <c r="C61" s="517"/>
      <c r="D61" s="517"/>
      <c r="E61" s="517">
        <v>14952.633835000001</v>
      </c>
      <c r="F61" s="517">
        <v>14952.633835000001</v>
      </c>
      <c r="G61" s="559">
        <v>43266.955547500002</v>
      </c>
      <c r="H61" s="111"/>
    </row>
    <row r="62" spans="1:8">
      <c r="A62" s="557"/>
      <c r="B62" s="516" t="s">
        <v>68</v>
      </c>
      <c r="C62" s="517"/>
      <c r="D62" s="517"/>
      <c r="E62" s="517">
        <v>4552.5688174999996</v>
      </c>
      <c r="F62" s="517">
        <v>4552.5688174999996</v>
      </c>
      <c r="G62" s="559">
        <v>13075.7907825</v>
      </c>
      <c r="H62" s="111"/>
    </row>
    <row r="63" spans="1:8" ht="9.75" customHeight="1">
      <c r="A63" s="557"/>
      <c r="B63" s="516" t="s">
        <v>67</v>
      </c>
      <c r="C63" s="517"/>
      <c r="D63" s="517"/>
      <c r="E63" s="517">
        <v>4835.3589124999999</v>
      </c>
      <c r="F63" s="517">
        <v>4835.3589124999999</v>
      </c>
      <c r="G63" s="559">
        <v>13784.1946575</v>
      </c>
      <c r="H63" s="111"/>
    </row>
    <row r="64" spans="1:8" ht="9.75" customHeight="1">
      <c r="A64" s="558" t="s">
        <v>563</v>
      </c>
      <c r="B64" s="409"/>
      <c r="C64" s="410"/>
      <c r="D64" s="410"/>
      <c r="E64" s="410">
        <v>52217.664867500003</v>
      </c>
      <c r="F64" s="410">
        <v>52217.664867500003</v>
      </c>
      <c r="G64" s="560">
        <v>149169.20190499999</v>
      </c>
      <c r="H64" s="197"/>
    </row>
    <row r="65" spans="1:8" ht="9.75" customHeight="1">
      <c r="A65" s="557" t="s">
        <v>88</v>
      </c>
      <c r="B65" s="516" t="s">
        <v>456</v>
      </c>
      <c r="C65" s="517">
        <v>56459.315189999994</v>
      </c>
      <c r="D65" s="517"/>
      <c r="E65" s="517"/>
      <c r="F65" s="517">
        <v>56459.315189999994</v>
      </c>
      <c r="G65" s="559">
        <v>163025.99629499999</v>
      </c>
      <c r="H65" s="197"/>
    </row>
    <row r="66" spans="1:8" ht="9.75" customHeight="1">
      <c r="A66" s="557"/>
      <c r="B66" s="516" t="s">
        <v>302</v>
      </c>
      <c r="C66" s="517">
        <v>18095.458590000002</v>
      </c>
      <c r="D66" s="517"/>
      <c r="E66" s="517"/>
      <c r="F66" s="517">
        <v>18095.458590000002</v>
      </c>
      <c r="G66" s="559">
        <v>50446.132947500002</v>
      </c>
      <c r="H66" s="197"/>
    </row>
    <row r="67" spans="1:8" ht="9.75" customHeight="1">
      <c r="A67" s="557"/>
      <c r="B67" s="516" t="s">
        <v>303</v>
      </c>
      <c r="C67" s="517">
        <v>148765.55677</v>
      </c>
      <c r="D67" s="517"/>
      <c r="E67" s="517"/>
      <c r="F67" s="517">
        <v>148765.55677</v>
      </c>
      <c r="G67" s="559">
        <v>412239.40827999997</v>
      </c>
      <c r="H67" s="197"/>
    </row>
    <row r="68" spans="1:8" ht="9.75" customHeight="1">
      <c r="A68" s="557"/>
      <c r="B68" s="516" t="s">
        <v>304</v>
      </c>
      <c r="C68" s="517">
        <v>95689.13161750001</v>
      </c>
      <c r="D68" s="517"/>
      <c r="E68" s="517"/>
      <c r="F68" s="517">
        <v>95689.13161750001</v>
      </c>
      <c r="G68" s="559">
        <v>267912.90069749998</v>
      </c>
      <c r="H68" s="197"/>
    </row>
    <row r="69" spans="1:8" ht="9.75" customHeight="1">
      <c r="A69" s="557"/>
      <c r="B69" s="516" t="s">
        <v>305</v>
      </c>
      <c r="C69" s="517">
        <v>44991.1444175</v>
      </c>
      <c r="D69" s="517"/>
      <c r="E69" s="517"/>
      <c r="F69" s="517">
        <v>44991.1444175</v>
      </c>
      <c r="G69" s="559">
        <v>132006.88160249998</v>
      </c>
      <c r="H69" s="197"/>
    </row>
    <row r="70" spans="1:8" ht="9.75" customHeight="1">
      <c r="A70" s="557"/>
      <c r="B70" s="516" t="s">
        <v>306</v>
      </c>
      <c r="C70" s="517"/>
      <c r="D70" s="517">
        <v>11046.587384999999</v>
      </c>
      <c r="E70" s="517"/>
      <c r="F70" s="517">
        <v>11046.587384999999</v>
      </c>
      <c r="G70" s="559">
        <v>30985.440069999997</v>
      </c>
    </row>
    <row r="71" spans="1:8" ht="9.75" customHeight="1">
      <c r="A71" s="557"/>
      <c r="B71" s="516" t="s">
        <v>307</v>
      </c>
      <c r="C71" s="517"/>
      <c r="D71" s="517">
        <v>28185.323292500001</v>
      </c>
      <c r="E71" s="517"/>
      <c r="F71" s="517">
        <v>28185.323292500001</v>
      </c>
      <c r="G71" s="559">
        <v>73581.608062500003</v>
      </c>
    </row>
    <row r="72" spans="1:8" ht="9.75" customHeight="1">
      <c r="A72" s="557"/>
      <c r="B72" s="516" t="s">
        <v>308</v>
      </c>
      <c r="C72" s="517"/>
      <c r="D72" s="517">
        <v>114703.61049750001</v>
      </c>
      <c r="E72" s="517"/>
      <c r="F72" s="517">
        <v>114703.61049750001</v>
      </c>
      <c r="G72" s="559">
        <v>480202.78041999997</v>
      </c>
    </row>
    <row r="73" spans="1:8" ht="9.75" customHeight="1">
      <c r="A73" s="557"/>
      <c r="B73" s="516" t="s">
        <v>413</v>
      </c>
      <c r="C73" s="517"/>
      <c r="D73" s="517"/>
      <c r="E73" s="517">
        <v>200.03406000000001</v>
      </c>
      <c r="F73" s="517">
        <v>200.03406000000001</v>
      </c>
      <c r="G73" s="559">
        <v>645.55327750000004</v>
      </c>
    </row>
    <row r="74" spans="1:8" ht="9.75" customHeight="1">
      <c r="A74" s="558" t="s">
        <v>516</v>
      </c>
      <c r="B74" s="409"/>
      <c r="C74" s="410">
        <v>364000.606585</v>
      </c>
      <c r="D74" s="410">
        <v>153935.521175</v>
      </c>
      <c r="E74" s="410">
        <v>200.03406000000001</v>
      </c>
      <c r="F74" s="410">
        <v>518136.16181999998</v>
      </c>
      <c r="G74" s="560">
        <v>1611046.7016524996</v>
      </c>
    </row>
    <row r="75" spans="1:8" ht="9.75" customHeight="1">
      <c r="A75" s="557" t="s">
        <v>96</v>
      </c>
      <c r="B75" s="516" t="s">
        <v>309</v>
      </c>
      <c r="C75" s="517"/>
      <c r="D75" s="517">
        <v>1612.8950649999999</v>
      </c>
      <c r="E75" s="517"/>
      <c r="F75" s="517">
        <v>1612.8950649999999</v>
      </c>
      <c r="G75" s="559">
        <v>3959.8023725000003</v>
      </c>
    </row>
    <row r="76" spans="1:8">
      <c r="A76" s="557"/>
      <c r="B76" s="516" t="s">
        <v>310</v>
      </c>
      <c r="C76" s="517"/>
      <c r="D76" s="517">
        <v>50390.21228</v>
      </c>
      <c r="E76" s="517"/>
      <c r="F76" s="517">
        <v>50390.21228</v>
      </c>
      <c r="G76" s="559">
        <v>149937.82100500001</v>
      </c>
    </row>
    <row r="77" spans="1:8" ht="9.75" customHeight="1">
      <c r="A77" s="557"/>
      <c r="B77" s="516" t="s">
        <v>311</v>
      </c>
      <c r="C77" s="517"/>
      <c r="D77" s="517">
        <v>0</v>
      </c>
      <c r="E77" s="517"/>
      <c r="F77" s="517">
        <v>0</v>
      </c>
      <c r="G77" s="559">
        <v>1397.3945524999999</v>
      </c>
    </row>
    <row r="78" spans="1:8" ht="9.75" customHeight="1">
      <c r="A78" s="558" t="s">
        <v>517</v>
      </c>
      <c r="B78" s="409"/>
      <c r="C78" s="410"/>
      <c r="D78" s="410">
        <v>52003.107344999997</v>
      </c>
      <c r="E78" s="410"/>
      <c r="F78" s="410">
        <v>52003.107344999997</v>
      </c>
      <c r="G78" s="560">
        <v>155295.01793</v>
      </c>
    </row>
    <row r="79" spans="1:8">
      <c r="A79" s="557" t="s">
        <v>98</v>
      </c>
      <c r="B79" s="516" t="s">
        <v>422</v>
      </c>
      <c r="C79" s="517"/>
      <c r="D79" s="517"/>
      <c r="E79" s="517">
        <v>34162.453659999999</v>
      </c>
      <c r="F79" s="517">
        <v>34162.453659999999</v>
      </c>
      <c r="G79" s="559">
        <v>110428.89842000001</v>
      </c>
    </row>
    <row r="80" spans="1:8" ht="9.75" customHeight="1">
      <c r="A80" s="557"/>
      <c r="B80" s="516" t="s">
        <v>421</v>
      </c>
      <c r="C80" s="517"/>
      <c r="D80" s="517"/>
      <c r="E80" s="517">
        <v>46866.008529999999</v>
      </c>
      <c r="F80" s="517">
        <v>46866.008529999999</v>
      </c>
      <c r="G80" s="559">
        <v>137063.2786125</v>
      </c>
    </row>
    <row r="81" spans="1:7" ht="9.75" customHeight="1">
      <c r="A81" s="558" t="s">
        <v>518</v>
      </c>
      <c r="B81" s="409"/>
      <c r="C81" s="410"/>
      <c r="D81" s="410"/>
      <c r="E81" s="410">
        <v>81028.462189999991</v>
      </c>
      <c r="F81" s="410">
        <v>81028.462189999991</v>
      </c>
      <c r="G81" s="560">
        <v>247492.17703250001</v>
      </c>
    </row>
    <row r="82" spans="1:7" ht="9.75" customHeight="1">
      <c r="A82" s="557"/>
      <c r="B82" s="516"/>
      <c r="C82" s="517"/>
      <c r="D82" s="517"/>
      <c r="E82" s="517"/>
      <c r="F82" s="517"/>
      <c r="G82" s="559"/>
    </row>
    <row r="83" spans="1:7" ht="9.75" customHeight="1">
      <c r="A83" s="301"/>
      <c r="B83" s="301"/>
      <c r="C83" s="301"/>
      <c r="D83" s="301"/>
      <c r="E83" s="301"/>
      <c r="F83" s="301"/>
      <c r="G83" s="301"/>
    </row>
    <row r="84" spans="1:7" ht="9.75" customHeight="1">
      <c r="A84" s="301"/>
      <c r="B84" s="301"/>
      <c r="C84" s="301"/>
      <c r="D84" s="301"/>
      <c r="E84" s="301"/>
      <c r="F84" s="301"/>
      <c r="G84" s="30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5" orientation="portrait" r:id="rId1"/>
  <headerFooter>
    <oddHeader>&amp;R&amp;7Informe de la Operación Mensual - Marzo 2021
INFSGI-MES-03-2021
13/04/2021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4"/>
  <sheetViews>
    <sheetView showGridLines="0" view="pageBreakPreview" zoomScaleNormal="100" zoomScaleSheetLayoutView="100" zoomScalePageLayoutView="130" workbookViewId="0">
      <selection activeCell="O61" sqref="O61"/>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4" t="s">
        <v>248</v>
      </c>
      <c r="B1" s="907" t="s">
        <v>54</v>
      </c>
      <c r="C1" s="910" t="str">
        <f>+'18. ANEXOI-1'!C2:F2</f>
        <v>ENERGÍA PRODUCIDA MARZO 2021</v>
      </c>
      <c r="D1" s="910"/>
      <c r="E1" s="910"/>
      <c r="F1" s="910"/>
      <c r="G1" s="521" t="s">
        <v>274</v>
      </c>
      <c r="H1" s="203"/>
    </row>
    <row r="2" spans="1:8" ht="11.25" customHeight="1">
      <c r="A2" s="905"/>
      <c r="B2" s="908"/>
      <c r="C2" s="911" t="s">
        <v>275</v>
      </c>
      <c r="D2" s="911"/>
      <c r="E2" s="911"/>
      <c r="F2" s="912" t="str">
        <f>"TOTAL 
"&amp;UPPER('1. Resumen'!Q4)</f>
        <v>TOTAL 
MARZO</v>
      </c>
      <c r="G2" s="522" t="s">
        <v>276</v>
      </c>
      <c r="H2" s="194"/>
    </row>
    <row r="3" spans="1:8" ht="11.25" customHeight="1">
      <c r="A3" s="905"/>
      <c r="B3" s="908"/>
      <c r="C3" s="513" t="s">
        <v>213</v>
      </c>
      <c r="D3" s="513" t="s">
        <v>214</v>
      </c>
      <c r="E3" s="513" t="s">
        <v>277</v>
      </c>
      <c r="F3" s="913"/>
      <c r="G3" s="522">
        <v>2021</v>
      </c>
      <c r="H3" s="196"/>
    </row>
    <row r="4" spans="1:8" ht="11.25" customHeight="1">
      <c r="A4" s="914"/>
      <c r="B4" s="915"/>
      <c r="C4" s="514" t="s">
        <v>278</v>
      </c>
      <c r="D4" s="514" t="s">
        <v>278</v>
      </c>
      <c r="E4" s="514" t="s">
        <v>278</v>
      </c>
      <c r="F4" s="514" t="s">
        <v>278</v>
      </c>
      <c r="G4" s="523" t="s">
        <v>206</v>
      </c>
      <c r="H4" s="196"/>
    </row>
    <row r="5" spans="1:8" ht="10.5" customHeight="1">
      <c r="A5" s="557" t="s">
        <v>97</v>
      </c>
      <c r="B5" s="516" t="s">
        <v>77</v>
      </c>
      <c r="C5" s="517"/>
      <c r="D5" s="517"/>
      <c r="E5" s="517">
        <v>22519.486022500001</v>
      </c>
      <c r="F5" s="517">
        <v>22519.486022500001</v>
      </c>
      <c r="G5" s="559">
        <v>76336.082037500004</v>
      </c>
    </row>
    <row r="6" spans="1:8" ht="10.5" customHeight="1">
      <c r="A6" s="557"/>
      <c r="B6" s="516" t="s">
        <v>79</v>
      </c>
      <c r="C6" s="517"/>
      <c r="D6" s="517"/>
      <c r="E6" s="517">
        <v>3625.9629974999998</v>
      </c>
      <c r="F6" s="517">
        <v>3625.9629974999998</v>
      </c>
      <c r="G6" s="559">
        <v>21220.3223125</v>
      </c>
    </row>
    <row r="7" spans="1:8" ht="10.5" customHeight="1">
      <c r="A7" s="558" t="s">
        <v>519</v>
      </c>
      <c r="B7" s="409"/>
      <c r="C7" s="410"/>
      <c r="D7" s="410"/>
      <c r="E7" s="410">
        <v>26145.44902</v>
      </c>
      <c r="F7" s="410">
        <v>26145.44902</v>
      </c>
      <c r="G7" s="560">
        <v>97556.404349999997</v>
      </c>
    </row>
    <row r="8" spans="1:8" ht="10.5" customHeight="1">
      <c r="A8" s="557" t="s">
        <v>87</v>
      </c>
      <c r="B8" s="516" t="s">
        <v>312</v>
      </c>
      <c r="C8" s="517">
        <v>74293.042377500009</v>
      </c>
      <c r="D8" s="517"/>
      <c r="E8" s="517"/>
      <c r="F8" s="517">
        <v>74293.042377500009</v>
      </c>
      <c r="G8" s="559">
        <v>202249.45446750001</v>
      </c>
    </row>
    <row r="9" spans="1:8" ht="10.5" customHeight="1">
      <c r="A9" s="557"/>
      <c r="B9" s="516" t="s">
        <v>313</v>
      </c>
      <c r="C9" s="517">
        <v>91786.915757499999</v>
      </c>
      <c r="D9" s="517"/>
      <c r="E9" s="517"/>
      <c r="F9" s="517">
        <v>91786.915757499999</v>
      </c>
      <c r="G9" s="559">
        <v>272117.64918249997</v>
      </c>
    </row>
    <row r="10" spans="1:8" ht="10.5" customHeight="1">
      <c r="A10" s="557"/>
      <c r="B10" s="516" t="s">
        <v>314</v>
      </c>
      <c r="C10" s="517"/>
      <c r="D10" s="517">
        <v>144129.66726749999</v>
      </c>
      <c r="E10" s="517"/>
      <c r="F10" s="517">
        <v>144129.66726749999</v>
      </c>
      <c r="G10" s="559">
        <v>258099.70833749999</v>
      </c>
    </row>
    <row r="11" spans="1:8" ht="10.5" customHeight="1">
      <c r="A11" s="557"/>
      <c r="B11" s="516" t="s">
        <v>315</v>
      </c>
      <c r="C11" s="517"/>
      <c r="D11" s="517">
        <v>34241.255932500004</v>
      </c>
      <c r="E11" s="517"/>
      <c r="F11" s="517">
        <v>34241.255932500004</v>
      </c>
      <c r="G11" s="559">
        <v>132722.24596249999</v>
      </c>
    </row>
    <row r="12" spans="1:8" ht="10.5" customHeight="1">
      <c r="A12" s="557"/>
      <c r="B12" s="516" t="s">
        <v>316</v>
      </c>
      <c r="C12" s="517"/>
      <c r="D12" s="517">
        <v>7048.3043074999996</v>
      </c>
      <c r="E12" s="517"/>
      <c r="F12" s="517">
        <v>7048.3043074999996</v>
      </c>
      <c r="G12" s="559">
        <v>7048.3043074999996</v>
      </c>
    </row>
    <row r="13" spans="1:8" ht="10.5" customHeight="1">
      <c r="A13" s="557"/>
      <c r="B13" s="516" t="s">
        <v>317</v>
      </c>
      <c r="C13" s="517"/>
      <c r="D13" s="517">
        <v>451.94633249999998</v>
      </c>
      <c r="E13" s="517"/>
      <c r="F13" s="517">
        <v>451.94633249999998</v>
      </c>
      <c r="G13" s="559">
        <v>451.94633249999998</v>
      </c>
    </row>
    <row r="14" spans="1:8" ht="10.5" customHeight="1">
      <c r="A14" s="557"/>
      <c r="B14" s="516" t="s">
        <v>318</v>
      </c>
      <c r="C14" s="517"/>
      <c r="D14" s="517">
        <v>0</v>
      </c>
      <c r="E14" s="517"/>
      <c r="F14" s="517">
        <v>0</v>
      </c>
      <c r="G14" s="559">
        <v>0</v>
      </c>
    </row>
    <row r="15" spans="1:8" ht="10.5" customHeight="1">
      <c r="A15" s="557"/>
      <c r="B15" s="516" t="s">
        <v>423</v>
      </c>
      <c r="C15" s="517"/>
      <c r="D15" s="517"/>
      <c r="E15" s="517">
        <v>8026.3996674999999</v>
      </c>
      <c r="F15" s="517">
        <v>8026.3996674999999</v>
      </c>
      <c r="G15" s="559">
        <v>25723.883684999997</v>
      </c>
    </row>
    <row r="16" spans="1:8" s="582" customFormat="1" ht="10.5" customHeight="1">
      <c r="A16" s="558" t="s">
        <v>520</v>
      </c>
      <c r="B16" s="409"/>
      <c r="C16" s="410">
        <v>166079.95813500002</v>
      </c>
      <c r="D16" s="410">
        <v>185871.17383999997</v>
      </c>
      <c r="E16" s="410">
        <v>8026.3996674999999</v>
      </c>
      <c r="F16" s="410">
        <v>359977.53164250008</v>
      </c>
      <c r="G16" s="560">
        <v>898413.19227499992</v>
      </c>
    </row>
    <row r="17" spans="1:7" s="582" customFormat="1" ht="10.5" customHeight="1">
      <c r="A17" s="557" t="s">
        <v>237</v>
      </c>
      <c r="B17" s="516" t="s">
        <v>319</v>
      </c>
      <c r="C17" s="517"/>
      <c r="D17" s="517">
        <v>239703.73735750001</v>
      </c>
      <c r="E17" s="517"/>
      <c r="F17" s="517">
        <v>239703.73735750001</v>
      </c>
      <c r="G17" s="559">
        <v>527245.71638000011</v>
      </c>
    </row>
    <row r="18" spans="1:7" s="582" customFormat="1" ht="10.5" customHeight="1">
      <c r="A18" s="558" t="s">
        <v>521</v>
      </c>
      <c r="B18" s="409"/>
      <c r="C18" s="410"/>
      <c r="D18" s="410">
        <v>239703.73735750001</v>
      </c>
      <c r="E18" s="410"/>
      <c r="F18" s="410">
        <v>239703.73735750001</v>
      </c>
      <c r="G18" s="560">
        <v>527245.71638000011</v>
      </c>
    </row>
    <row r="19" spans="1:7" ht="10.5" customHeight="1">
      <c r="A19" s="557" t="s">
        <v>449</v>
      </c>
      <c r="B19" s="516" t="s">
        <v>454</v>
      </c>
      <c r="C19" s="517"/>
      <c r="D19" s="517"/>
      <c r="E19" s="517">
        <v>13528.96018</v>
      </c>
      <c r="F19" s="517">
        <v>13528.96018</v>
      </c>
      <c r="G19" s="559">
        <v>37343.471089999999</v>
      </c>
    </row>
    <row r="20" spans="1:7" ht="10.5" customHeight="1">
      <c r="A20" s="557"/>
      <c r="B20" s="516" t="s">
        <v>450</v>
      </c>
      <c r="C20" s="517"/>
      <c r="D20" s="517"/>
      <c r="E20" s="517">
        <v>6098.1525624999995</v>
      </c>
      <c r="F20" s="517">
        <v>6098.1525624999995</v>
      </c>
      <c r="G20" s="559">
        <v>16850.443175</v>
      </c>
    </row>
    <row r="21" spans="1:7" ht="10.5" customHeight="1">
      <c r="A21" s="558" t="s">
        <v>522</v>
      </c>
      <c r="B21" s="409"/>
      <c r="C21" s="410"/>
      <c r="D21" s="410"/>
      <c r="E21" s="410">
        <v>19627.112742500001</v>
      </c>
      <c r="F21" s="410">
        <v>19627.112742500001</v>
      </c>
      <c r="G21" s="560">
        <v>54193.914264999999</v>
      </c>
    </row>
    <row r="22" spans="1:7" ht="10.5" customHeight="1">
      <c r="A22" s="557" t="s">
        <v>108</v>
      </c>
      <c r="B22" s="516" t="s">
        <v>66</v>
      </c>
      <c r="C22" s="517"/>
      <c r="D22" s="517"/>
      <c r="E22" s="517">
        <v>5237.8778025000001</v>
      </c>
      <c r="F22" s="517">
        <v>5237.8778025000001</v>
      </c>
      <c r="G22" s="559">
        <v>15665.92496</v>
      </c>
    </row>
    <row r="23" spans="1:7" ht="10.5" customHeight="1">
      <c r="A23" s="557"/>
      <c r="B23" s="516" t="s">
        <v>412</v>
      </c>
      <c r="C23" s="517"/>
      <c r="D23" s="517"/>
      <c r="E23" s="517">
        <v>15047.4934675</v>
      </c>
      <c r="F23" s="517">
        <v>15047.4934675</v>
      </c>
      <c r="G23" s="559">
        <v>42550.250815000007</v>
      </c>
    </row>
    <row r="24" spans="1:7" ht="10.5" customHeight="1">
      <c r="A24" s="557"/>
      <c r="B24" s="516" t="s">
        <v>410</v>
      </c>
      <c r="C24" s="517"/>
      <c r="D24" s="517"/>
      <c r="E24" s="517">
        <v>15042.2066325</v>
      </c>
      <c r="F24" s="517">
        <v>15042.2066325</v>
      </c>
      <c r="G24" s="559">
        <v>42410.119895000003</v>
      </c>
    </row>
    <row r="25" spans="1:7" ht="10.5" customHeight="1">
      <c r="A25" s="557"/>
      <c r="B25" s="516" t="s">
        <v>411</v>
      </c>
      <c r="C25" s="517"/>
      <c r="D25" s="517"/>
      <c r="E25" s="517">
        <v>14877.367492500001</v>
      </c>
      <c r="F25" s="517">
        <v>14877.367492500001</v>
      </c>
      <c r="G25" s="559">
        <v>41595.161495000008</v>
      </c>
    </row>
    <row r="26" spans="1:7" ht="10.5" customHeight="1">
      <c r="A26" s="558" t="s">
        <v>523</v>
      </c>
      <c r="B26" s="409"/>
      <c r="C26" s="410"/>
      <c r="D26" s="410"/>
      <c r="E26" s="410">
        <v>50204.945395000002</v>
      </c>
      <c r="F26" s="410">
        <v>50204.945395000002</v>
      </c>
      <c r="G26" s="560">
        <v>142221.45716500003</v>
      </c>
    </row>
    <row r="27" spans="1:7" ht="10.5" customHeight="1">
      <c r="A27" s="557" t="s">
        <v>555</v>
      </c>
      <c r="B27" s="516" t="s">
        <v>580</v>
      </c>
      <c r="C27" s="517"/>
      <c r="D27" s="517"/>
      <c r="E27" s="517">
        <v>0</v>
      </c>
      <c r="F27" s="517">
        <v>0</v>
      </c>
      <c r="G27" s="559">
        <v>985.30925500000001</v>
      </c>
    </row>
    <row r="28" spans="1:7" ht="10.5" customHeight="1">
      <c r="A28" s="558" t="s">
        <v>557</v>
      </c>
      <c r="B28" s="409"/>
      <c r="C28" s="410"/>
      <c r="D28" s="410"/>
      <c r="E28" s="410">
        <v>0</v>
      </c>
      <c r="F28" s="410">
        <v>0</v>
      </c>
      <c r="G28" s="560">
        <v>985.30925500000001</v>
      </c>
    </row>
    <row r="29" spans="1:7" ht="10.5" customHeight="1">
      <c r="A29" s="557" t="s">
        <v>556</v>
      </c>
      <c r="B29" s="516" t="s">
        <v>581</v>
      </c>
      <c r="C29" s="517"/>
      <c r="D29" s="517"/>
      <c r="E29" s="517">
        <v>0</v>
      </c>
      <c r="F29" s="517">
        <v>0</v>
      </c>
      <c r="G29" s="559">
        <v>1190.8014700000001</v>
      </c>
    </row>
    <row r="30" spans="1:7" ht="10.199999999999999" customHeight="1">
      <c r="A30" s="558" t="s">
        <v>558</v>
      </c>
      <c r="B30" s="409"/>
      <c r="C30" s="410"/>
      <c r="D30" s="410"/>
      <c r="E30" s="410">
        <v>0</v>
      </c>
      <c r="F30" s="410">
        <v>0</v>
      </c>
      <c r="G30" s="560">
        <v>1190.8014700000001</v>
      </c>
    </row>
    <row r="31" spans="1:7" ht="10.5" customHeight="1">
      <c r="A31" s="557" t="s">
        <v>114</v>
      </c>
      <c r="B31" s="516" t="s">
        <v>74</v>
      </c>
      <c r="C31" s="517"/>
      <c r="D31" s="517"/>
      <c r="E31" s="517">
        <v>2594</v>
      </c>
      <c r="F31" s="517">
        <v>2594</v>
      </c>
      <c r="G31" s="559">
        <v>7272.4</v>
      </c>
    </row>
    <row r="32" spans="1:7">
      <c r="A32" s="558" t="s">
        <v>524</v>
      </c>
      <c r="B32" s="409"/>
      <c r="C32" s="410"/>
      <c r="D32" s="410"/>
      <c r="E32" s="410">
        <v>2594</v>
      </c>
      <c r="F32" s="410">
        <v>2594</v>
      </c>
      <c r="G32" s="560">
        <v>7272.4</v>
      </c>
    </row>
    <row r="33" spans="1:7" ht="10.199999999999999" customHeight="1">
      <c r="A33" s="557" t="s">
        <v>103</v>
      </c>
      <c r="B33" s="516" t="s">
        <v>320</v>
      </c>
      <c r="C33" s="517">
        <v>13918.4373175</v>
      </c>
      <c r="D33" s="517"/>
      <c r="E33" s="517"/>
      <c r="F33" s="517">
        <v>13918.4373175</v>
      </c>
      <c r="G33" s="559">
        <v>36387.602382500001</v>
      </c>
    </row>
    <row r="34" spans="1:7" ht="10.5" customHeight="1">
      <c r="A34" s="558" t="s">
        <v>525</v>
      </c>
      <c r="B34" s="409"/>
      <c r="C34" s="410">
        <v>13918.4373175</v>
      </c>
      <c r="D34" s="410"/>
      <c r="E34" s="410"/>
      <c r="F34" s="410">
        <v>13918.4373175</v>
      </c>
      <c r="G34" s="560">
        <v>36387.602382500001</v>
      </c>
    </row>
    <row r="35" spans="1:7" ht="10.5" customHeight="1">
      <c r="A35" s="557" t="s">
        <v>238</v>
      </c>
      <c r="B35" s="516" t="s">
        <v>59</v>
      </c>
      <c r="C35" s="517"/>
      <c r="D35" s="517"/>
      <c r="E35" s="517">
        <v>12312.758030000001</v>
      </c>
      <c r="F35" s="517">
        <v>12312.758030000001</v>
      </c>
      <c r="G35" s="559">
        <v>36354.541525000001</v>
      </c>
    </row>
    <row r="36" spans="1:7" ht="10.5" customHeight="1">
      <c r="A36" s="558" t="s">
        <v>526</v>
      </c>
      <c r="B36" s="409"/>
      <c r="C36" s="410"/>
      <c r="D36" s="410"/>
      <c r="E36" s="410">
        <v>12312.758030000001</v>
      </c>
      <c r="F36" s="410">
        <v>12312.758030000001</v>
      </c>
      <c r="G36" s="560">
        <v>36354.541525000001</v>
      </c>
    </row>
    <row r="37" spans="1:7" ht="10.5" customHeight="1">
      <c r="A37" s="557" t="s">
        <v>409</v>
      </c>
      <c r="B37" s="516" t="s">
        <v>457</v>
      </c>
      <c r="C37" s="517">
        <v>58.848999999999997</v>
      </c>
      <c r="D37" s="517"/>
      <c r="E37" s="517"/>
      <c r="F37" s="517">
        <v>58.848999999999997</v>
      </c>
      <c r="G37" s="559">
        <v>710.91200000000003</v>
      </c>
    </row>
    <row r="38" spans="1:7" ht="10.5" customHeight="1">
      <c r="A38" s="558" t="s">
        <v>527</v>
      </c>
      <c r="B38" s="409"/>
      <c r="C38" s="410">
        <v>58.848999999999997</v>
      </c>
      <c r="D38" s="410"/>
      <c r="E38" s="410"/>
      <c r="F38" s="410">
        <v>58.848999999999997</v>
      </c>
      <c r="G38" s="560">
        <v>710.91200000000003</v>
      </c>
    </row>
    <row r="39" spans="1:7" ht="10.5" customHeight="1">
      <c r="A39" s="557" t="s">
        <v>425</v>
      </c>
      <c r="B39" s="516" t="s">
        <v>429</v>
      </c>
      <c r="C39" s="517">
        <v>66281.201050000003</v>
      </c>
      <c r="D39" s="517"/>
      <c r="E39" s="517"/>
      <c r="F39" s="517">
        <v>66281.201050000003</v>
      </c>
      <c r="G39" s="559">
        <v>192157.75024749999</v>
      </c>
    </row>
    <row r="40" spans="1:7" s="46" customFormat="1" ht="10.199999999999999" customHeight="1">
      <c r="A40" s="558" t="s">
        <v>528</v>
      </c>
      <c r="B40" s="409"/>
      <c r="C40" s="410">
        <v>66281.201050000003</v>
      </c>
      <c r="D40" s="410"/>
      <c r="E40" s="410"/>
      <c r="F40" s="410">
        <v>66281.201050000003</v>
      </c>
      <c r="G40" s="560">
        <v>192157.75024749999</v>
      </c>
    </row>
    <row r="41" spans="1:7" ht="22.8" customHeight="1">
      <c r="A41" s="561" t="s">
        <v>463</v>
      </c>
      <c r="B41" s="516" t="s">
        <v>483</v>
      </c>
      <c r="C41" s="517"/>
      <c r="D41" s="517"/>
      <c r="E41" s="517">
        <v>5252.9412174999998</v>
      </c>
      <c r="F41" s="517">
        <v>5252.9412174999998</v>
      </c>
      <c r="G41" s="559">
        <v>18968.468322500001</v>
      </c>
    </row>
    <row r="42" spans="1:7" ht="19.8" customHeight="1">
      <c r="A42" s="584" t="s">
        <v>529</v>
      </c>
      <c r="B42" s="409"/>
      <c r="C42" s="410"/>
      <c r="D42" s="410"/>
      <c r="E42" s="410">
        <v>5252.9412174999998</v>
      </c>
      <c r="F42" s="410">
        <v>5252.9412174999998</v>
      </c>
      <c r="G42" s="560">
        <v>18968.468322500001</v>
      </c>
    </row>
    <row r="43" spans="1:7" ht="10.5" customHeight="1">
      <c r="A43" s="557" t="s">
        <v>116</v>
      </c>
      <c r="B43" s="516" t="s">
        <v>322</v>
      </c>
      <c r="C43" s="517"/>
      <c r="D43" s="517">
        <v>2.5000000000000002E-6</v>
      </c>
      <c r="E43" s="517"/>
      <c r="F43" s="517">
        <v>2.5000000000000002E-6</v>
      </c>
      <c r="G43" s="559">
        <v>23.828252500000001</v>
      </c>
    </row>
    <row r="44" spans="1:7" ht="10.5" customHeight="1">
      <c r="A44" s="557"/>
      <c r="B44" s="516" t="s">
        <v>323</v>
      </c>
      <c r="C44" s="517"/>
      <c r="D44" s="517">
        <v>271.53444999999999</v>
      </c>
      <c r="E44" s="517"/>
      <c r="F44" s="517">
        <v>271.53444999999999</v>
      </c>
      <c r="G44" s="559">
        <v>273.86060500000002</v>
      </c>
    </row>
    <row r="45" spans="1:7" ht="10.5" customHeight="1">
      <c r="A45" s="558" t="s">
        <v>530</v>
      </c>
      <c r="B45" s="409"/>
      <c r="C45" s="410"/>
      <c r="D45" s="410">
        <v>271.53445249999999</v>
      </c>
      <c r="E45" s="410"/>
      <c r="F45" s="410">
        <v>271.53445249999999</v>
      </c>
      <c r="G45" s="560">
        <v>297.68885750000004</v>
      </c>
    </row>
    <row r="46" spans="1:7" ht="10.5" customHeight="1">
      <c r="A46" s="557" t="s">
        <v>407</v>
      </c>
      <c r="B46" s="516" t="s">
        <v>324</v>
      </c>
      <c r="C46" s="517"/>
      <c r="D46" s="517">
        <v>481464.76354000001</v>
      </c>
      <c r="E46" s="517"/>
      <c r="F46" s="517">
        <v>481464.76354000001</v>
      </c>
      <c r="G46" s="559">
        <v>1299188.3435925001</v>
      </c>
    </row>
    <row r="47" spans="1:7" ht="10.5" customHeight="1">
      <c r="A47" s="557"/>
      <c r="B47" s="516" t="s">
        <v>325</v>
      </c>
      <c r="C47" s="517"/>
      <c r="D47" s="517">
        <v>44910.013187500001</v>
      </c>
      <c r="E47" s="517"/>
      <c r="F47" s="517">
        <v>44910.013187500001</v>
      </c>
      <c r="G47" s="559">
        <v>80538.965420000008</v>
      </c>
    </row>
    <row r="48" spans="1:7" ht="10.5" customHeight="1">
      <c r="A48" s="557"/>
      <c r="B48" s="516" t="s">
        <v>427</v>
      </c>
      <c r="C48" s="517">
        <v>265548.78142999997</v>
      </c>
      <c r="D48" s="517"/>
      <c r="E48" s="517"/>
      <c r="F48" s="517">
        <v>265548.78142999997</v>
      </c>
      <c r="G48" s="559">
        <v>978508.58486499998</v>
      </c>
    </row>
    <row r="49" spans="1:8" ht="10.5" customHeight="1">
      <c r="A49" s="557"/>
      <c r="B49" s="516" t="s">
        <v>326</v>
      </c>
      <c r="C49" s="517">
        <v>5061.8263500000003</v>
      </c>
      <c r="D49" s="517"/>
      <c r="E49" s="517"/>
      <c r="F49" s="517">
        <v>5061.8263500000003</v>
      </c>
      <c r="G49" s="559">
        <v>18870.305935</v>
      </c>
    </row>
    <row r="50" spans="1:8" ht="10.5" customHeight="1">
      <c r="A50" s="558" t="s">
        <v>531</v>
      </c>
      <c r="B50" s="409"/>
      <c r="C50" s="410">
        <v>270610.60777999996</v>
      </c>
      <c r="D50" s="410">
        <v>526374.77672750002</v>
      </c>
      <c r="E50" s="410"/>
      <c r="F50" s="410">
        <v>796985.38450749998</v>
      </c>
      <c r="G50" s="560">
        <v>2377106.1998125003</v>
      </c>
    </row>
    <row r="51" spans="1:8" ht="10.5" customHeight="1">
      <c r="A51" s="557" t="s">
        <v>115</v>
      </c>
      <c r="B51" s="516" t="s">
        <v>72</v>
      </c>
      <c r="C51" s="517"/>
      <c r="D51" s="517"/>
      <c r="E51" s="517">
        <v>1921.0227749999999</v>
      </c>
      <c r="F51" s="517">
        <v>1921.0227749999999</v>
      </c>
      <c r="G51" s="559">
        <v>5581.3668749999997</v>
      </c>
      <c r="H51" s="321"/>
    </row>
    <row r="52" spans="1:8" ht="10.5" customHeight="1">
      <c r="A52" s="558" t="s">
        <v>532</v>
      </c>
      <c r="B52" s="409"/>
      <c r="C52" s="410"/>
      <c r="D52" s="410"/>
      <c r="E52" s="410">
        <v>1921.0227749999999</v>
      </c>
      <c r="F52" s="410">
        <v>1921.0227749999999</v>
      </c>
      <c r="G52" s="560">
        <v>5581.3668749999997</v>
      </c>
    </row>
    <row r="53" spans="1:8" ht="10.5" customHeight="1">
      <c r="A53" s="557" t="s">
        <v>553</v>
      </c>
      <c r="B53" s="516" t="s">
        <v>231</v>
      </c>
      <c r="C53" s="517"/>
      <c r="D53" s="517"/>
      <c r="E53" s="517">
        <v>3547.4250999999999</v>
      </c>
      <c r="F53" s="517">
        <v>3547.4250999999999</v>
      </c>
      <c r="G53" s="559">
        <v>10140.9437</v>
      </c>
    </row>
    <row r="54" spans="1:8" ht="10.5" customHeight="1">
      <c r="A54" s="558" t="s">
        <v>559</v>
      </c>
      <c r="B54" s="409"/>
      <c r="C54" s="410"/>
      <c r="D54" s="410"/>
      <c r="E54" s="410">
        <v>3547.4250999999999</v>
      </c>
      <c r="F54" s="410">
        <v>3547.4250999999999</v>
      </c>
      <c r="G54" s="560">
        <v>10140.9437</v>
      </c>
    </row>
    <row r="55" spans="1:8" ht="10.5" customHeight="1">
      <c r="A55" s="557" t="s">
        <v>110</v>
      </c>
      <c r="B55" s="516" t="s">
        <v>81</v>
      </c>
      <c r="C55" s="517"/>
      <c r="D55" s="517"/>
      <c r="E55" s="517">
        <v>4045.5423274999998</v>
      </c>
      <c r="F55" s="517">
        <v>4045.5423274999998</v>
      </c>
      <c r="G55" s="559">
        <v>12625.5840025</v>
      </c>
    </row>
    <row r="56" spans="1:8" ht="10.5" customHeight="1">
      <c r="A56" s="558" t="s">
        <v>533</v>
      </c>
      <c r="B56" s="409"/>
      <c r="C56" s="410"/>
      <c r="D56" s="410"/>
      <c r="E56" s="410">
        <v>4045.5423274999998</v>
      </c>
      <c r="F56" s="410">
        <v>4045.5423274999998</v>
      </c>
      <c r="G56" s="560">
        <v>12625.5840025</v>
      </c>
    </row>
    <row r="57" spans="1:8" ht="10.5" customHeight="1">
      <c r="A57" s="557" t="s">
        <v>239</v>
      </c>
      <c r="B57" s="516" t="s">
        <v>71</v>
      </c>
      <c r="C57" s="517"/>
      <c r="D57" s="517"/>
      <c r="E57" s="517">
        <v>3863.0951850000001</v>
      </c>
      <c r="F57" s="517">
        <v>3863.0951850000001</v>
      </c>
      <c r="G57" s="559">
        <v>11460.205884999999</v>
      </c>
    </row>
    <row r="58" spans="1:8" ht="10.5" customHeight="1">
      <c r="A58" s="557"/>
      <c r="B58" s="516" t="s">
        <v>327</v>
      </c>
      <c r="C58" s="517">
        <v>175719.61046249999</v>
      </c>
      <c r="D58" s="517"/>
      <c r="E58" s="517"/>
      <c r="F58" s="517">
        <v>175719.61046249999</v>
      </c>
      <c r="G58" s="559">
        <v>482060.02148499998</v>
      </c>
    </row>
    <row r="59" spans="1:8" ht="10.5" customHeight="1">
      <c r="A59" s="557"/>
      <c r="B59" s="516" t="s">
        <v>328</v>
      </c>
      <c r="C59" s="517">
        <v>62000.969395000007</v>
      </c>
      <c r="D59" s="517"/>
      <c r="E59" s="517"/>
      <c r="F59" s="517">
        <v>62000.969395000007</v>
      </c>
      <c r="G59" s="559">
        <v>184673.61393250001</v>
      </c>
    </row>
    <row r="60" spans="1:8" ht="10.5" customHeight="1">
      <c r="A60" s="557"/>
      <c r="B60" s="516" t="s">
        <v>62</v>
      </c>
      <c r="C60" s="517"/>
      <c r="D60" s="517"/>
      <c r="E60" s="517">
        <v>7075.0151925</v>
      </c>
      <c r="F60" s="517">
        <v>7075.0151925</v>
      </c>
      <c r="G60" s="559">
        <v>20814.72064</v>
      </c>
    </row>
    <row r="61" spans="1:8" ht="10.5" customHeight="1">
      <c r="A61" s="558" t="s">
        <v>534</v>
      </c>
      <c r="B61" s="409"/>
      <c r="C61" s="410">
        <v>237720.57985749998</v>
      </c>
      <c r="D61" s="410"/>
      <c r="E61" s="410">
        <v>10938.110377500001</v>
      </c>
      <c r="F61" s="410">
        <v>248658.69023500002</v>
      </c>
      <c r="G61" s="560">
        <v>699008.56194249995</v>
      </c>
    </row>
    <row r="62" spans="1:8" ht="10.5" customHeight="1">
      <c r="A62" s="557" t="s">
        <v>240</v>
      </c>
      <c r="B62" s="516" t="s">
        <v>78</v>
      </c>
      <c r="C62" s="517"/>
      <c r="D62" s="517"/>
      <c r="E62" s="517">
        <v>15998.533149999999</v>
      </c>
      <c r="F62" s="517">
        <v>15998.533149999999</v>
      </c>
      <c r="G62" s="559">
        <v>44525.3247825</v>
      </c>
    </row>
    <row r="63" spans="1:8" ht="10.5" customHeight="1">
      <c r="A63" s="558" t="s">
        <v>535</v>
      </c>
      <c r="B63" s="409"/>
      <c r="C63" s="410"/>
      <c r="D63" s="410"/>
      <c r="E63" s="410">
        <v>15998.533149999999</v>
      </c>
      <c r="F63" s="410">
        <v>15998.533149999999</v>
      </c>
      <c r="G63" s="560">
        <v>44525.3247825</v>
      </c>
    </row>
    <row r="64" spans="1:8" ht="10.5" customHeight="1">
      <c r="A64" s="557" t="s">
        <v>99</v>
      </c>
      <c r="B64" s="516" t="s">
        <v>76</v>
      </c>
      <c r="C64" s="517"/>
      <c r="D64" s="517"/>
      <c r="E64" s="517">
        <v>46834.456469999997</v>
      </c>
      <c r="F64" s="517">
        <v>46834.456469999997</v>
      </c>
      <c r="G64" s="559">
        <v>127645.20070250001</v>
      </c>
    </row>
    <row r="65" spans="1:7" ht="10.5" customHeight="1">
      <c r="A65" s="558" t="s">
        <v>536</v>
      </c>
      <c r="B65" s="409"/>
      <c r="C65" s="410"/>
      <c r="D65" s="410"/>
      <c r="E65" s="410">
        <v>46834.456469999997</v>
      </c>
      <c r="F65" s="410">
        <v>46834.456469999997</v>
      </c>
      <c r="G65" s="560">
        <v>127645.20070250001</v>
      </c>
    </row>
    <row r="66" spans="1:7" ht="10.5" customHeight="1">
      <c r="A66" s="557" t="s">
        <v>107</v>
      </c>
      <c r="B66" s="516" t="s">
        <v>230</v>
      </c>
      <c r="C66" s="517"/>
      <c r="D66" s="517"/>
      <c r="E66" s="517">
        <v>5034.7205949999998</v>
      </c>
      <c r="F66" s="517">
        <v>5034.7205949999998</v>
      </c>
      <c r="G66" s="559">
        <v>15406.6119225</v>
      </c>
    </row>
    <row r="67" spans="1:7" ht="10.5" customHeight="1">
      <c r="A67" s="558" t="s">
        <v>537</v>
      </c>
      <c r="B67" s="409"/>
      <c r="C67" s="410"/>
      <c r="D67" s="410"/>
      <c r="E67" s="410">
        <v>5034.7205949999998</v>
      </c>
      <c r="F67" s="410">
        <v>5034.7205949999998</v>
      </c>
      <c r="G67" s="560">
        <v>15406.6119225</v>
      </c>
    </row>
    <row r="68" spans="1:7" ht="10.5" customHeight="1">
      <c r="A68" s="557" t="s">
        <v>408</v>
      </c>
      <c r="B68" s="516" t="s">
        <v>85</v>
      </c>
      <c r="C68" s="517"/>
      <c r="D68" s="517"/>
      <c r="E68" s="517">
        <v>1990.284075</v>
      </c>
      <c r="F68" s="517">
        <v>1990.284075</v>
      </c>
      <c r="G68" s="559">
        <v>5906.2317650000005</v>
      </c>
    </row>
    <row r="69" spans="1:7" ht="10.5" customHeight="1">
      <c r="A69" s="557"/>
      <c r="B69" s="516" t="s">
        <v>84</v>
      </c>
      <c r="C69" s="517"/>
      <c r="D69" s="517"/>
      <c r="E69" s="517">
        <v>3284.4439999999995</v>
      </c>
      <c r="F69" s="517">
        <v>3284.4439999999995</v>
      </c>
      <c r="G69" s="559">
        <v>9086.3412974999992</v>
      </c>
    </row>
    <row r="70" spans="1:7" ht="10.5" customHeight="1">
      <c r="A70" s="557"/>
      <c r="B70" s="516" t="s">
        <v>424</v>
      </c>
      <c r="C70" s="517"/>
      <c r="D70" s="517"/>
      <c r="E70" s="517">
        <v>1572.5116</v>
      </c>
      <c r="F70" s="517">
        <v>1572.5116</v>
      </c>
      <c r="G70" s="559">
        <v>4299.0722074999994</v>
      </c>
    </row>
    <row r="71" spans="1:7" ht="10.5" customHeight="1">
      <c r="A71" s="557"/>
      <c r="B71" s="516" t="s">
        <v>476</v>
      </c>
      <c r="C71" s="517"/>
      <c r="D71" s="517"/>
      <c r="E71" s="517">
        <v>1224.5743</v>
      </c>
      <c r="F71" s="517">
        <v>1224.5743</v>
      </c>
      <c r="G71" s="559">
        <v>3703.6793374999997</v>
      </c>
    </row>
    <row r="72" spans="1:7" ht="10.5" customHeight="1">
      <c r="A72" s="558" t="s">
        <v>538</v>
      </c>
      <c r="B72" s="409"/>
      <c r="C72" s="410"/>
      <c r="D72" s="410"/>
      <c r="E72" s="410">
        <v>8071.8139749999991</v>
      </c>
      <c r="F72" s="410">
        <v>8071.8139749999991</v>
      </c>
      <c r="G72" s="560">
        <v>22995.324607499999</v>
      </c>
    </row>
    <row r="73" spans="1:7" ht="10.5" customHeight="1">
      <c r="A73" s="557" t="s">
        <v>241</v>
      </c>
      <c r="B73" s="516" t="s">
        <v>329</v>
      </c>
      <c r="C73" s="517"/>
      <c r="D73" s="517">
        <v>2.3044125000000002</v>
      </c>
      <c r="E73" s="517"/>
      <c r="F73" s="517">
        <v>2.3044125000000002</v>
      </c>
      <c r="G73" s="559">
        <v>335.66830250000004</v>
      </c>
    </row>
    <row r="74" spans="1:7">
      <c r="A74" s="558" t="s">
        <v>539</v>
      </c>
      <c r="B74" s="409"/>
      <c r="C74" s="410"/>
      <c r="D74" s="410">
        <v>2.3044125000000002</v>
      </c>
      <c r="E74" s="410"/>
      <c r="F74" s="410">
        <v>2.3044125000000002</v>
      </c>
      <c r="G74" s="560">
        <v>335.66830250000004</v>
      </c>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0" orientation="portrait" r:id="rId1"/>
  <headerFooter>
    <oddHeader>&amp;R&amp;7Informe de la Operación Mensual - Marzo 2021
INFSGI-MES-03-2021
13/04/2021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7"/>
  <sheetViews>
    <sheetView showGridLines="0" view="pageBreakPreview" topLeftCell="A19" zoomScaleNormal="100" zoomScaleSheetLayoutView="100" zoomScalePageLayoutView="110" workbookViewId="0">
      <selection activeCell="O61" sqref="O61"/>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4" t="s">
        <v>248</v>
      </c>
      <c r="B1" s="907" t="s">
        <v>54</v>
      </c>
      <c r="C1" s="910" t="str">
        <f>+'19. ANEXOI-2'!C1:F1</f>
        <v>ENERGÍA PRODUCIDA MARZO 2021</v>
      </c>
      <c r="D1" s="910"/>
      <c r="E1" s="910"/>
      <c r="F1" s="910"/>
      <c r="G1" s="521" t="s">
        <v>274</v>
      </c>
      <c r="H1" s="203"/>
    </row>
    <row r="2" spans="1:8" ht="11.25" customHeight="1">
      <c r="A2" s="905"/>
      <c r="B2" s="908"/>
      <c r="C2" s="911" t="s">
        <v>275</v>
      </c>
      <c r="D2" s="911"/>
      <c r="E2" s="911"/>
      <c r="F2" s="912" t="str">
        <f>"TOTAL 
"&amp;UPPER('1. Resumen'!Q4)</f>
        <v>TOTAL 
MARZO</v>
      </c>
      <c r="G2" s="522" t="s">
        <v>276</v>
      </c>
      <c r="H2" s="194"/>
    </row>
    <row r="3" spans="1:8" ht="11.25" customHeight="1">
      <c r="A3" s="905"/>
      <c r="B3" s="908"/>
      <c r="C3" s="513" t="s">
        <v>213</v>
      </c>
      <c r="D3" s="513" t="s">
        <v>214</v>
      </c>
      <c r="E3" s="513" t="s">
        <v>277</v>
      </c>
      <c r="F3" s="913"/>
      <c r="G3" s="522">
        <v>2021</v>
      </c>
      <c r="H3" s="196"/>
    </row>
    <row r="4" spans="1:8" ht="11.25" customHeight="1">
      <c r="A4" s="914"/>
      <c r="B4" s="915"/>
      <c r="C4" s="514" t="s">
        <v>278</v>
      </c>
      <c r="D4" s="514" t="s">
        <v>278</v>
      </c>
      <c r="E4" s="514" t="s">
        <v>278</v>
      </c>
      <c r="F4" s="514" t="s">
        <v>278</v>
      </c>
      <c r="G4" s="523" t="s">
        <v>206</v>
      </c>
      <c r="H4" s="196"/>
    </row>
    <row r="5" spans="1:8" s="301" customFormat="1" ht="9" customHeight="1">
      <c r="A5" s="557" t="s">
        <v>554</v>
      </c>
      <c r="B5" s="516" t="s">
        <v>82</v>
      </c>
      <c r="C5" s="517"/>
      <c r="D5" s="517"/>
      <c r="E5" s="517">
        <v>3595.5658149999999</v>
      </c>
      <c r="F5" s="517">
        <v>3595.5658149999999</v>
      </c>
      <c r="G5" s="559">
        <v>10158.615215</v>
      </c>
    </row>
    <row r="6" spans="1:8" s="301" customFormat="1" ht="9" customHeight="1">
      <c r="A6" s="558" t="s">
        <v>560</v>
      </c>
      <c r="B6" s="409"/>
      <c r="C6" s="410"/>
      <c r="D6" s="410"/>
      <c r="E6" s="410">
        <v>3595.5658149999999</v>
      </c>
      <c r="F6" s="410">
        <v>3595.5658149999999</v>
      </c>
      <c r="G6" s="560">
        <v>10158.615215</v>
      </c>
    </row>
    <row r="7" spans="1:8" s="301" customFormat="1" ht="9" customHeight="1">
      <c r="A7" s="557" t="s">
        <v>439</v>
      </c>
      <c r="B7" s="516" t="s">
        <v>451</v>
      </c>
      <c r="C7" s="517"/>
      <c r="D7" s="517"/>
      <c r="E7" s="517">
        <v>14512.724975000001</v>
      </c>
      <c r="F7" s="517">
        <v>14512.724975000001</v>
      </c>
      <c r="G7" s="559">
        <v>42446.035915</v>
      </c>
    </row>
    <row r="8" spans="1:8" s="301" customFormat="1" ht="9" customHeight="1">
      <c r="A8" s="558" t="s">
        <v>540</v>
      </c>
      <c r="B8" s="409"/>
      <c r="C8" s="410"/>
      <c r="D8" s="410"/>
      <c r="E8" s="410">
        <v>14512.724975000001</v>
      </c>
      <c r="F8" s="410">
        <v>14512.724975000001</v>
      </c>
      <c r="G8" s="560">
        <v>42446.035915</v>
      </c>
    </row>
    <row r="9" spans="1:8" s="301" customFormat="1" ht="9" customHeight="1">
      <c r="A9" s="557" t="s">
        <v>104</v>
      </c>
      <c r="B9" s="516" t="s">
        <v>61</v>
      </c>
      <c r="C9" s="517"/>
      <c r="D9" s="517"/>
      <c r="E9" s="517">
        <v>12995.249135</v>
      </c>
      <c r="F9" s="517">
        <v>12995.249135</v>
      </c>
      <c r="G9" s="559">
        <v>37043.111502500004</v>
      </c>
    </row>
    <row r="10" spans="1:8" s="301" customFormat="1" ht="9" customHeight="1">
      <c r="A10" s="558" t="s">
        <v>541</v>
      </c>
      <c r="B10" s="409"/>
      <c r="C10" s="410"/>
      <c r="D10" s="410"/>
      <c r="E10" s="410">
        <v>12995.249135</v>
      </c>
      <c r="F10" s="410">
        <v>12995.249135</v>
      </c>
      <c r="G10" s="560">
        <v>37043.111502500004</v>
      </c>
    </row>
    <row r="11" spans="1:8" s="301" customFormat="1" ht="9" customHeight="1">
      <c r="A11" s="557" t="s">
        <v>242</v>
      </c>
      <c r="B11" s="516" t="s">
        <v>330</v>
      </c>
      <c r="C11" s="517"/>
      <c r="D11" s="517">
        <v>403.64883500000002</v>
      </c>
      <c r="E11" s="517"/>
      <c r="F11" s="517">
        <v>403.64883500000002</v>
      </c>
      <c r="G11" s="559">
        <v>1203.3145500000001</v>
      </c>
    </row>
    <row r="12" spans="1:8" s="301" customFormat="1" ht="9" customHeight="1">
      <c r="A12" s="558" t="s">
        <v>542</v>
      </c>
      <c r="B12" s="409"/>
      <c r="C12" s="410"/>
      <c r="D12" s="410">
        <v>403.64883500000002</v>
      </c>
      <c r="E12" s="410"/>
      <c r="F12" s="410">
        <v>403.64883500000002</v>
      </c>
      <c r="G12" s="560">
        <v>1203.3145500000001</v>
      </c>
    </row>
    <row r="13" spans="1:8" s="301" customFormat="1" ht="9" customHeight="1">
      <c r="A13" s="557" t="s">
        <v>95</v>
      </c>
      <c r="B13" s="516" t="s">
        <v>331</v>
      </c>
      <c r="C13" s="517">
        <v>78365.052807500004</v>
      </c>
      <c r="D13" s="517"/>
      <c r="E13" s="517"/>
      <c r="F13" s="517">
        <v>78365.052807500004</v>
      </c>
      <c r="G13" s="559">
        <v>229410.3214325</v>
      </c>
    </row>
    <row r="14" spans="1:8" s="301" customFormat="1" ht="9" customHeight="1">
      <c r="A14" s="558" t="s">
        <v>543</v>
      </c>
      <c r="B14" s="409"/>
      <c r="C14" s="410">
        <v>78365.052807500004</v>
      </c>
      <c r="D14" s="410"/>
      <c r="E14" s="410"/>
      <c r="F14" s="410">
        <v>78365.052807500004</v>
      </c>
      <c r="G14" s="560">
        <v>229410.3214325</v>
      </c>
    </row>
    <row r="15" spans="1:8" s="301" customFormat="1" ht="9" customHeight="1">
      <c r="A15" s="557" t="s">
        <v>426</v>
      </c>
      <c r="B15" s="516" t="s">
        <v>458</v>
      </c>
      <c r="C15" s="517"/>
      <c r="D15" s="517"/>
      <c r="E15" s="517">
        <v>4320.9856625000002</v>
      </c>
      <c r="F15" s="517">
        <v>4320.9856625000002</v>
      </c>
      <c r="G15" s="559">
        <v>13019.570600000001</v>
      </c>
    </row>
    <row r="16" spans="1:8" s="301" customFormat="1" ht="9" customHeight="1">
      <c r="A16" s="558" t="s">
        <v>544</v>
      </c>
      <c r="B16" s="409"/>
      <c r="C16" s="410"/>
      <c r="D16" s="410"/>
      <c r="E16" s="410">
        <v>4320.9856625000002</v>
      </c>
      <c r="F16" s="410">
        <v>4320.9856625000002</v>
      </c>
      <c r="G16" s="560">
        <v>13019.570600000001</v>
      </c>
    </row>
    <row r="17" spans="1:7" s="301" customFormat="1" ht="9" customHeight="1">
      <c r="A17" s="557" t="s">
        <v>399</v>
      </c>
      <c r="B17" s="516" t="s">
        <v>403</v>
      </c>
      <c r="C17" s="517"/>
      <c r="D17" s="517"/>
      <c r="E17" s="517">
        <v>14645.7768025</v>
      </c>
      <c r="F17" s="517">
        <v>14645.7768025</v>
      </c>
      <c r="G17" s="559">
        <v>42302.262087499999</v>
      </c>
    </row>
    <row r="18" spans="1:7" s="301" customFormat="1" ht="9" customHeight="1">
      <c r="A18" s="558" t="s">
        <v>545</v>
      </c>
      <c r="B18" s="409"/>
      <c r="C18" s="410"/>
      <c r="D18" s="410"/>
      <c r="E18" s="410">
        <v>14645.7768025</v>
      </c>
      <c r="F18" s="410">
        <v>14645.7768025</v>
      </c>
      <c r="G18" s="560">
        <v>42302.262087499999</v>
      </c>
    </row>
    <row r="19" spans="1:7" s="301" customFormat="1" ht="9" customHeight="1">
      <c r="A19" s="557" t="s">
        <v>102</v>
      </c>
      <c r="B19" s="516" t="s">
        <v>332</v>
      </c>
      <c r="C19" s="517"/>
      <c r="D19" s="517">
        <v>0</v>
      </c>
      <c r="E19" s="517"/>
      <c r="F19" s="517">
        <v>0</v>
      </c>
      <c r="G19" s="559">
        <v>1344.2277525</v>
      </c>
    </row>
    <row r="20" spans="1:7" s="301" customFormat="1" ht="9" customHeight="1">
      <c r="A20" s="558" t="s">
        <v>546</v>
      </c>
      <c r="B20" s="409"/>
      <c r="C20" s="410"/>
      <c r="D20" s="410">
        <v>0</v>
      </c>
      <c r="E20" s="410"/>
      <c r="F20" s="410">
        <v>0</v>
      </c>
      <c r="G20" s="560">
        <v>1344.2277525</v>
      </c>
    </row>
    <row r="21" spans="1:7" s="301" customFormat="1" ht="9" customHeight="1">
      <c r="A21" s="557" t="s">
        <v>117</v>
      </c>
      <c r="B21" s="516" t="s">
        <v>333</v>
      </c>
      <c r="C21" s="517"/>
      <c r="D21" s="517">
        <v>483.14532750000001</v>
      </c>
      <c r="E21" s="517"/>
      <c r="F21" s="517">
        <v>483.14532750000001</v>
      </c>
      <c r="G21" s="559">
        <v>1829.28926</v>
      </c>
    </row>
    <row r="22" spans="1:7" s="301" customFormat="1" ht="9" customHeight="1">
      <c r="A22" s="558" t="s">
        <v>547</v>
      </c>
      <c r="B22" s="409"/>
      <c r="C22" s="410"/>
      <c r="D22" s="410">
        <v>483.14532750000001</v>
      </c>
      <c r="E22" s="410"/>
      <c r="F22" s="410">
        <v>483.14532750000001</v>
      </c>
      <c r="G22" s="560">
        <v>1829.28926</v>
      </c>
    </row>
    <row r="23" spans="1:7" s="301" customFormat="1" ht="9" customHeight="1">
      <c r="A23" s="557" t="s">
        <v>111</v>
      </c>
      <c r="B23" s="516" t="s">
        <v>452</v>
      </c>
      <c r="C23" s="517"/>
      <c r="D23" s="517"/>
      <c r="E23" s="517">
        <v>13837.525815000001</v>
      </c>
      <c r="F23" s="517">
        <v>13837.525815000001</v>
      </c>
      <c r="G23" s="559">
        <v>41955.0877425</v>
      </c>
    </row>
    <row r="24" spans="1:7" s="301" customFormat="1" ht="9" customHeight="1">
      <c r="A24" s="557"/>
      <c r="B24" s="516" t="s">
        <v>69</v>
      </c>
      <c r="C24" s="517"/>
      <c r="D24" s="517"/>
      <c r="E24" s="517">
        <v>5584.8222299999998</v>
      </c>
      <c r="F24" s="517">
        <v>5584.8222299999998</v>
      </c>
      <c r="G24" s="559">
        <v>12492.089749999999</v>
      </c>
    </row>
    <row r="25" spans="1:7" s="301" customFormat="1" ht="9" customHeight="1">
      <c r="A25" s="558" t="s">
        <v>548</v>
      </c>
      <c r="B25" s="409"/>
      <c r="C25" s="410"/>
      <c r="D25" s="410"/>
      <c r="E25" s="410">
        <v>19422.348044999999</v>
      </c>
      <c r="F25" s="410">
        <v>19422.348044999999</v>
      </c>
      <c r="G25" s="560">
        <v>54447.177492499999</v>
      </c>
    </row>
    <row r="26" spans="1:7" s="301" customFormat="1" ht="9" customHeight="1">
      <c r="A26" s="557" t="s">
        <v>90</v>
      </c>
      <c r="B26" s="516" t="s">
        <v>334</v>
      </c>
      <c r="C26" s="517">
        <v>29875.607412500001</v>
      </c>
      <c r="D26" s="517"/>
      <c r="E26" s="517"/>
      <c r="F26" s="517">
        <v>29875.607412500001</v>
      </c>
      <c r="G26" s="559">
        <v>88495.813074999998</v>
      </c>
    </row>
    <row r="27" spans="1:7" s="301" customFormat="1" ht="9" customHeight="1">
      <c r="A27" s="557"/>
      <c r="B27" s="516" t="s">
        <v>335</v>
      </c>
      <c r="C27" s="517">
        <v>107630.670495</v>
      </c>
      <c r="D27" s="517"/>
      <c r="E27" s="517"/>
      <c r="F27" s="517">
        <v>107630.670495</v>
      </c>
      <c r="G27" s="559">
        <v>317938.59180250001</v>
      </c>
    </row>
    <row r="28" spans="1:7" s="301" customFormat="1" ht="9" customHeight="1">
      <c r="A28" s="557"/>
      <c r="B28" s="516" t="s">
        <v>336</v>
      </c>
      <c r="C28" s="517">
        <v>21481.083554999997</v>
      </c>
      <c r="D28" s="517"/>
      <c r="E28" s="517"/>
      <c r="F28" s="517">
        <v>21481.083554999997</v>
      </c>
      <c r="G28" s="559">
        <v>53850.803104999999</v>
      </c>
    </row>
    <row r="29" spans="1:7" s="301" customFormat="1" ht="9" customHeight="1">
      <c r="A29" s="557"/>
      <c r="B29" s="516" t="s">
        <v>337</v>
      </c>
      <c r="C29" s="517">
        <v>145.50197</v>
      </c>
      <c r="D29" s="517"/>
      <c r="E29" s="517"/>
      <c r="F29" s="517">
        <v>145.50197</v>
      </c>
      <c r="G29" s="559">
        <v>454.28968249999997</v>
      </c>
    </row>
    <row r="30" spans="1:7" s="301" customFormat="1" ht="9" customHeight="1">
      <c r="A30" s="557"/>
      <c r="B30" s="516" t="s">
        <v>338</v>
      </c>
      <c r="C30" s="517">
        <v>23106.711664999999</v>
      </c>
      <c r="D30" s="517"/>
      <c r="E30" s="517"/>
      <c r="F30" s="517">
        <v>23106.711664999999</v>
      </c>
      <c r="G30" s="559">
        <v>77718.425617500005</v>
      </c>
    </row>
    <row r="31" spans="1:7" s="301" customFormat="1" ht="9" customHeight="1">
      <c r="A31" s="557"/>
      <c r="B31" s="516" t="s">
        <v>339</v>
      </c>
      <c r="C31" s="517">
        <v>2636.7534500000002</v>
      </c>
      <c r="D31" s="517"/>
      <c r="E31" s="517"/>
      <c r="F31" s="517">
        <v>2636.7534500000002</v>
      </c>
      <c r="G31" s="559">
        <v>7451.1173199999994</v>
      </c>
    </row>
    <row r="32" spans="1:7" s="301" customFormat="1" ht="9" customHeight="1">
      <c r="A32" s="557"/>
      <c r="B32" s="516" t="s">
        <v>340</v>
      </c>
      <c r="C32" s="517">
        <v>4961.9331000000002</v>
      </c>
      <c r="D32" s="517"/>
      <c r="E32" s="517"/>
      <c r="F32" s="517">
        <v>4961.9331000000002</v>
      </c>
      <c r="G32" s="559">
        <v>13891.633379999999</v>
      </c>
    </row>
    <row r="33" spans="1:7" s="301" customFormat="1" ht="9" customHeight="1">
      <c r="A33" s="557"/>
      <c r="B33" s="516" t="s">
        <v>341</v>
      </c>
      <c r="C33" s="517">
        <v>4050.8648025000002</v>
      </c>
      <c r="D33" s="517"/>
      <c r="E33" s="517"/>
      <c r="F33" s="517">
        <v>4050.8648025000002</v>
      </c>
      <c r="G33" s="559">
        <v>4840.5062050000006</v>
      </c>
    </row>
    <row r="34" spans="1:7" s="301" customFormat="1" ht="9" customHeight="1">
      <c r="A34" s="557"/>
      <c r="B34" s="516" t="s">
        <v>342</v>
      </c>
      <c r="C34" s="517">
        <v>3239.4385574999997</v>
      </c>
      <c r="D34" s="517"/>
      <c r="E34" s="517"/>
      <c r="F34" s="517">
        <v>3239.4385574999997</v>
      </c>
      <c r="G34" s="559">
        <v>7747.7618474999999</v>
      </c>
    </row>
    <row r="35" spans="1:7" s="301" customFormat="1" ht="8.25" customHeight="1">
      <c r="A35" s="557"/>
      <c r="B35" s="516" t="s">
        <v>343</v>
      </c>
      <c r="C35" s="517">
        <v>372.7222175</v>
      </c>
      <c r="D35" s="517"/>
      <c r="E35" s="517"/>
      <c r="F35" s="517">
        <v>372.7222175</v>
      </c>
      <c r="G35" s="559">
        <v>903.79288500000007</v>
      </c>
    </row>
    <row r="36" spans="1:7" s="301" customFormat="1" ht="9" customHeight="1">
      <c r="A36" s="557"/>
      <c r="B36" s="516" t="s">
        <v>344</v>
      </c>
      <c r="C36" s="517">
        <v>273.67890999999997</v>
      </c>
      <c r="D36" s="517"/>
      <c r="E36" s="517"/>
      <c r="F36" s="517">
        <v>273.67890999999997</v>
      </c>
      <c r="G36" s="559">
        <v>768.66707999999994</v>
      </c>
    </row>
    <row r="37" spans="1:7" s="301" customFormat="1" ht="9" customHeight="1">
      <c r="A37" s="557"/>
      <c r="B37" s="516" t="s">
        <v>345</v>
      </c>
      <c r="C37" s="517">
        <v>71270.476087499992</v>
      </c>
      <c r="D37" s="517"/>
      <c r="E37" s="517"/>
      <c r="F37" s="517">
        <v>71270.476087499992</v>
      </c>
      <c r="G37" s="559">
        <v>208022.00817749999</v>
      </c>
    </row>
    <row r="38" spans="1:7" s="301" customFormat="1" ht="9" customHeight="1">
      <c r="A38" s="558" t="s">
        <v>549</v>
      </c>
      <c r="B38" s="409"/>
      <c r="C38" s="410">
        <v>269045.44222249999</v>
      </c>
      <c r="D38" s="410"/>
      <c r="E38" s="410"/>
      <c r="F38" s="410">
        <v>269045.44222249999</v>
      </c>
      <c r="G38" s="560">
        <v>782083.41017749999</v>
      </c>
    </row>
    <row r="39" spans="1:7" s="301" customFormat="1" ht="9" customHeight="1">
      <c r="A39" s="557" t="s">
        <v>109</v>
      </c>
      <c r="B39" s="516" t="s">
        <v>229</v>
      </c>
      <c r="C39" s="517"/>
      <c r="D39" s="517"/>
      <c r="E39" s="517">
        <v>5346.6748125000004</v>
      </c>
      <c r="F39" s="517">
        <v>5346.6748125000004</v>
      </c>
      <c r="G39" s="559">
        <v>15977.273332500001</v>
      </c>
    </row>
    <row r="40" spans="1:7" s="301" customFormat="1" ht="9" customHeight="1">
      <c r="A40" s="558" t="s">
        <v>550</v>
      </c>
      <c r="B40" s="409"/>
      <c r="C40" s="410"/>
      <c r="D40" s="410"/>
      <c r="E40" s="410">
        <v>5346.6748125000004</v>
      </c>
      <c r="F40" s="410">
        <v>5346.6748125000004</v>
      </c>
      <c r="G40" s="560">
        <v>15977.273332500001</v>
      </c>
    </row>
    <row r="41" spans="1:7" s="301" customFormat="1" ht="9" customHeight="1">
      <c r="A41" s="557" t="s">
        <v>100</v>
      </c>
      <c r="B41" s="516" t="s">
        <v>428</v>
      </c>
      <c r="C41" s="517"/>
      <c r="D41" s="517">
        <v>69546.611862499994</v>
      </c>
      <c r="E41" s="517"/>
      <c r="F41" s="517">
        <v>69546.611862499994</v>
      </c>
      <c r="G41" s="559">
        <v>168867.279335</v>
      </c>
    </row>
    <row r="42" spans="1:7" s="301" customFormat="1" ht="9" customHeight="1">
      <c r="A42" s="558" t="s">
        <v>551</v>
      </c>
      <c r="B42" s="409"/>
      <c r="C42" s="410"/>
      <c r="D42" s="410">
        <v>69546.611862499994</v>
      </c>
      <c r="E42" s="410"/>
      <c r="F42" s="410">
        <v>69546.611862499994</v>
      </c>
      <c r="G42" s="560">
        <v>168867.279335</v>
      </c>
    </row>
    <row r="43" spans="1:7">
      <c r="A43" s="557" t="s">
        <v>105</v>
      </c>
      <c r="B43" s="516" t="s">
        <v>346</v>
      </c>
      <c r="C43" s="516"/>
      <c r="D43" s="517">
        <v>13329.999002500001</v>
      </c>
      <c r="E43" s="517"/>
      <c r="F43" s="517">
        <v>13329.999002500001</v>
      </c>
      <c r="G43" s="559">
        <v>31997.297442499999</v>
      </c>
    </row>
    <row r="44" spans="1:7">
      <c r="A44" s="558" t="s">
        <v>552</v>
      </c>
      <c r="B44" s="409"/>
      <c r="C44" s="410"/>
      <c r="D44" s="410">
        <v>13329.999002500001</v>
      </c>
      <c r="E44" s="410"/>
      <c r="F44" s="410">
        <v>13329.999002500001</v>
      </c>
      <c r="G44" s="560">
        <v>31997.297442499999</v>
      </c>
    </row>
    <row r="45" spans="1:7">
      <c r="A45" s="394" t="s">
        <v>419</v>
      </c>
      <c r="B45" s="394"/>
      <c r="C45" s="393">
        <v>2889904.3561474998</v>
      </c>
      <c r="D45" s="393">
        <v>1245512.5305425001</v>
      </c>
      <c r="E45" s="393">
        <v>483888.04439750005</v>
      </c>
      <c r="F45" s="393">
        <v>4619304.9310875013</v>
      </c>
      <c r="G45" s="524">
        <v>13331094.206179999</v>
      </c>
    </row>
    <row r="46" spans="1:7">
      <c r="A46" s="394" t="s">
        <v>347</v>
      </c>
      <c r="B46" s="394"/>
      <c r="C46" s="395"/>
      <c r="D46" s="395"/>
      <c r="E46" s="426"/>
      <c r="F46" s="396">
        <f>+'3. Tipo Generación'!D14*1000</f>
        <v>0</v>
      </c>
      <c r="G46" s="525">
        <f>+'4. Tipo Recurso'!$G$21*1000</f>
        <v>0</v>
      </c>
    </row>
    <row r="47" spans="1:7">
      <c r="A47" s="526" t="s">
        <v>348</v>
      </c>
      <c r="B47" s="394"/>
      <c r="C47" s="395"/>
      <c r="D47" s="395"/>
      <c r="E47" s="426"/>
      <c r="F47" s="396"/>
      <c r="G47" s="525"/>
    </row>
    <row r="48" spans="1:7" ht="6.75" customHeight="1">
      <c r="A48" s="527"/>
      <c r="B48" s="527"/>
      <c r="C48" s="527"/>
      <c r="D48" s="527"/>
      <c r="E48" s="527"/>
      <c r="F48" s="527"/>
      <c r="G48" s="527"/>
    </row>
    <row r="49" spans="1:8" ht="23.25" customHeight="1">
      <c r="A49" s="916" t="s">
        <v>460</v>
      </c>
      <c r="B49" s="916"/>
      <c r="C49" s="916"/>
      <c r="D49" s="916"/>
      <c r="E49" s="916"/>
      <c r="F49" s="916"/>
      <c r="G49" s="916"/>
    </row>
    <row r="50" spans="1:8" ht="17.25" customHeight="1">
      <c r="A50" s="573"/>
      <c r="B50" s="573"/>
      <c r="C50" s="573"/>
      <c r="D50" s="573"/>
      <c r="E50" s="573"/>
      <c r="F50" s="573"/>
      <c r="G50" s="573"/>
      <c r="H50" s="46"/>
    </row>
    <row r="51" spans="1:8" ht="17.25" customHeight="1">
      <c r="A51" s="775" t="s">
        <v>793</v>
      </c>
      <c r="B51" s="573"/>
      <c r="C51" s="573"/>
      <c r="D51" s="573"/>
      <c r="E51" s="573"/>
      <c r="F51" s="573"/>
      <c r="G51" s="573"/>
      <c r="H51" s="46"/>
    </row>
    <row r="52" spans="1:8" s="329" customFormat="1" ht="17.25" customHeight="1">
      <c r="A52" s="776" t="s">
        <v>794</v>
      </c>
      <c r="B52" s="573"/>
      <c r="C52" s="573"/>
      <c r="D52" s="573"/>
      <c r="E52" s="573"/>
      <c r="F52" s="573"/>
      <c r="G52" s="573"/>
      <c r="H52" s="46"/>
    </row>
    <row r="53" spans="1:8" ht="17.25" customHeight="1">
      <c r="A53" s="573"/>
      <c r="B53" s="573"/>
      <c r="C53" s="573"/>
      <c r="D53" s="573"/>
      <c r="E53" s="573"/>
      <c r="F53" s="573"/>
      <c r="G53" s="573"/>
      <c r="H53" s="46"/>
    </row>
    <row r="54" spans="1:8" ht="17.25" customHeight="1">
      <c r="A54" s="573"/>
      <c r="B54" s="275"/>
      <c r="C54" s="275"/>
      <c r="D54" s="275"/>
      <c r="E54" s="275"/>
      <c r="F54" s="275"/>
      <c r="G54" s="46"/>
      <c r="H54" s="46"/>
    </row>
    <row r="55" spans="1:8" ht="17.25" customHeight="1">
      <c r="A55" s="573"/>
      <c r="B55" s="275"/>
      <c r="C55" s="275"/>
      <c r="D55" s="275"/>
      <c r="E55" s="275"/>
      <c r="F55" s="275"/>
      <c r="G55" s="46"/>
      <c r="H55" s="46"/>
    </row>
    <row r="56" spans="1:8" ht="22.5" customHeight="1">
      <c r="A56" s="726"/>
      <c r="B56" s="726"/>
      <c r="C56" s="726"/>
      <c r="D56" s="726"/>
      <c r="E56" s="726"/>
      <c r="F56" s="726"/>
      <c r="G56" s="726"/>
    </row>
    <row r="57" spans="1:8" ht="16.5" customHeight="1">
      <c r="A57" s="573"/>
      <c r="B57" s="271"/>
      <c r="C57" s="271"/>
      <c r="D57" s="271"/>
      <c r="E57" s="271"/>
      <c r="F57" s="271"/>
    </row>
    <row r="58" spans="1:8" s="582" customFormat="1" ht="16.5" customHeight="1">
      <c r="A58" s="573"/>
      <c r="B58" s="271"/>
      <c r="C58" s="271"/>
      <c r="D58" s="271"/>
      <c r="E58" s="271"/>
      <c r="F58" s="271"/>
    </row>
    <row r="59" spans="1:8" s="582" customFormat="1" ht="16.5" customHeight="1">
      <c r="A59" s="573"/>
      <c r="B59" s="271"/>
      <c r="C59" s="271"/>
      <c r="D59" s="271"/>
      <c r="E59" s="271"/>
      <c r="F59" s="271"/>
    </row>
    <row r="60" spans="1:8">
      <c r="A60" s="301"/>
      <c r="B60" s="271"/>
      <c r="C60" s="271"/>
      <c r="D60" s="271"/>
      <c r="E60" s="271"/>
      <c r="F60" s="271"/>
    </row>
    <row r="61" spans="1:8">
      <c r="A61" s="301"/>
      <c r="B61" s="271"/>
      <c r="C61" s="271"/>
      <c r="D61" s="271"/>
      <c r="E61" s="271"/>
      <c r="F61" s="271"/>
    </row>
    <row r="62" spans="1:8">
      <c r="A62" s="301"/>
      <c r="B62" s="271"/>
      <c r="C62" s="271"/>
      <c r="D62" s="271"/>
      <c r="E62" s="271"/>
      <c r="F62" s="271"/>
    </row>
    <row r="63" spans="1:8">
      <c r="A63" s="301"/>
      <c r="B63" s="271"/>
      <c r="C63" s="271"/>
      <c r="D63" s="271"/>
      <c r="E63" s="271"/>
      <c r="F63" s="271"/>
    </row>
    <row r="64" spans="1:8">
      <c r="A64" s="301"/>
      <c r="B64" s="271"/>
      <c r="C64" s="271"/>
      <c r="D64" s="271"/>
      <c r="E64" s="271"/>
      <c r="F64" s="271"/>
    </row>
    <row r="65" spans="1:1">
      <c r="A65" s="301"/>
    </row>
    <row r="66" spans="1:1">
      <c r="A66" s="301"/>
    </row>
    <row r="67" spans="1:1">
      <c r="A67" s="301"/>
    </row>
  </sheetData>
  <mergeCells count="6">
    <mergeCell ref="A49:G49"/>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0" workbookViewId="0">
      <selection activeCell="O61" sqref="O61"/>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36" t="s">
        <v>351</v>
      </c>
      <c r="B1" s="537"/>
      <c r="C1" s="537"/>
      <c r="D1" s="537"/>
      <c r="E1" s="537"/>
      <c r="F1" s="537"/>
    </row>
    <row r="2" spans="1:12" s="301" customFormat="1" ht="11.25" customHeight="1">
      <c r="A2" s="917" t="s">
        <v>248</v>
      </c>
      <c r="B2" s="920" t="s">
        <v>54</v>
      </c>
      <c r="C2" s="920" t="s">
        <v>352</v>
      </c>
      <c r="D2" s="920"/>
      <c r="E2" s="920"/>
      <c r="F2" s="923"/>
      <c r="G2" s="343"/>
      <c r="H2" s="343"/>
      <c r="I2" s="343"/>
      <c r="J2" s="343"/>
      <c r="K2" s="343"/>
    </row>
    <row r="3" spans="1:12" s="301" customFormat="1" ht="11.25" customHeight="1">
      <c r="A3" s="918"/>
      <c r="B3" s="921"/>
      <c r="C3" s="397" t="str">
        <f>UPPER('1. Resumen'!Q4)&amp;" "&amp;'1. Resumen'!Q5</f>
        <v>MARZO 2021</v>
      </c>
      <c r="D3" s="398" t="str">
        <f>UPPER('1. Resumen'!Q4)&amp;" "&amp;'1. Resumen'!Q5-1</f>
        <v>MARZO 2020</v>
      </c>
      <c r="E3" s="398">
        <v>2021</v>
      </c>
      <c r="F3" s="528" t="s">
        <v>579</v>
      </c>
      <c r="G3" s="344"/>
      <c r="H3" s="344"/>
      <c r="I3" s="344"/>
      <c r="J3" s="344"/>
      <c r="K3" s="344"/>
      <c r="L3" s="343"/>
    </row>
    <row r="4" spans="1:12" s="301" customFormat="1" ht="11.25" customHeight="1">
      <c r="A4" s="918"/>
      <c r="B4" s="921"/>
      <c r="C4" s="400">
        <f>+'8. Max Potencia'!D8</f>
        <v>44259.833333333336</v>
      </c>
      <c r="D4" s="400">
        <f>+'8. Max Potencia'!E8</f>
        <v>43899.822916666664</v>
      </c>
      <c r="E4" s="400">
        <f>+'8. Max Potencia'!G8</f>
        <v>44204.822916666664</v>
      </c>
      <c r="F4" s="529" t="s">
        <v>349</v>
      </c>
      <c r="G4" s="345"/>
      <c r="H4" s="345"/>
      <c r="I4" s="346"/>
      <c r="J4" s="346"/>
      <c r="K4" s="346"/>
      <c r="L4" s="343"/>
    </row>
    <row r="5" spans="1:12" s="301" customFormat="1" ht="11.25" customHeight="1">
      <c r="A5" s="919"/>
      <c r="B5" s="922"/>
      <c r="C5" s="531">
        <f>+'8. Max Potencia'!D9</f>
        <v>44259.833333333336</v>
      </c>
      <c r="D5" s="531">
        <f>+'8. Max Potencia'!E9</f>
        <v>43899.822916666664</v>
      </c>
      <c r="E5" s="531">
        <f>+'8. Max Potencia'!G9</f>
        <v>44204.822916666664</v>
      </c>
      <c r="F5" s="532" t="s">
        <v>350</v>
      </c>
      <c r="G5" s="345"/>
      <c r="H5" s="345"/>
      <c r="I5" s="345"/>
      <c r="J5" s="345"/>
      <c r="K5" s="345"/>
      <c r="L5" s="347"/>
    </row>
    <row r="6" spans="1:12" s="301" customFormat="1" ht="9" customHeight="1">
      <c r="A6" s="563" t="s">
        <v>119</v>
      </c>
      <c r="B6" s="341" t="s">
        <v>86</v>
      </c>
      <c r="C6" s="342">
        <v>0</v>
      </c>
      <c r="D6" s="342">
        <v>0</v>
      </c>
      <c r="E6" s="342">
        <v>0</v>
      </c>
      <c r="F6" s="727" t="str">
        <f>+IF(D6=0,"",C6/D6-1)</f>
        <v/>
      </c>
      <c r="G6" s="345"/>
      <c r="H6" s="591"/>
      <c r="I6" s="591"/>
      <c r="J6" s="345"/>
      <c r="K6" s="345"/>
      <c r="L6" s="348"/>
    </row>
    <row r="7" spans="1:12" s="301" customFormat="1" ht="9" customHeight="1">
      <c r="A7" s="558" t="s">
        <v>499</v>
      </c>
      <c r="B7" s="409"/>
      <c r="C7" s="410">
        <v>0</v>
      </c>
      <c r="D7" s="410">
        <v>0</v>
      </c>
      <c r="E7" s="410">
        <v>0</v>
      </c>
      <c r="F7" s="728" t="str">
        <f t="shared" ref="F7:F70" si="0">+IF(D7=0,"",C7/D7-1)</f>
        <v/>
      </c>
      <c r="G7" s="345"/>
      <c r="H7" s="591"/>
      <c r="I7" s="591"/>
      <c r="J7" s="345"/>
      <c r="K7" s="345"/>
      <c r="L7" s="349"/>
    </row>
    <row r="8" spans="1:12" s="301" customFormat="1" ht="9" customHeight="1">
      <c r="A8" s="563" t="s">
        <v>118</v>
      </c>
      <c r="B8" s="341" t="s">
        <v>63</v>
      </c>
      <c r="C8" s="342">
        <v>19.952439999999999</v>
      </c>
      <c r="D8" s="342">
        <v>18.959669999999999</v>
      </c>
      <c r="E8" s="342">
        <v>19.876760000000001</v>
      </c>
      <c r="F8" s="727">
        <f t="shared" si="0"/>
        <v>5.2362198287206452E-2</v>
      </c>
      <c r="G8" s="345"/>
      <c r="H8" s="591"/>
      <c r="I8" s="591"/>
      <c r="J8" s="345"/>
      <c r="K8" s="345"/>
      <c r="L8" s="350"/>
    </row>
    <row r="9" spans="1:12" s="301" customFormat="1" ht="9" customHeight="1">
      <c r="A9" s="558" t="s">
        <v>500</v>
      </c>
      <c r="B9" s="409"/>
      <c r="C9" s="410">
        <v>19.952439999999999</v>
      </c>
      <c r="D9" s="410">
        <v>18.959669999999999</v>
      </c>
      <c r="E9" s="410">
        <v>19.876760000000001</v>
      </c>
      <c r="F9" s="728">
        <f t="shared" si="0"/>
        <v>5.2362198287206452E-2</v>
      </c>
      <c r="G9" s="345"/>
      <c r="H9" s="591"/>
      <c r="I9" s="591"/>
      <c r="J9" s="345"/>
      <c r="K9" s="345"/>
      <c r="L9" s="349"/>
    </row>
    <row r="10" spans="1:12" s="301" customFormat="1" ht="9" customHeight="1">
      <c r="A10" s="557" t="s">
        <v>106</v>
      </c>
      <c r="B10" s="516" t="s">
        <v>83</v>
      </c>
      <c r="C10" s="517">
        <v>0</v>
      </c>
      <c r="D10" s="517">
        <v>0</v>
      </c>
      <c r="E10" s="517">
        <v>14.8032</v>
      </c>
      <c r="F10" s="729" t="str">
        <f t="shared" si="0"/>
        <v/>
      </c>
      <c r="G10" s="345"/>
      <c r="H10" s="591"/>
      <c r="I10" s="591"/>
      <c r="J10" s="345"/>
      <c r="K10" s="345"/>
      <c r="L10" s="349"/>
    </row>
    <row r="11" spans="1:12" s="301" customFormat="1" ht="9" customHeight="1">
      <c r="A11" s="558" t="s">
        <v>501</v>
      </c>
      <c r="B11" s="409"/>
      <c r="C11" s="410">
        <v>0</v>
      </c>
      <c r="D11" s="410">
        <v>0</v>
      </c>
      <c r="E11" s="410">
        <v>14.8032</v>
      </c>
      <c r="F11" s="728" t="str">
        <f t="shared" si="0"/>
        <v/>
      </c>
      <c r="G11" s="345"/>
      <c r="H11" s="591"/>
      <c r="I11" s="591"/>
      <c r="J11" s="345"/>
      <c r="K11" s="345"/>
      <c r="L11" s="349"/>
    </row>
    <row r="12" spans="1:12" s="301" customFormat="1" ht="9" customHeight="1">
      <c r="A12" s="557" t="s">
        <v>415</v>
      </c>
      <c r="B12" s="516" t="s">
        <v>417</v>
      </c>
      <c r="C12" s="517">
        <v>14.75521</v>
      </c>
      <c r="D12" s="517">
        <v>20.756149999999998</v>
      </c>
      <c r="E12" s="517">
        <v>20.57124</v>
      </c>
      <c r="F12" s="729">
        <f t="shared" si="0"/>
        <v>-0.28911623783794194</v>
      </c>
      <c r="G12" s="345"/>
      <c r="H12" s="591"/>
      <c r="I12" s="591"/>
      <c r="J12" s="345"/>
      <c r="K12" s="345"/>
      <c r="L12" s="349"/>
    </row>
    <row r="13" spans="1:12" s="301" customFormat="1" ht="9" customHeight="1">
      <c r="A13" s="558" t="s">
        <v>502</v>
      </c>
      <c r="B13" s="409"/>
      <c r="C13" s="410">
        <v>14.75521</v>
      </c>
      <c r="D13" s="410">
        <v>20.756149999999998</v>
      </c>
      <c r="E13" s="410">
        <v>20.57124</v>
      </c>
      <c r="F13" s="728">
        <f t="shared" si="0"/>
        <v>-0.28911623783794194</v>
      </c>
      <c r="G13" s="345"/>
      <c r="H13" s="591"/>
      <c r="I13" s="591"/>
      <c r="J13" s="345"/>
      <c r="K13" s="345"/>
      <c r="L13" s="349"/>
    </row>
    <row r="14" spans="1:12" s="301" customFormat="1" ht="9" customHeight="1">
      <c r="A14" s="557" t="s">
        <v>561</v>
      </c>
      <c r="B14" s="516" t="s">
        <v>75</v>
      </c>
      <c r="C14" s="517">
        <v>0.54164000000000001</v>
      </c>
      <c r="D14" s="517">
        <v>0.69538</v>
      </c>
      <c r="E14" s="517">
        <v>0.89524000000000004</v>
      </c>
      <c r="F14" s="729">
        <f t="shared" si="0"/>
        <v>-0.22108775058241537</v>
      </c>
      <c r="G14" s="345"/>
      <c r="H14" s="591"/>
      <c r="I14" s="591"/>
      <c r="J14" s="345"/>
      <c r="K14" s="345"/>
      <c r="L14" s="349"/>
    </row>
    <row r="15" spans="1:12" s="301" customFormat="1" ht="9" customHeight="1">
      <c r="A15" s="558" t="s">
        <v>565</v>
      </c>
      <c r="B15" s="409"/>
      <c r="C15" s="410">
        <v>0.54164000000000001</v>
      </c>
      <c r="D15" s="410">
        <v>0.69538</v>
      </c>
      <c r="E15" s="410">
        <v>0.89524000000000004</v>
      </c>
      <c r="F15" s="728">
        <f t="shared" si="0"/>
        <v>-0.22108775058241537</v>
      </c>
      <c r="G15" s="345"/>
      <c r="H15" s="591"/>
      <c r="I15" s="591"/>
      <c r="J15" s="345"/>
      <c r="K15" s="345"/>
      <c r="L15" s="349"/>
    </row>
    <row r="16" spans="1:12" s="301" customFormat="1" ht="9" customHeight="1">
      <c r="A16" s="557" t="s">
        <v>448</v>
      </c>
      <c r="B16" s="516" t="s">
        <v>455</v>
      </c>
      <c r="C16" s="517">
        <v>9.0625</v>
      </c>
      <c r="D16" s="517">
        <v>8.4280000000000008</v>
      </c>
      <c r="E16" s="517">
        <v>9.21875</v>
      </c>
      <c r="F16" s="729">
        <f t="shared" si="0"/>
        <v>7.5284765068818205E-2</v>
      </c>
      <c r="G16" s="345"/>
      <c r="H16" s="591"/>
      <c r="I16" s="591"/>
      <c r="J16" s="345"/>
      <c r="K16" s="345"/>
      <c r="L16" s="349"/>
    </row>
    <row r="17" spans="1:16" s="301" customFormat="1" ht="9" customHeight="1">
      <c r="A17" s="558" t="s">
        <v>503</v>
      </c>
      <c r="B17" s="409"/>
      <c r="C17" s="410">
        <v>9.0625</v>
      </c>
      <c r="D17" s="410">
        <v>8.4280000000000008</v>
      </c>
      <c r="E17" s="410">
        <v>9.21875</v>
      </c>
      <c r="F17" s="728">
        <f t="shared" si="0"/>
        <v>7.5284765068818205E-2</v>
      </c>
      <c r="G17" s="345"/>
      <c r="H17" s="591"/>
      <c r="I17" s="591"/>
      <c r="J17" s="345"/>
      <c r="K17" s="345"/>
      <c r="L17" s="350"/>
    </row>
    <row r="18" spans="1:16" s="301" customFormat="1" ht="9" customHeight="1">
      <c r="A18" s="557" t="s">
        <v>94</v>
      </c>
      <c r="B18" s="516" t="s">
        <v>279</v>
      </c>
      <c r="C18" s="517">
        <v>179.65536</v>
      </c>
      <c r="D18" s="517">
        <v>213.68581</v>
      </c>
      <c r="E18" s="517">
        <v>215.75957</v>
      </c>
      <c r="F18" s="729">
        <f t="shared" si="0"/>
        <v>-0.15925460843656392</v>
      </c>
      <c r="G18" s="345"/>
      <c r="H18" s="591"/>
      <c r="I18" s="591"/>
      <c r="J18" s="345"/>
      <c r="K18" s="345"/>
      <c r="L18" s="350"/>
    </row>
    <row r="19" spans="1:16" s="301" customFormat="1" ht="9" customHeight="1">
      <c r="A19" s="558" t="s">
        <v>504</v>
      </c>
      <c r="B19" s="409"/>
      <c r="C19" s="410">
        <v>179.65536</v>
      </c>
      <c r="D19" s="410">
        <v>213.68581</v>
      </c>
      <c r="E19" s="410">
        <v>215.75957</v>
      </c>
      <c r="F19" s="728">
        <f t="shared" si="0"/>
        <v>-0.15925460843656392</v>
      </c>
      <c r="G19" s="345"/>
      <c r="H19" s="591"/>
      <c r="I19" s="591"/>
      <c r="J19" s="345"/>
      <c r="K19" s="345"/>
      <c r="L19" s="350"/>
    </row>
    <row r="20" spans="1:16" s="301" customFormat="1" ht="9" customHeight="1">
      <c r="A20" s="557" t="s">
        <v>564</v>
      </c>
      <c r="B20" s="516" t="s">
        <v>321</v>
      </c>
      <c r="C20" s="517">
        <v>18.75328</v>
      </c>
      <c r="D20" s="517">
        <v>19.122900000000001</v>
      </c>
      <c r="E20" s="517">
        <v>18.80396</v>
      </c>
      <c r="F20" s="729">
        <f t="shared" si="0"/>
        <v>-1.9328658310193592E-2</v>
      </c>
      <c r="G20" s="345"/>
      <c r="H20" s="591"/>
      <c r="I20" s="591"/>
      <c r="J20" s="345"/>
      <c r="K20" s="345"/>
      <c r="L20" s="345"/>
      <c r="M20" s="345"/>
      <c r="N20" s="345"/>
      <c r="O20" s="345"/>
      <c r="P20" s="345"/>
    </row>
    <row r="21" spans="1:16" s="301" customFormat="1" ht="9" customHeight="1">
      <c r="A21" s="558" t="s">
        <v>566</v>
      </c>
      <c r="B21" s="409"/>
      <c r="C21" s="410">
        <v>18.75328</v>
      </c>
      <c r="D21" s="410">
        <v>19.122900000000001</v>
      </c>
      <c r="E21" s="410">
        <v>18.80396</v>
      </c>
      <c r="F21" s="728">
        <f t="shared" si="0"/>
        <v>-1.9328658310193592E-2</v>
      </c>
      <c r="G21" s="345"/>
      <c r="H21" s="591"/>
      <c r="I21" s="591"/>
      <c r="J21" s="345"/>
      <c r="K21" s="345"/>
      <c r="L21" s="345"/>
      <c r="M21" s="345"/>
      <c r="N21" s="345"/>
      <c r="O21" s="345"/>
      <c r="P21" s="345"/>
    </row>
    <row r="22" spans="1:16" s="301" customFormat="1" ht="9" customHeight="1">
      <c r="A22" s="557" t="s">
        <v>234</v>
      </c>
      <c r="B22" s="516" t="s">
        <v>280</v>
      </c>
      <c r="C22" s="517">
        <v>0</v>
      </c>
      <c r="D22" s="517">
        <v>0</v>
      </c>
      <c r="E22" s="517">
        <v>0</v>
      </c>
      <c r="F22" s="729" t="str">
        <f t="shared" si="0"/>
        <v/>
      </c>
      <c r="G22" s="345"/>
      <c r="H22" s="591"/>
      <c r="I22" s="591"/>
      <c r="J22" s="345"/>
      <c r="K22" s="345"/>
      <c r="L22" s="349"/>
    </row>
    <row r="23" spans="1:16" s="301" customFormat="1" ht="9" customHeight="1">
      <c r="A23" s="558" t="s">
        <v>505</v>
      </c>
      <c r="B23" s="409"/>
      <c r="C23" s="410">
        <v>0</v>
      </c>
      <c r="D23" s="410">
        <v>0</v>
      </c>
      <c r="E23" s="410">
        <v>0</v>
      </c>
      <c r="F23" s="728" t="str">
        <f t="shared" si="0"/>
        <v/>
      </c>
      <c r="G23" s="345"/>
      <c r="H23" s="591"/>
      <c r="I23" s="591"/>
      <c r="J23" s="345"/>
      <c r="K23" s="345"/>
      <c r="L23" s="349"/>
    </row>
    <row r="24" spans="1:16" s="301" customFormat="1" ht="9" customHeight="1">
      <c r="A24" s="557" t="s">
        <v>93</v>
      </c>
      <c r="B24" s="516" t="s">
        <v>281</v>
      </c>
      <c r="C24" s="517">
        <v>133.5718</v>
      </c>
      <c r="D24" s="517">
        <v>153.31</v>
      </c>
      <c r="E24" s="517">
        <v>0</v>
      </c>
      <c r="F24" s="729">
        <f t="shared" si="0"/>
        <v>-0.12874698323657952</v>
      </c>
      <c r="G24" s="345"/>
      <c r="H24" s="591"/>
      <c r="I24" s="591"/>
      <c r="J24" s="345"/>
      <c r="K24" s="345"/>
      <c r="L24" s="349"/>
    </row>
    <row r="25" spans="1:16" s="301" customFormat="1" ht="9" customHeight="1">
      <c r="A25" s="557"/>
      <c r="B25" s="516" t="s">
        <v>282</v>
      </c>
      <c r="C25" s="517">
        <v>35.752969999999998</v>
      </c>
      <c r="D25" s="517">
        <v>42.650129999999997</v>
      </c>
      <c r="E25" s="517">
        <v>42.658540000000002</v>
      </c>
      <c r="F25" s="729">
        <f t="shared" si="0"/>
        <v>-0.1617148646440234</v>
      </c>
      <c r="G25" s="345"/>
      <c r="H25" s="591"/>
      <c r="I25" s="591"/>
      <c r="J25" s="345"/>
      <c r="K25" s="345"/>
      <c r="L25" s="349"/>
    </row>
    <row r="26" spans="1:16" s="301" customFormat="1" ht="9" customHeight="1">
      <c r="A26" s="558" t="s">
        <v>506</v>
      </c>
      <c r="B26" s="409"/>
      <c r="C26" s="410">
        <v>169.32477</v>
      </c>
      <c r="D26" s="410">
        <v>195.96012999999999</v>
      </c>
      <c r="E26" s="410">
        <v>42.658540000000002</v>
      </c>
      <c r="F26" s="728">
        <f t="shared" si="0"/>
        <v>-0.13592234297864569</v>
      </c>
      <c r="G26" s="345"/>
      <c r="H26" s="591"/>
      <c r="I26" s="591"/>
      <c r="J26" s="345"/>
      <c r="K26" s="345"/>
      <c r="L26" s="349"/>
    </row>
    <row r="27" spans="1:16" s="301" customFormat="1" ht="9" customHeight="1">
      <c r="A27" s="557" t="s">
        <v>91</v>
      </c>
      <c r="B27" s="516" t="s">
        <v>283</v>
      </c>
      <c r="C27" s="517">
        <v>1.56257</v>
      </c>
      <c r="D27" s="517">
        <v>1.6455199999999999</v>
      </c>
      <c r="E27" s="517">
        <v>1.65076</v>
      </c>
      <c r="F27" s="729">
        <f t="shared" si="0"/>
        <v>-5.0409596966308423E-2</v>
      </c>
      <c r="G27" s="345"/>
      <c r="H27" s="591"/>
      <c r="I27" s="591"/>
      <c r="J27" s="345"/>
      <c r="K27" s="345"/>
      <c r="L27" s="349"/>
    </row>
    <row r="28" spans="1:16" s="301" customFormat="1" ht="9" customHeight="1">
      <c r="A28" s="557"/>
      <c r="B28" s="516" t="s">
        <v>284</v>
      </c>
      <c r="C28" s="517">
        <v>0.57191000000000003</v>
      </c>
      <c r="D28" s="517">
        <v>0.56581000000000004</v>
      </c>
      <c r="E28" s="517">
        <v>0.56249000000000005</v>
      </c>
      <c r="F28" s="729">
        <f t="shared" si="0"/>
        <v>1.0781004224032831E-2</v>
      </c>
      <c r="G28" s="345"/>
      <c r="H28" s="591"/>
      <c r="I28" s="591"/>
      <c r="J28" s="345"/>
      <c r="K28" s="345"/>
      <c r="L28" s="349"/>
    </row>
    <row r="29" spans="1:16" s="301" customFormat="1" ht="9" customHeight="1">
      <c r="A29" s="557"/>
      <c r="B29" s="516" t="s">
        <v>285</v>
      </c>
      <c r="C29" s="517">
        <v>4.6026699999999998</v>
      </c>
      <c r="D29" s="517">
        <v>4.7140399999999998</v>
      </c>
      <c r="E29" s="517">
        <v>4.6688700000000001</v>
      </c>
      <c r="F29" s="729">
        <f t="shared" si="0"/>
        <v>-2.36251707664763E-2</v>
      </c>
      <c r="G29" s="345"/>
      <c r="H29" s="591"/>
      <c r="I29" s="591"/>
      <c r="J29" s="345"/>
      <c r="K29" s="345"/>
      <c r="L29" s="351"/>
    </row>
    <row r="30" spans="1:16" s="301" customFormat="1" ht="9" customHeight="1">
      <c r="A30" s="557"/>
      <c r="B30" s="516" t="s">
        <v>286</v>
      </c>
      <c r="C30" s="517">
        <v>10.39831</v>
      </c>
      <c r="D30" s="517">
        <v>12.067299999999999</v>
      </c>
      <c r="E30" s="517">
        <v>14.582380000000001</v>
      </c>
      <c r="F30" s="729">
        <f t="shared" si="0"/>
        <v>-0.13830682919957238</v>
      </c>
      <c r="G30" s="345"/>
      <c r="H30" s="591"/>
      <c r="I30" s="591"/>
      <c r="J30" s="345"/>
      <c r="K30" s="345"/>
      <c r="L30" s="349"/>
    </row>
    <row r="31" spans="1:16" s="301" customFormat="1" ht="9" customHeight="1">
      <c r="A31" s="557"/>
      <c r="B31" s="516" t="s">
        <v>287</v>
      </c>
      <c r="C31" s="517">
        <v>80.249030000000005</v>
      </c>
      <c r="D31" s="517">
        <v>141.83158</v>
      </c>
      <c r="E31" s="517">
        <v>94.758110000000002</v>
      </c>
      <c r="F31" s="729">
        <f t="shared" si="0"/>
        <v>-0.43419490920146275</v>
      </c>
      <c r="G31" s="345"/>
      <c r="H31" s="591"/>
      <c r="I31" s="591"/>
      <c r="J31" s="345"/>
      <c r="K31" s="345"/>
      <c r="L31" s="349"/>
    </row>
    <row r="32" spans="1:16" s="301" customFormat="1" ht="9" customHeight="1">
      <c r="A32" s="557"/>
      <c r="B32" s="516" t="s">
        <v>288</v>
      </c>
      <c r="C32" s="517">
        <v>6.1532799999999996</v>
      </c>
      <c r="D32" s="517">
        <v>8.8281899999999993</v>
      </c>
      <c r="E32" s="517">
        <v>8.1988000000000003</v>
      </c>
      <c r="F32" s="729">
        <f t="shared" si="0"/>
        <v>-0.30299642395553339</v>
      </c>
      <c r="G32" s="345"/>
      <c r="H32" s="591"/>
      <c r="I32" s="591"/>
      <c r="J32" s="345"/>
      <c r="K32" s="345"/>
      <c r="L32" s="349"/>
    </row>
    <row r="33" spans="1:12" s="301" customFormat="1" ht="9" customHeight="1">
      <c r="A33" s="557"/>
      <c r="B33" s="516" t="s">
        <v>289</v>
      </c>
      <c r="C33" s="517">
        <v>0</v>
      </c>
      <c r="D33" s="517">
        <v>0</v>
      </c>
      <c r="E33" s="517">
        <v>0</v>
      </c>
      <c r="F33" s="729" t="str">
        <f t="shared" si="0"/>
        <v/>
      </c>
      <c r="G33" s="345"/>
      <c r="H33" s="591"/>
      <c r="I33" s="591"/>
      <c r="J33" s="345"/>
      <c r="K33" s="345"/>
      <c r="L33" s="351"/>
    </row>
    <row r="34" spans="1:12" s="301" customFormat="1" ht="9" customHeight="1">
      <c r="A34" s="557"/>
      <c r="B34" s="516" t="s">
        <v>290</v>
      </c>
      <c r="C34" s="517">
        <v>0</v>
      </c>
      <c r="D34" s="517">
        <v>0</v>
      </c>
      <c r="E34" s="517">
        <v>0</v>
      </c>
      <c r="F34" s="729" t="str">
        <f t="shared" si="0"/>
        <v/>
      </c>
      <c r="G34" s="345"/>
      <c r="H34" s="591"/>
      <c r="I34" s="591"/>
      <c r="J34" s="345"/>
      <c r="K34" s="345"/>
      <c r="L34" s="349"/>
    </row>
    <row r="35" spans="1:12" s="301" customFormat="1" ht="9" customHeight="1">
      <c r="A35" s="557"/>
      <c r="B35" s="516" t="s">
        <v>291</v>
      </c>
      <c r="C35" s="517">
        <v>0</v>
      </c>
      <c r="D35" s="517">
        <v>0</v>
      </c>
      <c r="E35" s="517">
        <v>0</v>
      </c>
      <c r="F35" s="729" t="str">
        <f t="shared" si="0"/>
        <v/>
      </c>
      <c r="G35" s="345"/>
      <c r="H35" s="591"/>
      <c r="I35" s="591"/>
      <c r="J35" s="345"/>
      <c r="K35" s="345"/>
      <c r="L35" s="349"/>
    </row>
    <row r="36" spans="1:12" s="301" customFormat="1" ht="9" customHeight="1">
      <c r="A36" s="558" t="s">
        <v>507</v>
      </c>
      <c r="B36" s="409"/>
      <c r="C36" s="410">
        <v>103.53776999999999</v>
      </c>
      <c r="D36" s="410">
        <v>169.65244000000001</v>
      </c>
      <c r="E36" s="410">
        <v>124.42141000000001</v>
      </c>
      <c r="F36" s="728">
        <f t="shared" si="0"/>
        <v>-0.38970656714397989</v>
      </c>
      <c r="G36" s="345"/>
      <c r="H36" s="591"/>
      <c r="I36" s="591"/>
      <c r="J36" s="345"/>
      <c r="K36" s="345"/>
      <c r="L36" s="349"/>
    </row>
    <row r="37" spans="1:12" s="301" customFormat="1" ht="9" customHeight="1">
      <c r="A37" s="557" t="s">
        <v>112</v>
      </c>
      <c r="B37" s="516" t="s">
        <v>70</v>
      </c>
      <c r="C37" s="517">
        <v>3.4659300000000002</v>
      </c>
      <c r="D37" s="517">
        <v>4.7992600000000003</v>
      </c>
      <c r="E37" s="517">
        <v>2.53803</v>
      </c>
      <c r="F37" s="729">
        <f t="shared" si="0"/>
        <v>-0.27781991390339345</v>
      </c>
      <c r="G37" s="345"/>
      <c r="H37" s="591"/>
      <c r="I37" s="591"/>
      <c r="J37" s="345"/>
      <c r="K37" s="345"/>
      <c r="L37" s="349"/>
    </row>
    <row r="38" spans="1:12" s="301" customFormat="1" ht="9" customHeight="1">
      <c r="A38" s="558" t="s">
        <v>508</v>
      </c>
      <c r="B38" s="409"/>
      <c r="C38" s="410">
        <v>3.4659300000000002</v>
      </c>
      <c r="D38" s="410">
        <v>4.7992600000000003</v>
      </c>
      <c r="E38" s="410">
        <v>2.53803</v>
      </c>
      <c r="F38" s="728">
        <f t="shared" si="0"/>
        <v>-0.27781991390339345</v>
      </c>
      <c r="G38" s="345"/>
      <c r="H38" s="591"/>
      <c r="I38" s="591"/>
      <c r="J38" s="345"/>
      <c r="K38" s="345"/>
      <c r="L38" s="349"/>
    </row>
    <row r="39" spans="1:12" s="301" customFormat="1" ht="9" customHeight="1">
      <c r="A39" s="557" t="s">
        <v>92</v>
      </c>
      <c r="B39" s="516" t="s">
        <v>292</v>
      </c>
      <c r="C39" s="517">
        <v>166.23023999999998</v>
      </c>
      <c r="D39" s="517">
        <v>163.44571999999999</v>
      </c>
      <c r="E39" s="517">
        <v>166.58982</v>
      </c>
      <c r="F39" s="729">
        <f t="shared" si="0"/>
        <v>1.7036359226781705E-2</v>
      </c>
      <c r="G39" s="345"/>
      <c r="H39" s="591"/>
      <c r="I39" s="591"/>
      <c r="J39" s="345"/>
      <c r="K39" s="345"/>
      <c r="L39" s="349"/>
    </row>
    <row r="40" spans="1:12" s="301" customFormat="1" ht="9" customHeight="1">
      <c r="A40" s="558" t="s">
        <v>509</v>
      </c>
      <c r="B40" s="409"/>
      <c r="C40" s="410">
        <v>166.23023999999998</v>
      </c>
      <c r="D40" s="410">
        <v>163.44571999999999</v>
      </c>
      <c r="E40" s="410">
        <v>166.58982</v>
      </c>
      <c r="F40" s="728">
        <f t="shared" si="0"/>
        <v>1.7036359226781705E-2</v>
      </c>
      <c r="G40" s="345"/>
      <c r="H40" s="591"/>
      <c r="I40" s="591"/>
      <c r="J40" s="345"/>
      <c r="K40" s="345"/>
      <c r="L40" s="349"/>
    </row>
    <row r="41" spans="1:12" s="301" customFormat="1" ht="18" customHeight="1">
      <c r="A41" s="557" t="s">
        <v>101</v>
      </c>
      <c r="B41" s="516" t="s">
        <v>293</v>
      </c>
      <c r="C41" s="517">
        <v>15.864000000000001</v>
      </c>
      <c r="D41" s="517">
        <v>7.6199999999999992</v>
      </c>
      <c r="E41" s="517">
        <v>16.602</v>
      </c>
      <c r="F41" s="729">
        <f t="shared" si="0"/>
        <v>1.0818897637795279</v>
      </c>
      <c r="G41" s="345"/>
      <c r="H41" s="591"/>
      <c r="I41" s="591"/>
      <c r="J41" s="345"/>
      <c r="K41" s="345"/>
      <c r="L41" s="349"/>
    </row>
    <row r="42" spans="1:12" s="301" customFormat="1" ht="9" customHeight="1">
      <c r="A42" s="557"/>
      <c r="B42" s="516" t="s">
        <v>294</v>
      </c>
      <c r="C42" s="517">
        <v>9.9</v>
      </c>
      <c r="D42" s="517">
        <v>4.2359999999999998</v>
      </c>
      <c r="E42" s="517">
        <v>9.5640000000000001</v>
      </c>
      <c r="F42" s="729">
        <f t="shared" si="0"/>
        <v>1.3371104815864023</v>
      </c>
      <c r="G42" s="345"/>
      <c r="H42" s="591"/>
      <c r="I42" s="591"/>
      <c r="J42" s="345"/>
      <c r="K42" s="345"/>
      <c r="L42" s="349"/>
    </row>
    <row r="43" spans="1:12" s="301" customFormat="1" ht="9" customHeight="1">
      <c r="A43" s="557"/>
      <c r="B43" s="516" t="s">
        <v>295</v>
      </c>
      <c r="C43" s="517">
        <v>22.53237</v>
      </c>
      <c r="D43" s="517">
        <v>0</v>
      </c>
      <c r="E43" s="517">
        <v>22.52505</v>
      </c>
      <c r="F43" s="729" t="str">
        <f t="shared" si="0"/>
        <v/>
      </c>
      <c r="G43" s="345"/>
      <c r="H43" s="591"/>
      <c r="I43" s="591"/>
      <c r="J43" s="345"/>
      <c r="K43" s="345"/>
      <c r="L43" s="349"/>
    </row>
    <row r="44" spans="1:12" s="301" customFormat="1" ht="9" customHeight="1">
      <c r="A44" s="558" t="s">
        <v>510</v>
      </c>
      <c r="B44" s="409"/>
      <c r="C44" s="410">
        <v>48.296370000000003</v>
      </c>
      <c r="D44" s="410">
        <v>11.855999999999998</v>
      </c>
      <c r="E44" s="410">
        <v>48.691050000000004</v>
      </c>
      <c r="F44" s="728">
        <f t="shared" si="0"/>
        <v>3.0735804655870451</v>
      </c>
      <c r="G44" s="345"/>
      <c r="H44" s="591"/>
      <c r="I44" s="591"/>
      <c r="J44" s="345"/>
      <c r="K44" s="345"/>
      <c r="L44" s="349"/>
    </row>
    <row r="45" spans="1:12" s="301" customFormat="1" ht="11.4" customHeight="1">
      <c r="A45" s="557" t="s">
        <v>113</v>
      </c>
      <c r="B45" s="516" t="s">
        <v>73</v>
      </c>
      <c r="C45" s="517">
        <v>3.6217000000000001</v>
      </c>
      <c r="D45" s="517">
        <v>3.7952700000000004</v>
      </c>
      <c r="E45" s="517">
        <v>3.5196800000000001</v>
      </c>
      <c r="F45" s="729">
        <f t="shared" si="0"/>
        <v>-4.5733241640252276E-2</v>
      </c>
      <c r="G45" s="345"/>
      <c r="H45" s="591"/>
      <c r="I45" s="591"/>
      <c r="J45" s="345"/>
      <c r="K45" s="345"/>
      <c r="L45" s="349"/>
    </row>
    <row r="46" spans="1:12" s="301" customFormat="1" ht="11.4" customHeight="1">
      <c r="A46" s="558" t="s">
        <v>511</v>
      </c>
      <c r="B46" s="409"/>
      <c r="C46" s="410">
        <v>3.6217000000000001</v>
      </c>
      <c r="D46" s="410">
        <v>3.7952700000000004</v>
      </c>
      <c r="E46" s="410">
        <v>3.5196800000000001</v>
      </c>
      <c r="F46" s="728">
        <f t="shared" si="0"/>
        <v>-4.5733241640252276E-2</v>
      </c>
      <c r="G46" s="345"/>
      <c r="H46" s="591"/>
      <c r="I46" s="591"/>
      <c r="J46" s="345"/>
      <c r="K46" s="345"/>
      <c r="L46" s="352"/>
    </row>
    <row r="47" spans="1:12" s="301" customFormat="1" ht="11.4" customHeight="1">
      <c r="A47" s="557" t="s">
        <v>418</v>
      </c>
      <c r="B47" s="516" t="s">
        <v>420</v>
      </c>
      <c r="C47" s="517">
        <v>8.98203</v>
      </c>
      <c r="D47" s="517">
        <v>0</v>
      </c>
      <c r="E47" s="517">
        <v>8.6528799999999997</v>
      </c>
      <c r="F47" s="729" t="str">
        <f t="shared" si="0"/>
        <v/>
      </c>
      <c r="G47" s="345"/>
      <c r="H47" s="591"/>
      <c r="I47" s="591"/>
      <c r="J47" s="345"/>
      <c r="K47" s="345"/>
      <c r="L47" s="349"/>
    </row>
    <row r="48" spans="1:12" s="301" customFormat="1" ht="11.4" customHeight="1">
      <c r="A48" s="558" t="s">
        <v>512</v>
      </c>
      <c r="B48" s="409"/>
      <c r="C48" s="410">
        <v>8.98203</v>
      </c>
      <c r="D48" s="410">
        <v>0</v>
      </c>
      <c r="E48" s="410">
        <v>8.6528799999999997</v>
      </c>
      <c r="F48" s="728" t="str">
        <f t="shared" si="0"/>
        <v/>
      </c>
      <c r="G48" s="345"/>
      <c r="H48" s="591"/>
      <c r="I48" s="591"/>
      <c r="J48" s="345"/>
      <c r="K48" s="345"/>
      <c r="L48" s="349"/>
    </row>
    <row r="49" spans="1:12" s="301" customFormat="1" ht="11.4" customHeight="1">
      <c r="A49" s="557" t="s">
        <v>89</v>
      </c>
      <c r="B49" s="516" t="s">
        <v>296</v>
      </c>
      <c r="C49" s="517">
        <v>642.96960000000013</v>
      </c>
      <c r="D49" s="517">
        <v>608.4144</v>
      </c>
      <c r="E49" s="517">
        <v>643.63199999999995</v>
      </c>
      <c r="F49" s="729">
        <f t="shared" si="0"/>
        <v>5.6795499909272573E-2</v>
      </c>
      <c r="G49" s="345"/>
      <c r="H49" s="591"/>
      <c r="I49" s="591"/>
      <c r="J49" s="345"/>
      <c r="K49" s="345"/>
      <c r="L49" s="349"/>
    </row>
    <row r="50" spans="1:12" s="301" customFormat="1" ht="11.4" customHeight="1">
      <c r="A50" s="557"/>
      <c r="B50" s="516" t="s">
        <v>297</v>
      </c>
      <c r="C50" s="517">
        <v>211.21727999999996</v>
      </c>
      <c r="D50" s="517">
        <v>200.83968000000004</v>
      </c>
      <c r="E50" s="517">
        <v>209.27424000000002</v>
      </c>
      <c r="F50" s="729">
        <f t="shared" si="0"/>
        <v>5.1671064204045214E-2</v>
      </c>
      <c r="G50" s="345"/>
      <c r="H50" s="591"/>
      <c r="I50" s="591"/>
      <c r="J50" s="345"/>
      <c r="K50" s="345"/>
      <c r="L50" s="349"/>
    </row>
    <row r="51" spans="1:12" s="301" customFormat="1" ht="11.4" customHeight="1">
      <c r="A51" s="557"/>
      <c r="B51" s="516" t="s">
        <v>298</v>
      </c>
      <c r="C51" s="517">
        <v>0</v>
      </c>
      <c r="D51" s="517">
        <v>0</v>
      </c>
      <c r="E51" s="517">
        <v>0</v>
      </c>
      <c r="F51" s="729" t="str">
        <f t="shared" si="0"/>
        <v/>
      </c>
      <c r="G51" s="345"/>
      <c r="H51" s="591"/>
      <c r="I51" s="591"/>
      <c r="J51" s="345"/>
      <c r="K51" s="345"/>
      <c r="L51" s="349"/>
    </row>
    <row r="52" spans="1:12" s="301" customFormat="1" ht="11.4" customHeight="1">
      <c r="A52" s="558" t="s">
        <v>513</v>
      </c>
      <c r="B52" s="409"/>
      <c r="C52" s="410">
        <v>854.18688000000009</v>
      </c>
      <c r="D52" s="410">
        <v>809.25408000000004</v>
      </c>
      <c r="E52" s="410">
        <v>852.90624000000003</v>
      </c>
      <c r="F52" s="728">
        <f t="shared" si="0"/>
        <v>5.5523723772884725E-2</v>
      </c>
      <c r="G52" s="345"/>
      <c r="H52" s="591"/>
      <c r="I52" s="591"/>
      <c r="J52" s="345"/>
      <c r="K52" s="345"/>
      <c r="L52" s="349"/>
    </row>
    <row r="53" spans="1:12" s="301" customFormat="1" ht="11.4" customHeight="1">
      <c r="A53" s="557" t="s">
        <v>235</v>
      </c>
      <c r="B53" s="516" t="s">
        <v>299</v>
      </c>
      <c r="C53" s="517">
        <v>454.27067</v>
      </c>
      <c r="D53" s="517">
        <v>457.01614000000001</v>
      </c>
      <c r="E53" s="517">
        <v>454.81696999999997</v>
      </c>
      <c r="F53" s="729">
        <f t="shared" si="0"/>
        <v>-6.0073808334208945E-3</v>
      </c>
      <c r="G53" s="345"/>
      <c r="H53" s="591"/>
      <c r="I53" s="591"/>
      <c r="J53" s="345"/>
      <c r="K53" s="345"/>
      <c r="L53" s="349"/>
    </row>
    <row r="54" spans="1:12" s="301" customFormat="1" ht="11.4" customHeight="1">
      <c r="A54" s="557"/>
      <c r="B54" s="516" t="s">
        <v>300</v>
      </c>
      <c r="C54" s="517">
        <v>6.4389000000000003</v>
      </c>
      <c r="D54" s="517">
        <v>6.4310900000000002</v>
      </c>
      <c r="E54" s="517">
        <v>6.4359200000000003</v>
      </c>
      <c r="F54" s="729">
        <f t="shared" si="0"/>
        <v>1.2144131088198673E-3</v>
      </c>
      <c r="G54" s="345"/>
      <c r="H54" s="591"/>
      <c r="I54" s="591"/>
      <c r="J54" s="345"/>
      <c r="K54" s="345"/>
      <c r="L54" s="349"/>
    </row>
    <row r="55" spans="1:12" s="301" customFormat="1" ht="11.4" customHeight="1">
      <c r="A55" s="558" t="s">
        <v>514</v>
      </c>
      <c r="B55" s="409"/>
      <c r="C55" s="410">
        <v>460.70956999999999</v>
      </c>
      <c r="D55" s="410">
        <v>463.44722999999999</v>
      </c>
      <c r="E55" s="410">
        <v>461.25288999999998</v>
      </c>
      <c r="F55" s="728">
        <f t="shared" si="0"/>
        <v>-5.9071666044913096E-3</v>
      </c>
      <c r="G55" s="345"/>
      <c r="H55" s="591"/>
      <c r="I55" s="591"/>
      <c r="J55" s="345"/>
      <c r="K55" s="345"/>
    </row>
    <row r="56" spans="1:12" s="301" customFormat="1" ht="11.4" customHeight="1">
      <c r="A56" s="557" t="s">
        <v>236</v>
      </c>
      <c r="B56" s="516" t="s">
        <v>301</v>
      </c>
      <c r="C56" s="517">
        <v>40.750160000000001</v>
      </c>
      <c r="D56" s="517">
        <v>81.957740000000001</v>
      </c>
      <c r="E56" s="517">
        <v>94.774990000000003</v>
      </c>
      <c r="F56" s="729">
        <f t="shared" si="0"/>
        <v>-0.50279058451343339</v>
      </c>
      <c r="G56" s="345"/>
      <c r="H56" s="591"/>
      <c r="I56" s="591"/>
      <c r="J56" s="345"/>
      <c r="K56" s="345"/>
    </row>
    <row r="57" spans="1:12" s="301" customFormat="1" ht="11.4" customHeight="1">
      <c r="A57" s="558" t="s">
        <v>515</v>
      </c>
      <c r="B57" s="409"/>
      <c r="C57" s="410">
        <v>40.750160000000001</v>
      </c>
      <c r="D57" s="410">
        <v>81.957740000000001</v>
      </c>
      <c r="E57" s="410">
        <v>94.774990000000003</v>
      </c>
      <c r="F57" s="728">
        <f t="shared" si="0"/>
        <v>-0.50279058451343339</v>
      </c>
      <c r="G57" s="345"/>
      <c r="H57" s="591"/>
      <c r="I57" s="591"/>
      <c r="J57" s="345"/>
      <c r="K57" s="345"/>
    </row>
    <row r="58" spans="1:12" s="301" customFormat="1" ht="11.4" customHeight="1">
      <c r="A58" s="557" t="s">
        <v>562</v>
      </c>
      <c r="B58" s="516" t="s">
        <v>65</v>
      </c>
      <c r="C58" s="517">
        <v>6.5160900000000002</v>
      </c>
      <c r="D58" s="517">
        <v>9.5524000000000004</v>
      </c>
      <c r="E58" s="517">
        <v>9.6669199999999993</v>
      </c>
      <c r="F58" s="729">
        <f t="shared" si="0"/>
        <v>-0.31785833926552487</v>
      </c>
      <c r="G58" s="345"/>
      <c r="H58" s="591"/>
      <c r="I58" s="591"/>
      <c r="J58" s="345"/>
      <c r="K58" s="345"/>
    </row>
    <row r="59" spans="1:12" s="301" customFormat="1" ht="11.4" customHeight="1">
      <c r="A59" s="557"/>
      <c r="B59" s="516" t="s">
        <v>64</v>
      </c>
      <c r="C59" s="517">
        <v>7.3215199999999996</v>
      </c>
      <c r="D59" s="517">
        <v>9.8303399999999996</v>
      </c>
      <c r="E59" s="517">
        <v>9.9454700000000003</v>
      </c>
      <c r="F59" s="729">
        <f t="shared" si="0"/>
        <v>-0.25521192552851679</v>
      </c>
      <c r="G59" s="345"/>
      <c r="H59" s="591"/>
      <c r="I59" s="591"/>
      <c r="J59" s="345"/>
      <c r="K59" s="345"/>
    </row>
    <row r="60" spans="1:12" s="301" customFormat="1" ht="10.199999999999999" customHeight="1">
      <c r="A60" s="557"/>
      <c r="B60" s="516" t="s">
        <v>60</v>
      </c>
      <c r="C60" s="517">
        <v>15.992620000000001</v>
      </c>
      <c r="D60" s="517">
        <v>17.809280000000001</v>
      </c>
      <c r="E60" s="517">
        <v>17.723980000000001</v>
      </c>
      <c r="F60" s="729">
        <f t="shared" si="0"/>
        <v>-0.10200636971286881</v>
      </c>
      <c r="G60" s="345"/>
      <c r="H60" s="591"/>
      <c r="I60" s="591"/>
      <c r="J60" s="345"/>
      <c r="K60" s="345"/>
    </row>
    <row r="61" spans="1:12" s="301" customFormat="1" ht="10.199999999999999" customHeight="1">
      <c r="A61" s="557"/>
      <c r="B61" s="516" t="s">
        <v>57</v>
      </c>
      <c r="C61" s="517">
        <v>20.153749999999999</v>
      </c>
      <c r="D61" s="517">
        <v>19.962969999999999</v>
      </c>
      <c r="E61" s="517">
        <v>20.018550000000001</v>
      </c>
      <c r="F61" s="729">
        <f t="shared" si="0"/>
        <v>9.5566942193472393E-3</v>
      </c>
      <c r="G61" s="345"/>
      <c r="H61" s="591"/>
      <c r="I61" s="591"/>
      <c r="J61" s="345"/>
      <c r="K61" s="345"/>
    </row>
    <row r="62" spans="1:12" s="301" customFormat="1" ht="10.199999999999999" customHeight="1">
      <c r="A62" s="557"/>
      <c r="B62" s="516" t="s">
        <v>68</v>
      </c>
      <c r="C62" s="517">
        <v>5.0003700000000002</v>
      </c>
      <c r="D62" s="517">
        <v>6.1900300000000001</v>
      </c>
      <c r="E62" s="517">
        <v>6.5360100000000001</v>
      </c>
      <c r="F62" s="729">
        <f t="shared" si="0"/>
        <v>-0.19218969859596802</v>
      </c>
      <c r="G62" s="345"/>
      <c r="H62" s="591"/>
      <c r="I62" s="591"/>
      <c r="J62" s="345"/>
      <c r="K62" s="345"/>
    </row>
    <row r="63" spans="1:12" s="301" customFormat="1" ht="10.199999999999999" customHeight="1">
      <c r="A63" s="557"/>
      <c r="B63" s="516" t="s">
        <v>67</v>
      </c>
      <c r="C63" s="517">
        <v>5.9785500000000003</v>
      </c>
      <c r="D63" s="517">
        <v>6.6755599999999999</v>
      </c>
      <c r="E63" s="517">
        <v>6.6463900000000002</v>
      </c>
      <c r="F63" s="729">
        <f t="shared" si="0"/>
        <v>-0.10441221410638202</v>
      </c>
      <c r="G63" s="345"/>
      <c r="H63" s="591"/>
      <c r="I63" s="591"/>
      <c r="J63" s="345"/>
      <c r="K63" s="345"/>
    </row>
    <row r="64" spans="1:12" s="301" customFormat="1" ht="10.199999999999999" customHeight="1">
      <c r="A64" s="558" t="s">
        <v>563</v>
      </c>
      <c r="B64" s="409"/>
      <c r="C64" s="410">
        <v>60.962900000000005</v>
      </c>
      <c r="D64" s="410">
        <v>70.020579999999995</v>
      </c>
      <c r="E64" s="410">
        <v>70.537320000000008</v>
      </c>
      <c r="F64" s="728">
        <f t="shared" si="0"/>
        <v>-0.1293573974965645</v>
      </c>
      <c r="G64" s="345"/>
      <c r="H64" s="591"/>
      <c r="I64" s="591"/>
      <c r="J64" s="345"/>
      <c r="K64" s="345"/>
    </row>
    <row r="65" spans="1:11" s="301" customFormat="1" ht="10.199999999999999" customHeight="1">
      <c r="A65" s="557" t="s">
        <v>88</v>
      </c>
      <c r="B65" s="516" t="s">
        <v>456</v>
      </c>
      <c r="C65" s="517">
        <v>77.590680000000006</v>
      </c>
      <c r="D65" s="517">
        <v>79.758789999999991</v>
      </c>
      <c r="E65" s="517">
        <v>78.07471000000001</v>
      </c>
      <c r="F65" s="729">
        <f t="shared" si="0"/>
        <v>-2.7183336156428428E-2</v>
      </c>
      <c r="G65" s="345"/>
      <c r="H65" s="591"/>
      <c r="I65" s="591"/>
      <c r="J65" s="345"/>
      <c r="K65" s="345"/>
    </row>
    <row r="66" spans="1:11" s="301" customFormat="1" ht="10.199999999999999" customHeight="1">
      <c r="A66" s="557"/>
      <c r="B66" s="516" t="s">
        <v>302</v>
      </c>
      <c r="C66" s="517">
        <v>29.580310000000001</v>
      </c>
      <c r="D66" s="517">
        <v>28.741700000000002</v>
      </c>
      <c r="E66" s="517">
        <v>26.209009999999999</v>
      </c>
      <c r="F66" s="729">
        <f t="shared" si="0"/>
        <v>2.917746688609224E-2</v>
      </c>
      <c r="G66" s="345"/>
      <c r="H66" s="592"/>
      <c r="I66" s="591"/>
      <c r="J66" s="345"/>
      <c r="K66" s="345"/>
    </row>
    <row r="67" spans="1:11" s="301" customFormat="1" ht="10.199999999999999" customHeight="1">
      <c r="A67" s="557"/>
      <c r="B67" s="516" t="s">
        <v>303</v>
      </c>
      <c r="C67" s="517">
        <v>135.16100999999998</v>
      </c>
      <c r="D67" s="517">
        <v>267.95538999999997</v>
      </c>
      <c r="E67" s="517">
        <v>266.86369000000002</v>
      </c>
      <c r="F67" s="729">
        <f t="shared" si="0"/>
        <v>-0.49558391044121186</v>
      </c>
      <c r="G67" s="345"/>
      <c r="H67" s="592"/>
      <c r="I67" s="591"/>
      <c r="J67" s="345"/>
      <c r="K67" s="345"/>
    </row>
    <row r="68" spans="1:11" s="301" customFormat="1" ht="10.199999999999999" customHeight="1">
      <c r="A68" s="557"/>
      <c r="B68" s="516" t="s">
        <v>304</v>
      </c>
      <c r="C68" s="517">
        <v>131.53886</v>
      </c>
      <c r="D68" s="517">
        <v>128.56220000000002</v>
      </c>
      <c r="E68" s="517">
        <v>131.36590000000001</v>
      </c>
      <c r="F68" s="729">
        <f t="shared" si="0"/>
        <v>2.3153461904043215E-2</v>
      </c>
      <c r="G68" s="353"/>
      <c r="H68" s="592"/>
      <c r="I68" s="591"/>
      <c r="J68" s="345"/>
      <c r="K68" s="345"/>
    </row>
    <row r="69" spans="1:11" s="301" customFormat="1" ht="10.199999999999999" customHeight="1">
      <c r="A69" s="557"/>
      <c r="B69" s="516" t="s">
        <v>305</v>
      </c>
      <c r="C69" s="517">
        <v>63.982990000000001</v>
      </c>
      <c r="D69" s="517">
        <v>64.911640000000006</v>
      </c>
      <c r="E69" s="517">
        <v>61.10615</v>
      </c>
      <c r="F69" s="729">
        <f t="shared" si="0"/>
        <v>-1.4306370937477553E-2</v>
      </c>
      <c r="G69" s="353"/>
      <c r="H69" s="592"/>
      <c r="I69" s="591"/>
      <c r="J69" s="345"/>
      <c r="K69" s="345"/>
    </row>
    <row r="70" spans="1:11" s="301" customFormat="1" ht="10.199999999999999" customHeight="1">
      <c r="A70" s="557"/>
      <c r="B70" s="516" t="s">
        <v>306</v>
      </c>
      <c r="C70" s="517">
        <v>89.703019999999995</v>
      </c>
      <c r="D70" s="517">
        <v>0</v>
      </c>
      <c r="E70" s="517">
        <v>102.35541000000001</v>
      </c>
      <c r="F70" s="729" t="str">
        <f t="shared" si="0"/>
        <v/>
      </c>
      <c r="G70" s="353"/>
      <c r="H70" s="592"/>
      <c r="I70" s="591"/>
      <c r="J70" s="345"/>
      <c r="K70" s="345"/>
    </row>
    <row r="71" spans="1:11" s="301" customFormat="1" ht="10.199999999999999" customHeight="1">
      <c r="A71" s="557"/>
      <c r="B71" s="516" t="s">
        <v>307</v>
      </c>
      <c r="C71" s="517">
        <v>171.47687999999999</v>
      </c>
      <c r="D71" s="517">
        <v>0</v>
      </c>
      <c r="E71" s="517">
        <v>0</v>
      </c>
      <c r="F71" s="729" t="str">
        <f t="shared" ref="F71:F81" si="1">+IF(D71=0,"",C71/D71-1)</f>
        <v/>
      </c>
      <c r="G71" s="353"/>
      <c r="H71" s="591"/>
      <c r="I71" s="591"/>
      <c r="J71" s="345"/>
      <c r="K71" s="345"/>
    </row>
    <row r="72" spans="1:11" s="301" customFormat="1" ht="10.199999999999999" customHeight="1">
      <c r="A72" s="557"/>
      <c r="B72" s="516" t="s">
        <v>308</v>
      </c>
      <c r="C72" s="517">
        <v>289.06210999999996</v>
      </c>
      <c r="D72" s="517">
        <v>418.96374000000003</v>
      </c>
      <c r="E72" s="517">
        <v>450.31046000000003</v>
      </c>
      <c r="F72" s="729">
        <f t="shared" si="1"/>
        <v>-0.31005458849493772</v>
      </c>
      <c r="G72" s="353"/>
      <c r="H72" s="591"/>
      <c r="I72" s="591"/>
      <c r="J72" s="345"/>
      <c r="K72" s="345"/>
    </row>
    <row r="73" spans="1:11" s="301" customFormat="1" ht="10.199999999999999" customHeight="1">
      <c r="A73" s="557"/>
      <c r="B73" s="516" t="s">
        <v>413</v>
      </c>
      <c r="C73" s="517">
        <v>0.31613000000000002</v>
      </c>
      <c r="D73" s="517">
        <v>0.62578</v>
      </c>
      <c r="E73" s="517">
        <v>0.10693</v>
      </c>
      <c r="F73" s="729">
        <f t="shared" si="1"/>
        <v>-0.49482246156796317</v>
      </c>
      <c r="G73" s="345"/>
      <c r="H73" s="591"/>
      <c r="I73" s="591"/>
      <c r="J73" s="345"/>
      <c r="K73" s="345"/>
    </row>
    <row r="74" spans="1:11" s="301" customFormat="1" ht="10.199999999999999" customHeight="1">
      <c r="A74" s="558" t="s">
        <v>516</v>
      </c>
      <c r="B74" s="409"/>
      <c r="C74" s="410">
        <v>988.41199000000006</v>
      </c>
      <c r="D74" s="410">
        <v>989.51923999999997</v>
      </c>
      <c r="E74" s="410">
        <v>1116.3922600000001</v>
      </c>
      <c r="F74" s="728">
        <f t="shared" si="1"/>
        <v>-1.1189777371078957E-3</v>
      </c>
      <c r="G74" s="345"/>
      <c r="H74" s="591"/>
      <c r="I74" s="591"/>
      <c r="J74" s="345"/>
      <c r="K74" s="345"/>
    </row>
    <row r="75" spans="1:11" s="301" customFormat="1" ht="10.199999999999999" customHeight="1">
      <c r="A75" s="557" t="s">
        <v>96</v>
      </c>
      <c r="B75" s="516" t="s">
        <v>309</v>
      </c>
      <c r="C75" s="517">
        <v>0</v>
      </c>
      <c r="D75" s="517">
        <v>0</v>
      </c>
      <c r="E75" s="517">
        <v>0</v>
      </c>
      <c r="F75" s="729" t="str">
        <f t="shared" si="1"/>
        <v/>
      </c>
      <c r="G75" s="345"/>
      <c r="H75" s="591"/>
      <c r="I75" s="591"/>
      <c r="J75" s="345"/>
      <c r="K75" s="345"/>
    </row>
    <row r="76" spans="1:11" s="301" customFormat="1" ht="10.199999999999999" customHeight="1">
      <c r="A76" s="557"/>
      <c r="B76" s="516" t="s">
        <v>310</v>
      </c>
      <c r="C76" s="517">
        <v>91.018720000000002</v>
      </c>
      <c r="D76" s="517">
        <v>89.058170000000004</v>
      </c>
      <c r="E76" s="517">
        <v>91.417310000000001</v>
      </c>
      <c r="F76" s="729">
        <f t="shared" si="1"/>
        <v>2.2014263261865841E-2</v>
      </c>
      <c r="G76" s="354"/>
      <c r="H76" s="591"/>
      <c r="I76" s="591"/>
      <c r="J76" s="345"/>
      <c r="K76" s="345"/>
    </row>
    <row r="77" spans="1:11" s="301" customFormat="1" ht="10.199999999999999" customHeight="1">
      <c r="A77" s="557"/>
      <c r="B77" s="516" t="s">
        <v>311</v>
      </c>
      <c r="C77" s="517">
        <v>0</v>
      </c>
      <c r="D77" s="517">
        <v>0</v>
      </c>
      <c r="E77" s="517">
        <v>0</v>
      </c>
      <c r="F77" s="729" t="str">
        <f t="shared" si="1"/>
        <v/>
      </c>
      <c r="G77" s="354"/>
      <c r="H77" s="271"/>
      <c r="I77" s="591"/>
      <c r="J77" s="345"/>
      <c r="K77" s="345"/>
    </row>
    <row r="78" spans="1:11" s="301" customFormat="1" ht="10.199999999999999" customHeight="1">
      <c r="A78" s="558" t="s">
        <v>517</v>
      </c>
      <c r="B78" s="409"/>
      <c r="C78" s="410">
        <v>91.018720000000002</v>
      </c>
      <c r="D78" s="410">
        <v>89.058170000000004</v>
      </c>
      <c r="E78" s="410">
        <v>91.417310000000001</v>
      </c>
      <c r="F78" s="728">
        <f t="shared" si="1"/>
        <v>2.2014263261865841E-2</v>
      </c>
      <c r="G78" s="354"/>
      <c r="H78" s="271"/>
      <c r="I78" s="591"/>
      <c r="J78" s="345"/>
      <c r="K78" s="345"/>
    </row>
    <row r="79" spans="1:11" s="301" customFormat="1" ht="10.199999999999999" customHeight="1">
      <c r="A79" s="557" t="s">
        <v>98</v>
      </c>
      <c r="B79" s="516" t="s">
        <v>422</v>
      </c>
      <c r="C79" s="517">
        <v>0</v>
      </c>
      <c r="D79" s="517">
        <v>0</v>
      </c>
      <c r="E79" s="517">
        <v>0</v>
      </c>
      <c r="F79" s="729" t="str">
        <f t="shared" si="1"/>
        <v/>
      </c>
      <c r="H79" s="271"/>
      <c r="I79" s="591"/>
      <c r="J79" s="345"/>
      <c r="K79" s="345"/>
    </row>
    <row r="80" spans="1:11" s="301" customFormat="1" ht="10.199999999999999" customHeight="1">
      <c r="A80" s="557"/>
      <c r="B80" s="516" t="s">
        <v>421</v>
      </c>
      <c r="C80" s="517">
        <v>60.713209999999997</v>
      </c>
      <c r="D80" s="517">
        <v>56.180860000000003</v>
      </c>
      <c r="E80" s="517">
        <v>119.04577</v>
      </c>
      <c r="F80" s="729">
        <f t="shared" si="1"/>
        <v>8.0674272341149544E-2</v>
      </c>
    </row>
    <row r="81" spans="1:6" s="301" customFormat="1" ht="10.199999999999999" customHeight="1">
      <c r="A81" s="558" t="s">
        <v>518</v>
      </c>
      <c r="B81" s="409"/>
      <c r="C81" s="410">
        <v>60.713209999999997</v>
      </c>
      <c r="D81" s="410">
        <v>56.180860000000003</v>
      </c>
      <c r="E81" s="410">
        <v>119.04577</v>
      </c>
      <c r="F81" s="728">
        <f t="shared" si="1"/>
        <v>8.0674272341149544E-2</v>
      </c>
    </row>
    <row r="82" spans="1:6" s="301" customFormat="1" ht="10.5" customHeight="1"/>
    <row r="83" spans="1:6" s="301" customFormat="1" ht="10.5" customHeight="1"/>
    <row r="84" spans="1:6" s="301" customFormat="1" ht="10.5" customHeight="1"/>
    <row r="85" spans="1:6" s="301" customFormat="1" ht="10.5" customHeight="1"/>
    <row r="86" spans="1:6" s="301" customFormat="1" ht="10.5" customHeight="1"/>
    <row r="87" spans="1:6" s="301" customFormat="1" ht="10.5" customHeight="1"/>
    <row r="88" spans="1:6" s="301" customFormat="1" ht="10.5" customHeight="1"/>
    <row r="89" spans="1:6" s="301" customFormat="1" ht="10.5" customHeight="1"/>
    <row r="90" spans="1:6" s="301" customFormat="1" ht="10.5" customHeight="1"/>
    <row r="91" spans="1:6" s="301" customFormat="1" ht="10.5" customHeight="1"/>
    <row r="92" spans="1:6" s="301" customFormat="1" ht="10.5" customHeight="1"/>
    <row r="93" spans="1:6" s="301" customFormat="1" ht="10.5" customHeight="1"/>
    <row r="94" spans="1:6" s="301" customFormat="1" ht="10.5" customHeight="1"/>
    <row r="95" spans="1:6" s="301" customFormat="1" ht="10.5" customHeight="1"/>
    <row r="96" spans="1:6" s="301" customFormat="1" ht="10.5" customHeight="1"/>
    <row r="97" s="301" customFormat="1" ht="10.5" customHeight="1"/>
    <row r="98" s="301" customFormat="1" ht="10.5" customHeight="1"/>
    <row r="99" s="301" customFormat="1" ht="10.5" customHeight="1"/>
    <row r="100" s="301" customFormat="1" ht="10.5" customHeight="1"/>
    <row r="101" s="301" customFormat="1" ht="10.5" customHeight="1"/>
    <row r="102" s="301" customFormat="1" ht="10.5" customHeight="1"/>
    <row r="103" s="301" customFormat="1" ht="10.5" customHeight="1"/>
    <row r="104" s="301" customFormat="1" ht="10.5" customHeight="1"/>
    <row r="105" s="301" customFormat="1" ht="10.5" customHeight="1"/>
    <row r="106" s="301" customFormat="1" ht="10.5" customHeight="1"/>
    <row r="107" s="301" customFormat="1" ht="10.5" customHeight="1"/>
    <row r="108" s="301" customFormat="1" ht="10.5" customHeight="1"/>
    <row r="109" s="301" customFormat="1" ht="10.5" customHeight="1"/>
    <row r="110" s="301" customFormat="1" ht="10.5" customHeight="1"/>
    <row r="111" s="301" customFormat="1" ht="10.5" customHeight="1"/>
    <row r="112" s="301" customFormat="1" ht="10.5" customHeight="1"/>
    <row r="113" s="301" customFormat="1" ht="10.5" customHeight="1"/>
    <row r="114" s="301" customFormat="1" ht="10.5" customHeight="1"/>
    <row r="115" s="301" customFormat="1" ht="10.5" customHeight="1"/>
    <row r="116" s="301" customFormat="1" ht="10.5" customHeight="1"/>
    <row r="117" s="301" customFormat="1" ht="10.5" customHeight="1"/>
    <row r="118" s="301" customFormat="1" ht="10.5" customHeight="1"/>
    <row r="119" s="301" customFormat="1" ht="10.5" customHeight="1"/>
    <row r="120" s="301" customFormat="1" ht="10.5" customHeight="1"/>
    <row r="121" s="301" customFormat="1" ht="10.5" customHeight="1"/>
    <row r="122" s="301" customFormat="1" ht="10.5" customHeight="1"/>
    <row r="123" s="301" customFormat="1" ht="10.5" customHeight="1"/>
    <row r="124" s="301" customFormat="1" ht="10.5" customHeight="1"/>
    <row r="125" s="301" customFormat="1" ht="10.5" customHeight="1"/>
    <row r="126" s="301" customFormat="1" ht="10.5" customHeight="1"/>
    <row r="127" s="301" customFormat="1" ht="10.5" customHeight="1"/>
    <row r="128" s="301" customFormat="1" ht="10.5" customHeight="1"/>
    <row r="129" s="301" customFormat="1" ht="10.5" customHeight="1"/>
    <row r="130" s="301" customFormat="1" ht="10.5" customHeight="1"/>
    <row r="131" s="301" customFormat="1" ht="10.5" customHeight="1"/>
    <row r="132" s="301" customFormat="1" ht="10.5" customHeight="1"/>
    <row r="133" s="301" customFormat="1" ht="10.5" customHeight="1"/>
    <row r="134" s="301" customFormat="1" ht="10.5" customHeight="1"/>
    <row r="135" s="301" customFormat="1" ht="10.5" customHeight="1"/>
    <row r="136" s="301" customFormat="1" ht="10.5" customHeight="1"/>
    <row r="137" s="301" customFormat="1" ht="10.5" customHeight="1"/>
    <row r="138" s="301" customFormat="1" ht="10.5" customHeight="1"/>
    <row r="139" s="301" customFormat="1" ht="10.5" customHeight="1"/>
    <row r="140" s="301" customFormat="1" ht="10.5" customHeight="1"/>
    <row r="141" s="301" customFormat="1" ht="10.5" customHeight="1"/>
    <row r="142" s="301" customFormat="1" ht="10.5" customHeight="1"/>
    <row r="143" s="301" customFormat="1" ht="10.5" customHeight="1"/>
    <row r="144" s="301" customFormat="1" ht="10.5" customHeight="1"/>
    <row r="145" s="301" customFormat="1" ht="10.5" customHeight="1"/>
    <row r="146" s="301" customFormat="1" ht="10.5" customHeight="1"/>
    <row r="147" s="301" customFormat="1" ht="10.5" customHeight="1"/>
    <row r="148" s="301" customFormat="1" ht="10.5" customHeight="1"/>
    <row r="149" s="301" customFormat="1" ht="10.5" customHeight="1"/>
    <row r="150" s="301" customFormat="1" ht="10.5" customHeight="1"/>
    <row r="151" s="301" customFormat="1" ht="10.5" customHeight="1"/>
    <row r="152" s="301" customFormat="1" ht="10.5" customHeight="1"/>
    <row r="153" s="301" customFormat="1" ht="10.5" customHeight="1"/>
    <row r="154" s="301" customFormat="1" ht="10.5" customHeight="1"/>
    <row r="155" s="301" customFormat="1" ht="10.5" customHeight="1"/>
    <row r="156" s="301" customFormat="1" ht="10.5" customHeight="1"/>
    <row r="157" s="301" customFormat="1" ht="10.5" customHeight="1"/>
    <row r="158" s="301" customFormat="1" ht="10.5" customHeight="1"/>
    <row r="159" s="301" customFormat="1" ht="10.5" customHeight="1"/>
    <row r="160" s="301" customFormat="1" ht="10.5" customHeight="1"/>
    <row r="161" s="301" customFormat="1" ht="10.5" customHeight="1"/>
    <row r="162" s="301" customFormat="1" ht="10.5" customHeight="1"/>
    <row r="163" s="301" customFormat="1" ht="10.5" customHeight="1"/>
    <row r="164" s="301" customFormat="1" ht="10.5" customHeight="1"/>
    <row r="165" s="301" customFormat="1" ht="10.5" customHeight="1"/>
    <row r="166" s="301" customFormat="1" ht="10.5" customHeight="1"/>
    <row r="167" s="301" customFormat="1" ht="10.5" customHeight="1"/>
    <row r="168" s="301" customFormat="1" ht="10.5" customHeight="1"/>
    <row r="169" s="301" customFormat="1" ht="7.8"/>
    <row r="170" s="301" customFormat="1" ht="7.8"/>
    <row r="171" s="301" customFormat="1" ht="7.8"/>
    <row r="172" s="301" customFormat="1" ht="7.8"/>
    <row r="173" s="301" customFormat="1" ht="7.8"/>
    <row r="174" s="301" customFormat="1" ht="7.8"/>
    <row r="175" s="301" customFormat="1" ht="7.8"/>
    <row r="176" s="301" customFormat="1" ht="7.8"/>
    <row r="177" s="301" customFormat="1" ht="7.8"/>
    <row r="178" s="301" customFormat="1" ht="7.8"/>
    <row r="179" s="301" customFormat="1" ht="7.8"/>
    <row r="180" s="301" customFormat="1" ht="7.8"/>
    <row r="181" s="301" customFormat="1" ht="7.8"/>
    <row r="182" s="301" customFormat="1" ht="7.8"/>
    <row r="183" s="301" customFormat="1" ht="7.8"/>
    <row r="184" s="301" customFormat="1" ht="7.8"/>
    <row r="185" s="301" customFormat="1" ht="7.8"/>
    <row r="186" s="301" customFormat="1" ht="7.8"/>
    <row r="187" s="301" customFormat="1" ht="7.8"/>
    <row r="188" s="301" customFormat="1" ht="7.8"/>
    <row r="189" s="301" customFormat="1" ht="7.8"/>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 Marzo 2021
INFSGI-MES-03-2021
13/04/2021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zoomScale="115" zoomScaleNormal="100" zoomScaleSheetLayoutView="115" zoomScalePageLayoutView="117" workbookViewId="0">
      <selection activeCell="O61" sqref="O61"/>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1" customFormat="1" ht="11.25" customHeight="1">
      <c r="A1" s="924" t="s">
        <v>248</v>
      </c>
      <c r="B1" s="926" t="s">
        <v>54</v>
      </c>
      <c r="C1" s="926" t="s">
        <v>352</v>
      </c>
      <c r="D1" s="926"/>
      <c r="E1" s="926"/>
      <c r="F1" s="928"/>
      <c r="G1" s="343"/>
    </row>
    <row r="2" spans="1:11" s="301" customFormat="1" ht="11.25" customHeight="1">
      <c r="A2" s="918"/>
      <c r="B2" s="921"/>
      <c r="C2" s="397" t="str">
        <f>UPPER('1. Resumen'!Q4)&amp;" "&amp;'1. Resumen'!Q5</f>
        <v>MARZO 2021</v>
      </c>
      <c r="D2" s="398" t="str">
        <f>UPPER('1. Resumen'!Q4)&amp;" "&amp;'1. Resumen'!Q5-1</f>
        <v>MARZO 2020</v>
      </c>
      <c r="E2" s="399">
        <v>2021</v>
      </c>
      <c r="F2" s="528" t="s">
        <v>579</v>
      </c>
      <c r="G2" s="344"/>
      <c r="H2" s="343"/>
    </row>
    <row r="3" spans="1:11" s="301" customFormat="1" ht="11.25" customHeight="1">
      <c r="A3" s="918"/>
      <c r="B3" s="921"/>
      <c r="C3" s="400">
        <f>'21. ANEXOII-1'!C4</f>
        <v>44259.833333333336</v>
      </c>
      <c r="D3" s="400">
        <f>'21. ANEXOII-1'!D4</f>
        <v>43899.822916666664</v>
      </c>
      <c r="E3" s="400">
        <f>'21. ANEXOII-1'!E4</f>
        <v>44204.822916666664</v>
      </c>
      <c r="F3" s="529" t="s">
        <v>349</v>
      </c>
      <c r="G3" s="345"/>
      <c r="H3" s="343"/>
    </row>
    <row r="4" spans="1:11" s="301" customFormat="1" ht="9" customHeight="1">
      <c r="A4" s="925"/>
      <c r="B4" s="927"/>
      <c r="C4" s="401">
        <f>+'8. Max Potencia'!D9</f>
        <v>44259.833333333336</v>
      </c>
      <c r="D4" s="401">
        <f>+'8. Max Potencia'!E9</f>
        <v>43899.822916666664</v>
      </c>
      <c r="E4" s="401">
        <f>+'21. ANEXOII-1'!E5</f>
        <v>44204.822916666664</v>
      </c>
      <c r="F4" s="530" t="s">
        <v>350</v>
      </c>
      <c r="G4" s="345"/>
      <c r="H4" s="347"/>
    </row>
    <row r="5" spans="1:11" s="301" customFormat="1" ht="10.199999999999999" customHeight="1">
      <c r="A5" s="557" t="s">
        <v>97</v>
      </c>
      <c r="B5" s="516" t="s">
        <v>77</v>
      </c>
      <c r="C5" s="517">
        <v>43.438600000000001</v>
      </c>
      <c r="D5" s="517">
        <v>70.865139999999997</v>
      </c>
      <c r="E5" s="517">
        <v>65.625450000000001</v>
      </c>
      <c r="F5" s="729">
        <f t="shared" ref="F5:F69" si="0">+IF(D5=0,"",C5/D5-1)</f>
        <v>-0.38702442413858207</v>
      </c>
      <c r="J5" s="425"/>
      <c r="K5" s="425"/>
    </row>
    <row r="6" spans="1:11" s="301" customFormat="1" ht="10.199999999999999" customHeight="1">
      <c r="A6" s="557"/>
      <c r="B6" s="516" t="s">
        <v>79</v>
      </c>
      <c r="C6" s="517">
        <v>3.3291900000000001</v>
      </c>
      <c r="D6" s="517">
        <v>9.0366800000000005</v>
      </c>
      <c r="E6" s="517">
        <v>12.93562</v>
      </c>
      <c r="F6" s="729">
        <f t="shared" si="0"/>
        <v>-0.63159146943346456</v>
      </c>
      <c r="J6" s="425"/>
      <c r="K6" s="425"/>
    </row>
    <row r="7" spans="1:11" s="301" customFormat="1" ht="10.199999999999999" customHeight="1">
      <c r="A7" s="558" t="s">
        <v>519</v>
      </c>
      <c r="B7" s="409"/>
      <c r="C7" s="410">
        <v>46.767789999999998</v>
      </c>
      <c r="D7" s="410">
        <v>79.901820000000001</v>
      </c>
      <c r="E7" s="410">
        <v>78.561070000000001</v>
      </c>
      <c r="F7" s="728">
        <f t="shared" si="0"/>
        <v>-0.41468429630263748</v>
      </c>
      <c r="J7" s="425"/>
      <c r="K7" s="425"/>
    </row>
    <row r="8" spans="1:11" s="301" customFormat="1" ht="10.199999999999999" customHeight="1">
      <c r="A8" s="557" t="s">
        <v>87</v>
      </c>
      <c r="B8" s="516" t="s">
        <v>312</v>
      </c>
      <c r="C8" s="517">
        <v>67.190740000000005</v>
      </c>
      <c r="D8" s="517">
        <v>112.29728</v>
      </c>
      <c r="E8" s="517">
        <v>112.66211</v>
      </c>
      <c r="F8" s="729">
        <f t="shared" si="0"/>
        <v>-0.40167081517913872</v>
      </c>
      <c r="K8" s="425"/>
    </row>
    <row r="9" spans="1:11" s="301" customFormat="1" ht="10.199999999999999" customHeight="1">
      <c r="A9" s="557"/>
      <c r="B9" s="516" t="s">
        <v>313</v>
      </c>
      <c r="C9" s="517">
        <v>129.26920000000001</v>
      </c>
      <c r="D9" s="517">
        <v>130.69087999999999</v>
      </c>
      <c r="E9" s="517">
        <v>130.34826000000001</v>
      </c>
      <c r="F9" s="729">
        <f t="shared" si="0"/>
        <v>-1.0878188286741808E-2</v>
      </c>
      <c r="K9" s="425"/>
    </row>
    <row r="10" spans="1:11" s="301" customFormat="1" ht="10.199999999999999" customHeight="1">
      <c r="A10" s="557"/>
      <c r="B10" s="516" t="s">
        <v>314</v>
      </c>
      <c r="C10" s="517">
        <v>175.68789000000001</v>
      </c>
      <c r="D10" s="517">
        <v>682.28482999999994</v>
      </c>
      <c r="E10" s="517">
        <v>329.78017</v>
      </c>
      <c r="F10" s="729">
        <f t="shared" si="0"/>
        <v>-0.74250066500819023</v>
      </c>
      <c r="K10" s="425"/>
    </row>
    <row r="11" spans="1:11" s="301" customFormat="1" ht="10.199999999999999" customHeight="1">
      <c r="A11" s="557"/>
      <c r="B11" s="516" t="s">
        <v>315</v>
      </c>
      <c r="C11" s="517">
        <v>100.80411000000001</v>
      </c>
      <c r="D11" s="517">
        <v>67.862920000000003</v>
      </c>
      <c r="E11" s="517">
        <v>101.40103999999999</v>
      </c>
      <c r="F11" s="729">
        <f t="shared" si="0"/>
        <v>0.48540778970312504</v>
      </c>
      <c r="J11" s="425"/>
      <c r="K11" s="425"/>
    </row>
    <row r="12" spans="1:11" s="301" customFormat="1" ht="10.199999999999999" customHeight="1">
      <c r="A12" s="557"/>
      <c r="B12" s="516" t="s">
        <v>316</v>
      </c>
      <c r="C12" s="517">
        <v>0</v>
      </c>
      <c r="D12" s="517">
        <v>0</v>
      </c>
      <c r="E12" s="517">
        <v>0</v>
      </c>
      <c r="F12" s="729" t="str">
        <f t="shared" si="0"/>
        <v/>
      </c>
      <c r="J12" s="425"/>
      <c r="K12" s="425"/>
    </row>
    <row r="13" spans="1:11" s="301" customFormat="1" ht="10.199999999999999" customHeight="1">
      <c r="A13" s="557"/>
      <c r="B13" s="516" t="s">
        <v>317</v>
      </c>
      <c r="C13" s="517">
        <v>0</v>
      </c>
      <c r="D13" s="517">
        <v>0</v>
      </c>
      <c r="E13" s="517">
        <v>0</v>
      </c>
      <c r="F13" s="729" t="str">
        <f t="shared" si="0"/>
        <v/>
      </c>
      <c r="J13" s="425"/>
      <c r="K13" s="425"/>
    </row>
    <row r="14" spans="1:11" s="301" customFormat="1" ht="10.199999999999999" customHeight="1">
      <c r="A14" s="557"/>
      <c r="B14" s="516" t="s">
        <v>318</v>
      </c>
      <c r="C14" s="517">
        <v>0</v>
      </c>
      <c r="D14" s="517">
        <v>0</v>
      </c>
      <c r="E14" s="517">
        <v>0</v>
      </c>
      <c r="F14" s="729" t="str">
        <f t="shared" si="0"/>
        <v/>
      </c>
      <c r="J14" s="425"/>
      <c r="K14" s="425"/>
    </row>
    <row r="15" spans="1:11" s="301" customFormat="1" ht="10.199999999999999" customHeight="1">
      <c r="A15" s="557"/>
      <c r="B15" s="516" t="s">
        <v>423</v>
      </c>
      <c r="C15" s="517">
        <v>0</v>
      </c>
      <c r="D15" s="517">
        <v>0</v>
      </c>
      <c r="E15" s="517">
        <v>0</v>
      </c>
      <c r="F15" s="729" t="str">
        <f t="shared" si="0"/>
        <v/>
      </c>
      <c r="J15" s="425"/>
      <c r="K15" s="425"/>
    </row>
    <row r="16" spans="1:11" s="301" customFormat="1" ht="10.199999999999999" customHeight="1">
      <c r="A16" s="558" t="s">
        <v>520</v>
      </c>
      <c r="B16" s="409"/>
      <c r="C16" s="410">
        <v>472.95194000000004</v>
      </c>
      <c r="D16" s="410">
        <v>993.13590999999997</v>
      </c>
      <c r="E16" s="410">
        <v>674.19157999999993</v>
      </c>
      <c r="F16" s="728">
        <f t="shared" si="0"/>
        <v>-0.52377923782858682</v>
      </c>
      <c r="J16" s="425"/>
      <c r="K16" s="425"/>
    </row>
    <row r="17" spans="1:11" s="301" customFormat="1" ht="10.199999999999999" customHeight="1">
      <c r="A17" s="557" t="s">
        <v>237</v>
      </c>
      <c r="B17" s="516" t="s">
        <v>319</v>
      </c>
      <c r="C17" s="517">
        <v>542.61955999999998</v>
      </c>
      <c r="D17" s="517">
        <v>272.46931999999998</v>
      </c>
      <c r="E17" s="517">
        <v>0</v>
      </c>
      <c r="F17" s="729">
        <f t="shared" si="0"/>
        <v>0.99148865641093109</v>
      </c>
      <c r="J17" s="425"/>
      <c r="K17" s="425"/>
    </row>
    <row r="18" spans="1:11" s="301" customFormat="1" ht="10.199999999999999" customHeight="1">
      <c r="A18" s="558" t="s">
        <v>521</v>
      </c>
      <c r="B18" s="409"/>
      <c r="C18" s="410">
        <v>542.61955999999998</v>
      </c>
      <c r="D18" s="410">
        <v>272.46931999999998</v>
      </c>
      <c r="E18" s="410">
        <v>0</v>
      </c>
      <c r="F18" s="728">
        <f t="shared" si="0"/>
        <v>0.99148865641093109</v>
      </c>
      <c r="J18" s="425"/>
      <c r="K18" s="425"/>
    </row>
    <row r="19" spans="1:11" s="301" customFormat="1" ht="10.199999999999999" customHeight="1">
      <c r="A19" s="557" t="s">
        <v>449</v>
      </c>
      <c r="B19" s="516" t="s">
        <v>454</v>
      </c>
      <c r="C19" s="517">
        <v>19.87189</v>
      </c>
      <c r="D19" s="517">
        <v>0</v>
      </c>
      <c r="E19" s="517">
        <v>3.98584</v>
      </c>
      <c r="F19" s="729" t="str">
        <f t="shared" si="0"/>
        <v/>
      </c>
      <c r="J19" s="425"/>
      <c r="K19" s="425"/>
    </row>
    <row r="20" spans="1:11" s="301" customFormat="1" ht="10.199999999999999" customHeight="1">
      <c r="A20" s="557"/>
      <c r="B20" s="516" t="s">
        <v>450</v>
      </c>
      <c r="C20" s="517">
        <v>7.25502</v>
      </c>
      <c r="D20" s="517">
        <v>0</v>
      </c>
      <c r="E20" s="517">
        <v>8.5023599999999995</v>
      </c>
      <c r="F20" s="729"/>
      <c r="J20" s="425"/>
      <c r="K20" s="425"/>
    </row>
    <row r="21" spans="1:11" s="301" customFormat="1" ht="10.199999999999999" customHeight="1">
      <c r="A21" s="558" t="s">
        <v>522</v>
      </c>
      <c r="B21" s="409"/>
      <c r="C21" s="410">
        <v>27.126910000000002</v>
      </c>
      <c r="D21" s="410">
        <v>0</v>
      </c>
      <c r="E21" s="410">
        <v>12.488199999999999</v>
      </c>
      <c r="F21" s="728"/>
      <c r="J21" s="425"/>
      <c r="K21" s="425"/>
    </row>
    <row r="22" spans="1:11" s="301" customFormat="1" ht="10.199999999999999" customHeight="1">
      <c r="A22" s="557" t="s">
        <v>108</v>
      </c>
      <c r="B22" s="516" t="s">
        <v>66</v>
      </c>
      <c r="C22" s="517">
        <v>6.8288099999999998</v>
      </c>
      <c r="D22" s="517">
        <v>6.3591899999999999</v>
      </c>
      <c r="E22" s="517">
        <v>7.0587499999999999</v>
      </c>
      <c r="F22" s="729"/>
      <c r="J22" s="425"/>
      <c r="K22" s="425"/>
    </row>
    <row r="23" spans="1:11" s="301" customFormat="1" ht="10.199999999999999" customHeight="1">
      <c r="A23" s="557"/>
      <c r="B23" s="516" t="s">
        <v>412</v>
      </c>
      <c r="C23" s="517">
        <v>20.384830000000001</v>
      </c>
      <c r="D23" s="517">
        <v>20.339030000000001</v>
      </c>
      <c r="E23" s="517">
        <v>16.498329999999999</v>
      </c>
      <c r="F23" s="729">
        <f t="shared" si="0"/>
        <v>2.2518281353633984E-3</v>
      </c>
      <c r="J23" s="425"/>
      <c r="K23" s="425"/>
    </row>
    <row r="24" spans="1:11" s="301" customFormat="1" ht="10.199999999999999" customHeight="1">
      <c r="A24" s="557"/>
      <c r="B24" s="516" t="s">
        <v>410</v>
      </c>
      <c r="C24" s="517">
        <v>20.392980000000001</v>
      </c>
      <c r="D24" s="517">
        <v>20.337689999999998</v>
      </c>
      <c r="E24" s="517">
        <v>16.502330000000001</v>
      </c>
      <c r="F24" s="729">
        <f t="shared" si="0"/>
        <v>2.7185978348573947E-3</v>
      </c>
      <c r="J24" s="425"/>
      <c r="K24" s="425"/>
    </row>
    <row r="25" spans="1:11" s="301" customFormat="1" ht="10.199999999999999" customHeight="1">
      <c r="A25" s="557"/>
      <c r="B25" s="516" t="s">
        <v>411</v>
      </c>
      <c r="C25" s="517">
        <v>20.372259999999997</v>
      </c>
      <c r="D25" s="517">
        <v>19.846260000000001</v>
      </c>
      <c r="E25" s="517">
        <v>16.442630000000001</v>
      </c>
      <c r="F25" s="729">
        <f t="shared" si="0"/>
        <v>2.650373420483243E-2</v>
      </c>
      <c r="J25" s="425"/>
      <c r="K25" s="425"/>
    </row>
    <row r="26" spans="1:11" s="301" customFormat="1" ht="10.199999999999999" customHeight="1">
      <c r="A26" s="558" t="s">
        <v>523</v>
      </c>
      <c r="B26" s="409"/>
      <c r="C26" s="410">
        <v>67.978880000000004</v>
      </c>
      <c r="D26" s="410">
        <v>66.882170000000002</v>
      </c>
      <c r="E26" s="410">
        <v>56.502040000000001</v>
      </c>
      <c r="F26" s="728">
        <f t="shared" si="0"/>
        <v>1.6397643796545402E-2</v>
      </c>
      <c r="J26" s="425"/>
      <c r="K26" s="425"/>
    </row>
    <row r="27" spans="1:11" s="301" customFormat="1" ht="10.199999999999999" customHeight="1">
      <c r="A27" s="557" t="s">
        <v>555</v>
      </c>
      <c r="B27" s="516" t="s">
        <v>580</v>
      </c>
      <c r="C27" s="517">
        <v>0</v>
      </c>
      <c r="D27" s="517"/>
      <c r="E27" s="517">
        <v>0</v>
      </c>
      <c r="F27" s="729" t="str">
        <f t="shared" si="0"/>
        <v/>
      </c>
      <c r="J27" s="425"/>
      <c r="K27" s="425"/>
    </row>
    <row r="28" spans="1:11" s="301" customFormat="1" ht="10.199999999999999" customHeight="1">
      <c r="A28" s="558" t="s">
        <v>557</v>
      </c>
      <c r="B28" s="409"/>
      <c r="C28" s="410">
        <v>0</v>
      </c>
      <c r="D28" s="410"/>
      <c r="E28" s="410">
        <v>0</v>
      </c>
      <c r="F28" s="728" t="str">
        <f t="shared" si="0"/>
        <v/>
      </c>
      <c r="J28" s="425"/>
      <c r="K28" s="425"/>
    </row>
    <row r="29" spans="1:11" s="301" customFormat="1" ht="10.199999999999999" customHeight="1">
      <c r="A29" s="557" t="s">
        <v>556</v>
      </c>
      <c r="B29" s="516" t="s">
        <v>581</v>
      </c>
      <c r="C29" s="517">
        <v>0</v>
      </c>
      <c r="D29" s="517"/>
      <c r="E29" s="517">
        <v>0</v>
      </c>
      <c r="F29" s="729" t="str">
        <f t="shared" si="0"/>
        <v/>
      </c>
      <c r="J29" s="425"/>
      <c r="K29" s="425"/>
    </row>
    <row r="30" spans="1:11" s="301" customFormat="1" ht="10.199999999999999" customHeight="1">
      <c r="A30" s="558" t="s">
        <v>558</v>
      </c>
      <c r="B30" s="409"/>
      <c r="C30" s="410">
        <v>0</v>
      </c>
      <c r="D30" s="410"/>
      <c r="E30" s="410">
        <v>0</v>
      </c>
      <c r="F30" s="728" t="str">
        <f t="shared" si="0"/>
        <v/>
      </c>
      <c r="J30" s="425"/>
      <c r="K30" s="425"/>
    </row>
    <row r="31" spans="1:11" s="301" customFormat="1" ht="10.199999999999999" customHeight="1">
      <c r="A31" s="557" t="s">
        <v>114</v>
      </c>
      <c r="B31" s="516" t="s">
        <v>74</v>
      </c>
      <c r="C31" s="517">
        <v>3.6</v>
      </c>
      <c r="D31" s="517">
        <v>3.6</v>
      </c>
      <c r="E31" s="517">
        <v>3.2</v>
      </c>
      <c r="F31" s="729">
        <f t="shared" si="0"/>
        <v>0</v>
      </c>
      <c r="J31" s="425"/>
      <c r="K31" s="425"/>
    </row>
    <row r="32" spans="1:11" s="301" customFormat="1" ht="10.199999999999999" customHeight="1">
      <c r="A32" s="558" t="s">
        <v>524</v>
      </c>
      <c r="B32" s="409"/>
      <c r="C32" s="410">
        <v>3.6</v>
      </c>
      <c r="D32" s="410">
        <v>3.6</v>
      </c>
      <c r="E32" s="410">
        <v>3.2</v>
      </c>
      <c r="F32" s="728">
        <f t="shared" si="0"/>
        <v>0</v>
      </c>
      <c r="J32" s="425"/>
      <c r="K32" s="425"/>
    </row>
    <row r="33" spans="1:11" s="301" customFormat="1" ht="10.199999999999999" customHeight="1">
      <c r="A33" s="557" t="s">
        <v>103</v>
      </c>
      <c r="B33" s="516" t="s">
        <v>320</v>
      </c>
      <c r="C33" s="517">
        <v>18.41658</v>
      </c>
      <c r="D33" s="517">
        <v>19.48602</v>
      </c>
      <c r="E33" s="517">
        <v>16.027529999999999</v>
      </c>
      <c r="F33" s="729">
        <f t="shared" si="0"/>
        <v>-5.4882423398929125E-2</v>
      </c>
      <c r="J33" s="425"/>
      <c r="K33" s="425"/>
    </row>
    <row r="34" spans="1:11" s="301" customFormat="1" ht="10.199999999999999" customHeight="1">
      <c r="A34" s="558" t="s">
        <v>525</v>
      </c>
      <c r="B34" s="409"/>
      <c r="C34" s="410">
        <v>18.41658</v>
      </c>
      <c r="D34" s="410">
        <v>19.48602</v>
      </c>
      <c r="E34" s="410">
        <v>16.027529999999999</v>
      </c>
      <c r="F34" s="728">
        <f t="shared" si="0"/>
        <v>-5.4882423398929125E-2</v>
      </c>
      <c r="J34" s="425"/>
      <c r="K34" s="425"/>
    </row>
    <row r="35" spans="1:11" s="301" customFormat="1" ht="10.199999999999999" customHeight="1">
      <c r="A35" s="557" t="s">
        <v>238</v>
      </c>
      <c r="B35" s="516" t="s">
        <v>59</v>
      </c>
      <c r="C35" s="517">
        <v>18.841639999999998</v>
      </c>
      <c r="D35" s="517">
        <v>9.5447399999999991</v>
      </c>
      <c r="E35" s="517">
        <v>7.4131999999999998</v>
      </c>
      <c r="F35" s="729">
        <f t="shared" si="0"/>
        <v>0.97403386577319018</v>
      </c>
      <c r="J35" s="425"/>
      <c r="K35" s="425"/>
    </row>
    <row r="36" spans="1:11" s="301" customFormat="1" ht="10.199999999999999" customHeight="1">
      <c r="A36" s="558" t="s">
        <v>526</v>
      </c>
      <c r="B36" s="409"/>
      <c r="C36" s="410">
        <v>18.841639999999998</v>
      </c>
      <c r="D36" s="410">
        <v>9.5447399999999991</v>
      </c>
      <c r="E36" s="410">
        <v>7.4131999999999998</v>
      </c>
      <c r="F36" s="728">
        <f t="shared" si="0"/>
        <v>0.97403386577319018</v>
      </c>
      <c r="J36" s="425"/>
      <c r="K36" s="425"/>
    </row>
    <row r="37" spans="1:11" s="301" customFormat="1" ht="10.199999999999999" customHeight="1">
      <c r="A37" s="557" t="s">
        <v>409</v>
      </c>
      <c r="B37" s="516" t="s">
        <v>457</v>
      </c>
      <c r="C37" s="517">
        <v>0</v>
      </c>
      <c r="D37" s="517">
        <v>0</v>
      </c>
      <c r="E37" s="517">
        <v>0.90400000000000003</v>
      </c>
      <c r="F37" s="729" t="str">
        <f t="shared" si="0"/>
        <v/>
      </c>
      <c r="J37" s="425"/>
      <c r="K37" s="425"/>
    </row>
    <row r="38" spans="1:11" s="301" customFormat="1" ht="10.199999999999999" customHeight="1">
      <c r="A38" s="558" t="s">
        <v>527</v>
      </c>
      <c r="B38" s="409"/>
      <c r="C38" s="410">
        <v>0</v>
      </c>
      <c r="D38" s="410">
        <v>0</v>
      </c>
      <c r="E38" s="410">
        <v>0.90400000000000003</v>
      </c>
      <c r="F38" s="728" t="str">
        <f t="shared" si="0"/>
        <v/>
      </c>
      <c r="J38" s="425"/>
      <c r="K38" s="425"/>
    </row>
    <row r="39" spans="1:11" s="301" customFormat="1" ht="10.199999999999999" customHeight="1">
      <c r="A39" s="557" t="s">
        <v>425</v>
      </c>
      <c r="B39" s="516" t="s">
        <v>429</v>
      </c>
      <c r="C39" s="517">
        <v>90.378440000000012</v>
      </c>
      <c r="D39" s="517">
        <v>91.219619999999992</v>
      </c>
      <c r="E39" s="517">
        <v>89.74315</v>
      </c>
      <c r="F39" s="729">
        <f t="shared" si="0"/>
        <v>-9.221481080495364E-3</v>
      </c>
      <c r="J39" s="425"/>
      <c r="K39" s="425"/>
    </row>
    <row r="40" spans="1:11" s="301" customFormat="1" ht="10.199999999999999" customHeight="1">
      <c r="A40" s="558" t="s">
        <v>528</v>
      </c>
      <c r="B40" s="409"/>
      <c r="C40" s="410">
        <v>90.378440000000012</v>
      </c>
      <c r="D40" s="410">
        <v>91.219619999999992</v>
      </c>
      <c r="E40" s="410">
        <v>89.74315</v>
      </c>
      <c r="F40" s="728">
        <f t="shared" si="0"/>
        <v>-9.221481080495364E-3</v>
      </c>
      <c r="J40" s="425"/>
      <c r="K40" s="425"/>
    </row>
    <row r="41" spans="1:11" s="301" customFormat="1" ht="10.199999999999999" customHeight="1">
      <c r="A41" s="561" t="s">
        <v>463</v>
      </c>
      <c r="B41" s="516" t="s">
        <v>483</v>
      </c>
      <c r="C41" s="517">
        <v>7.0253100000000002</v>
      </c>
      <c r="D41" s="517">
        <v>0</v>
      </c>
      <c r="E41" s="517">
        <v>10.40391</v>
      </c>
      <c r="F41" s="729" t="str">
        <f t="shared" si="0"/>
        <v/>
      </c>
      <c r="J41" s="425"/>
      <c r="K41" s="425"/>
    </row>
    <row r="42" spans="1:11" s="301" customFormat="1" ht="9.6" customHeight="1">
      <c r="A42" s="777" t="s">
        <v>529</v>
      </c>
      <c r="B42" s="409"/>
      <c r="C42" s="410">
        <v>7.0253100000000002</v>
      </c>
      <c r="D42" s="410">
        <v>0</v>
      </c>
      <c r="E42" s="410">
        <v>10.40391</v>
      </c>
      <c r="F42" s="728" t="str">
        <f t="shared" si="0"/>
        <v/>
      </c>
      <c r="J42" s="425"/>
      <c r="K42" s="425"/>
    </row>
    <row r="43" spans="1:11" s="301" customFormat="1" ht="10.199999999999999" customHeight="1">
      <c r="A43" s="557" t="s">
        <v>116</v>
      </c>
      <c r="B43" s="516" t="s">
        <v>322</v>
      </c>
      <c r="C43" s="517">
        <v>0</v>
      </c>
      <c r="D43" s="517">
        <v>0</v>
      </c>
      <c r="E43" s="517">
        <v>0</v>
      </c>
      <c r="F43" s="729" t="str">
        <f t="shared" si="0"/>
        <v/>
      </c>
      <c r="J43" s="425"/>
      <c r="K43" s="425"/>
    </row>
    <row r="44" spans="1:11" s="301" customFormat="1" ht="10.199999999999999" customHeight="1">
      <c r="A44" s="557"/>
      <c r="B44" s="516" t="s">
        <v>323</v>
      </c>
      <c r="C44" s="517">
        <v>0</v>
      </c>
      <c r="D44" s="517">
        <v>0</v>
      </c>
      <c r="E44" s="517">
        <v>0</v>
      </c>
      <c r="F44" s="729" t="str">
        <f t="shared" si="0"/>
        <v/>
      </c>
      <c r="J44" s="425"/>
      <c r="K44" s="425"/>
    </row>
    <row r="45" spans="1:11" s="301" customFormat="1" ht="10.199999999999999" customHeight="1">
      <c r="A45" s="558" t="s">
        <v>530</v>
      </c>
      <c r="B45" s="409"/>
      <c r="C45" s="410">
        <v>0</v>
      </c>
      <c r="D45" s="410">
        <v>0</v>
      </c>
      <c r="E45" s="410">
        <v>0</v>
      </c>
      <c r="F45" s="728" t="str">
        <f t="shared" si="0"/>
        <v/>
      </c>
      <c r="J45" s="425"/>
      <c r="K45" s="425"/>
    </row>
    <row r="46" spans="1:11" s="301" customFormat="1" ht="10.199999999999999" customHeight="1">
      <c r="A46" s="557" t="s">
        <v>407</v>
      </c>
      <c r="B46" s="516" t="s">
        <v>324</v>
      </c>
      <c r="C46" s="517">
        <v>790.67513000000008</v>
      </c>
      <c r="D46" s="517">
        <v>170.90903</v>
      </c>
      <c r="E46" s="517">
        <v>616.02841999999998</v>
      </c>
      <c r="F46" s="729">
        <f t="shared" si="0"/>
        <v>3.6262923029871512</v>
      </c>
      <c r="J46" s="425"/>
      <c r="K46" s="425"/>
    </row>
    <row r="47" spans="1:11" s="301" customFormat="1" ht="10.199999999999999" customHeight="1">
      <c r="A47" s="557"/>
      <c r="B47" s="516" t="s">
        <v>325</v>
      </c>
      <c r="C47" s="517">
        <v>170.22898000000001</v>
      </c>
      <c r="D47" s="517">
        <v>173.93691999999999</v>
      </c>
      <c r="E47" s="517">
        <v>175.20802</v>
      </c>
      <c r="F47" s="729">
        <f t="shared" si="0"/>
        <v>-2.1317728289083071E-2</v>
      </c>
      <c r="J47" s="425"/>
      <c r="K47" s="425"/>
    </row>
    <row r="48" spans="1:11" s="301" customFormat="1" ht="10.199999999999999" customHeight="1">
      <c r="A48" s="557"/>
      <c r="B48" s="516" t="s">
        <v>427</v>
      </c>
      <c r="C48" s="517">
        <v>0</v>
      </c>
      <c r="D48" s="517">
        <v>538.82392000000004</v>
      </c>
      <c r="E48" s="517">
        <v>539.19046000000003</v>
      </c>
      <c r="F48" s="729">
        <f t="shared" si="0"/>
        <v>-1</v>
      </c>
      <c r="J48" s="425"/>
      <c r="K48" s="425"/>
    </row>
    <row r="49" spans="1:11" s="301" customFormat="1" ht="10.199999999999999" customHeight="1">
      <c r="A49" s="557"/>
      <c r="B49" s="516" t="s">
        <v>326</v>
      </c>
      <c r="C49" s="517">
        <v>0</v>
      </c>
      <c r="D49" s="517">
        <v>10.12533</v>
      </c>
      <c r="E49" s="517">
        <v>10.164020000000001</v>
      </c>
      <c r="F49" s="729">
        <f t="shared" si="0"/>
        <v>-1</v>
      </c>
      <c r="J49" s="425"/>
      <c r="K49" s="425"/>
    </row>
    <row r="50" spans="1:11" s="301" customFormat="1" ht="10.199999999999999" customHeight="1">
      <c r="A50" s="558" t="s">
        <v>531</v>
      </c>
      <c r="B50" s="409"/>
      <c r="C50" s="410">
        <v>960.90411000000006</v>
      </c>
      <c r="D50" s="410">
        <v>893.79520000000002</v>
      </c>
      <c r="E50" s="410">
        <v>1340.5909199999999</v>
      </c>
      <c r="F50" s="728">
        <f t="shared" si="0"/>
        <v>7.5083095098295471E-2</v>
      </c>
      <c r="J50" s="425"/>
      <c r="K50" s="425"/>
    </row>
    <row r="51" spans="1:11" s="301" customFormat="1" ht="10.199999999999999" customHeight="1">
      <c r="A51" s="557" t="s">
        <v>115</v>
      </c>
      <c r="B51" s="516" t="s">
        <v>72</v>
      </c>
      <c r="C51" s="517">
        <v>3.2310599999999998</v>
      </c>
      <c r="D51" s="517">
        <v>2.7107000000000001</v>
      </c>
      <c r="E51" s="517">
        <v>2.9035199999999999</v>
      </c>
      <c r="F51" s="729">
        <f t="shared" si="0"/>
        <v>0.1919651750470357</v>
      </c>
      <c r="J51" s="425"/>
      <c r="K51" s="425"/>
    </row>
    <row r="52" spans="1:11" s="301" customFormat="1" ht="10.199999999999999" customHeight="1">
      <c r="A52" s="558" t="s">
        <v>532</v>
      </c>
      <c r="B52" s="409"/>
      <c r="C52" s="410">
        <v>3.2310599999999998</v>
      </c>
      <c r="D52" s="410">
        <v>2.7107000000000001</v>
      </c>
      <c r="E52" s="410">
        <v>2.9035199999999999</v>
      </c>
      <c r="F52" s="728">
        <f t="shared" si="0"/>
        <v>0.1919651750470357</v>
      </c>
      <c r="J52" s="425"/>
      <c r="K52" s="425"/>
    </row>
    <row r="53" spans="1:11" s="301" customFormat="1" ht="10.199999999999999" customHeight="1">
      <c r="A53" s="557" t="s">
        <v>553</v>
      </c>
      <c r="B53" s="516" t="s">
        <v>231</v>
      </c>
      <c r="C53" s="517">
        <v>0</v>
      </c>
      <c r="D53" s="517">
        <v>0</v>
      </c>
      <c r="E53" s="517">
        <v>0</v>
      </c>
      <c r="F53" s="729" t="str">
        <f t="shared" si="0"/>
        <v/>
      </c>
      <c r="J53" s="425"/>
      <c r="K53" s="425"/>
    </row>
    <row r="54" spans="1:11" s="301" customFormat="1" ht="10.199999999999999" customHeight="1">
      <c r="A54" s="558" t="s">
        <v>559</v>
      </c>
      <c r="B54" s="409"/>
      <c r="C54" s="410">
        <v>0</v>
      </c>
      <c r="D54" s="410">
        <v>0</v>
      </c>
      <c r="E54" s="410">
        <v>0</v>
      </c>
      <c r="F54" s="728" t="str">
        <f t="shared" si="0"/>
        <v/>
      </c>
      <c r="J54" s="425"/>
      <c r="K54" s="425"/>
    </row>
    <row r="55" spans="1:11" s="301" customFormat="1" ht="10.199999999999999" customHeight="1">
      <c r="A55" s="557" t="s">
        <v>110</v>
      </c>
      <c r="B55" s="516" t="s">
        <v>81</v>
      </c>
      <c r="C55" s="517">
        <v>0</v>
      </c>
      <c r="D55" s="517">
        <v>0</v>
      </c>
      <c r="E55" s="517">
        <v>0</v>
      </c>
      <c r="F55" s="729" t="str">
        <f t="shared" si="0"/>
        <v/>
      </c>
      <c r="J55" s="425"/>
      <c r="K55" s="425"/>
    </row>
    <row r="56" spans="1:11" s="301" customFormat="1" ht="10.199999999999999" customHeight="1">
      <c r="A56" s="558" t="s">
        <v>533</v>
      </c>
      <c r="B56" s="409"/>
      <c r="C56" s="410">
        <v>0</v>
      </c>
      <c r="D56" s="410">
        <v>0</v>
      </c>
      <c r="E56" s="410">
        <v>0</v>
      </c>
      <c r="F56" s="728" t="str">
        <f t="shared" si="0"/>
        <v/>
      </c>
      <c r="J56" s="425"/>
      <c r="K56" s="425"/>
    </row>
    <row r="57" spans="1:11" s="301" customFormat="1" ht="10.199999999999999" customHeight="1">
      <c r="A57" s="557" t="s">
        <v>239</v>
      </c>
      <c r="B57" s="516" t="s">
        <v>71</v>
      </c>
      <c r="C57" s="517">
        <v>5.4296899999999999</v>
      </c>
      <c r="D57" s="517">
        <v>5.5061</v>
      </c>
      <c r="E57" s="517">
        <v>5.6152699999999998</v>
      </c>
      <c r="F57" s="729">
        <f t="shared" si="0"/>
        <v>-1.3877336045476807E-2</v>
      </c>
      <c r="J57" s="425"/>
      <c r="K57" s="425"/>
    </row>
    <row r="58" spans="1:11" s="301" customFormat="1" ht="10.199999999999999" customHeight="1">
      <c r="A58" s="557"/>
      <c r="B58" s="516" t="s">
        <v>327</v>
      </c>
      <c r="C58" s="517">
        <v>244.28559000000001</v>
      </c>
      <c r="D58" s="517">
        <v>252.18276</v>
      </c>
      <c r="E58" s="517">
        <v>238.92627999999999</v>
      </c>
      <c r="F58" s="729">
        <f t="shared" si="0"/>
        <v>-3.131526516721439E-2</v>
      </c>
      <c r="J58" s="425"/>
      <c r="K58" s="425"/>
    </row>
    <row r="59" spans="1:11" s="301" customFormat="1" ht="10.199999999999999" customHeight="1">
      <c r="A59" s="557"/>
      <c r="B59" s="516" t="s">
        <v>328</v>
      </c>
      <c r="C59" s="517">
        <v>89.992559999999997</v>
      </c>
      <c r="D59" s="517">
        <v>90.162669999999991</v>
      </c>
      <c r="E59" s="517">
        <v>91.307590000000005</v>
      </c>
      <c r="F59" s="729">
        <f t="shared" si="0"/>
        <v>-1.8867010038632337E-3</v>
      </c>
      <c r="J59" s="425"/>
      <c r="K59" s="425"/>
    </row>
    <row r="60" spans="1:11" s="301" customFormat="1" ht="10.199999999999999" customHeight="1">
      <c r="A60" s="557"/>
      <c r="B60" s="516" t="s">
        <v>62</v>
      </c>
      <c r="C60" s="517">
        <v>9.9217300000000002</v>
      </c>
      <c r="D60" s="517">
        <v>9.93126</v>
      </c>
      <c r="E60" s="517">
        <v>9.9234399999999994</v>
      </c>
      <c r="F60" s="729">
        <f t="shared" si="0"/>
        <v>-9.595962647236389E-4</v>
      </c>
      <c r="J60" s="425"/>
      <c r="K60" s="425"/>
    </row>
    <row r="61" spans="1:11" s="301" customFormat="1" ht="10.199999999999999" customHeight="1">
      <c r="A61" s="558" t="s">
        <v>534</v>
      </c>
      <c r="B61" s="409"/>
      <c r="C61" s="410">
        <v>349.62957000000006</v>
      </c>
      <c r="D61" s="410">
        <v>357.78278999999998</v>
      </c>
      <c r="E61" s="410">
        <v>345.77258000000006</v>
      </c>
      <c r="F61" s="728">
        <f t="shared" si="0"/>
        <v>-2.2788183858703515E-2</v>
      </c>
      <c r="J61" s="425"/>
      <c r="K61" s="425"/>
    </row>
    <row r="62" spans="1:11" s="301" customFormat="1" ht="10.199999999999999" customHeight="1">
      <c r="A62" s="557" t="s">
        <v>240</v>
      </c>
      <c r="B62" s="516" t="s">
        <v>78</v>
      </c>
      <c r="C62" s="517">
        <v>9.4697099999999992</v>
      </c>
      <c r="D62" s="517">
        <v>8.2894100000000002</v>
      </c>
      <c r="E62" s="517">
        <v>26.21172</v>
      </c>
      <c r="F62" s="729">
        <f t="shared" si="0"/>
        <v>0.14238649071526188</v>
      </c>
      <c r="J62" s="425"/>
      <c r="K62" s="425"/>
    </row>
    <row r="63" spans="1:11" s="301" customFormat="1" ht="10.199999999999999" customHeight="1">
      <c r="A63" s="558" t="s">
        <v>535</v>
      </c>
      <c r="B63" s="409"/>
      <c r="C63" s="410">
        <v>9.4697099999999992</v>
      </c>
      <c r="D63" s="410">
        <v>8.2894100000000002</v>
      </c>
      <c r="E63" s="410">
        <v>26.21172</v>
      </c>
      <c r="F63" s="728">
        <f t="shared" si="0"/>
        <v>0.14238649071526188</v>
      </c>
      <c r="J63" s="425"/>
      <c r="K63" s="425"/>
    </row>
    <row r="64" spans="1:11" s="301" customFormat="1" ht="10.199999999999999" customHeight="1">
      <c r="A64" s="557" t="s">
        <v>99</v>
      </c>
      <c r="B64" s="516" t="s">
        <v>76</v>
      </c>
      <c r="C64" s="517">
        <v>31.85548</v>
      </c>
      <c r="D64" s="517">
        <v>25.81061</v>
      </c>
      <c r="E64" s="517">
        <v>78.827539999999999</v>
      </c>
      <c r="F64" s="729">
        <f t="shared" si="0"/>
        <v>0.23420097394056172</v>
      </c>
      <c r="J64" s="425"/>
      <c r="K64" s="425"/>
    </row>
    <row r="65" spans="1:11" s="301" customFormat="1" ht="10.199999999999999" customHeight="1">
      <c r="A65" s="558" t="s">
        <v>536</v>
      </c>
      <c r="B65" s="409"/>
      <c r="C65" s="410">
        <v>31.85548</v>
      </c>
      <c r="D65" s="410">
        <v>25.81061</v>
      </c>
      <c r="E65" s="410">
        <v>78.827539999999999</v>
      </c>
      <c r="F65" s="728">
        <f t="shared" si="0"/>
        <v>0.23420097394056172</v>
      </c>
      <c r="J65" s="425"/>
      <c r="K65" s="425"/>
    </row>
    <row r="66" spans="1:11" s="301" customFormat="1" ht="10.199999999999999" customHeight="1">
      <c r="A66" s="557" t="s">
        <v>107</v>
      </c>
      <c r="B66" s="516" t="s">
        <v>230</v>
      </c>
      <c r="C66" s="517">
        <v>0</v>
      </c>
      <c r="D66" s="517">
        <v>0</v>
      </c>
      <c r="E66" s="517">
        <v>0</v>
      </c>
      <c r="F66" s="729" t="str">
        <f t="shared" si="0"/>
        <v/>
      </c>
      <c r="J66" s="425"/>
      <c r="K66" s="425"/>
    </row>
    <row r="67" spans="1:11" s="301" customFormat="1" ht="10.199999999999999" customHeight="1">
      <c r="A67" s="558" t="s">
        <v>537</v>
      </c>
      <c r="B67" s="409"/>
      <c r="C67" s="410">
        <v>0</v>
      </c>
      <c r="D67" s="410">
        <v>0</v>
      </c>
      <c r="E67" s="410">
        <v>0</v>
      </c>
      <c r="F67" s="728" t="str">
        <f t="shared" si="0"/>
        <v/>
      </c>
      <c r="J67" s="425"/>
      <c r="K67" s="425"/>
    </row>
    <row r="68" spans="1:11" s="301" customFormat="1" ht="10.199999999999999" customHeight="1">
      <c r="A68" s="557" t="s">
        <v>408</v>
      </c>
      <c r="B68" s="516" t="s">
        <v>85</v>
      </c>
      <c r="C68" s="517">
        <v>2.8997000000000002</v>
      </c>
      <c r="D68" s="517">
        <v>2.6459999999999999</v>
      </c>
      <c r="E68" s="517">
        <v>2.8205400000000003</v>
      </c>
      <c r="F68" s="729">
        <f t="shared" si="0"/>
        <v>9.5880574452003042E-2</v>
      </c>
      <c r="J68" s="425"/>
      <c r="K68" s="425"/>
    </row>
    <row r="69" spans="1:11" s="301" customFormat="1" ht="10.199999999999999" customHeight="1">
      <c r="A69" s="557"/>
      <c r="B69" s="516" t="s">
        <v>84</v>
      </c>
      <c r="C69" s="517">
        <v>4.5846999999999998</v>
      </c>
      <c r="D69" s="517">
        <v>0</v>
      </c>
      <c r="E69" s="517">
        <v>4.4353800000000003</v>
      </c>
      <c r="F69" s="729" t="str">
        <f t="shared" si="0"/>
        <v/>
      </c>
      <c r="J69" s="425"/>
      <c r="K69" s="425"/>
    </row>
    <row r="70" spans="1:11" ht="10.199999999999999" customHeight="1">
      <c r="A70" s="557"/>
      <c r="B70" s="516" t="s">
        <v>424</v>
      </c>
      <c r="C70" s="517">
        <v>2.1038000000000001</v>
      </c>
      <c r="D70" s="517">
        <v>2.1589</v>
      </c>
      <c r="E70" s="517">
        <v>2.3075299999999999</v>
      </c>
      <c r="F70" s="729"/>
    </row>
    <row r="71" spans="1:11" ht="10.199999999999999" customHeight="1">
      <c r="A71" s="557"/>
      <c r="B71" s="516" t="s">
        <v>476</v>
      </c>
      <c r="C71" s="517">
        <v>2.4024999999999999</v>
      </c>
      <c r="D71" s="517"/>
      <c r="E71" s="517">
        <v>2.4023700000000003</v>
      </c>
      <c r="F71" s="729"/>
    </row>
    <row r="72" spans="1:11" ht="10.199999999999999" customHeight="1">
      <c r="A72" s="558" t="s">
        <v>538</v>
      </c>
      <c r="B72" s="409"/>
      <c r="C72" s="410">
        <v>11.9907</v>
      </c>
      <c r="D72" s="410">
        <v>4.8048999999999999</v>
      </c>
      <c r="E72" s="410">
        <v>11.965820000000001</v>
      </c>
      <c r="F72" s="728"/>
    </row>
    <row r="73" spans="1:11" ht="10.199999999999999" customHeight="1">
      <c r="A73" s="557" t="s">
        <v>241</v>
      </c>
      <c r="B73" s="516" t="s">
        <v>329</v>
      </c>
      <c r="C73" s="517">
        <v>0</v>
      </c>
      <c r="D73" s="517">
        <v>0</v>
      </c>
      <c r="E73" s="517">
        <v>0</v>
      </c>
      <c r="F73" s="729"/>
    </row>
    <row r="74" spans="1:11" ht="10.199999999999999" customHeight="1">
      <c r="A74" s="558" t="s">
        <v>539</v>
      </c>
      <c r="B74" s="409"/>
      <c r="C74" s="410">
        <v>0</v>
      </c>
      <c r="D74" s="410">
        <v>0</v>
      </c>
      <c r="E74" s="410">
        <v>0</v>
      </c>
      <c r="F74" s="728"/>
    </row>
    <row r="75" spans="1:11">
      <c r="F75" s="730"/>
    </row>
    <row r="76" spans="1:11">
      <c r="F76" s="730"/>
    </row>
    <row r="77" spans="1:11">
      <c r="F77" s="730"/>
    </row>
    <row r="78" spans="1:11">
      <c r="F78" s="730"/>
    </row>
    <row r="79" spans="1:11">
      <c r="F79" s="730"/>
    </row>
    <row r="80" spans="1:11">
      <c r="F80" s="730"/>
    </row>
    <row r="81" spans="6:6">
      <c r="F81" s="730"/>
    </row>
    <row r="82" spans="6:6">
      <c r="F82" s="730"/>
    </row>
    <row r="83" spans="6:6">
      <c r="F83" s="730"/>
    </row>
    <row r="84" spans="6:6">
      <c r="F84" s="730"/>
    </row>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 Marzo 2021
INFSGI-MES-03-2021
13/04/2021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9"/>
  <sheetViews>
    <sheetView showGridLines="0" view="pageBreakPreview" zoomScale="115" zoomScaleNormal="100" zoomScaleSheetLayoutView="115" zoomScalePageLayoutView="140" workbookViewId="0">
      <selection activeCell="O61" sqref="O61"/>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1" customFormat="1" ht="11.25" customHeight="1">
      <c r="A1" s="924" t="s">
        <v>248</v>
      </c>
      <c r="B1" s="926" t="s">
        <v>54</v>
      </c>
      <c r="C1" s="926" t="s">
        <v>352</v>
      </c>
      <c r="D1" s="926"/>
      <c r="E1" s="926"/>
      <c r="F1" s="928"/>
    </row>
    <row r="2" spans="1:6" s="301" customFormat="1" ht="11.25" customHeight="1">
      <c r="A2" s="918"/>
      <c r="B2" s="921"/>
      <c r="C2" s="397" t="str">
        <f>UPPER('1. Resumen'!Q4)&amp;" "&amp;'1. Resumen'!Q5</f>
        <v>MARZO 2021</v>
      </c>
      <c r="D2" s="398" t="str">
        <f>UPPER('1. Resumen'!Q4)&amp;" "&amp;'1. Resumen'!Q5-1</f>
        <v>MARZO 2020</v>
      </c>
      <c r="E2" s="399">
        <v>2021</v>
      </c>
      <c r="F2" s="528" t="s">
        <v>579</v>
      </c>
    </row>
    <row r="3" spans="1:6" s="301" customFormat="1" ht="11.25" customHeight="1">
      <c r="A3" s="918"/>
      <c r="B3" s="921"/>
      <c r="C3" s="400">
        <f>'21. ANEXOII-1'!C4</f>
        <v>44259.833333333336</v>
      </c>
      <c r="D3" s="400">
        <f>'21. ANEXOII-1'!D4</f>
        <v>43899.822916666664</v>
      </c>
      <c r="E3" s="400">
        <f>'21. ANEXOII-1'!E4</f>
        <v>44204.822916666664</v>
      </c>
      <c r="F3" s="529" t="s">
        <v>349</v>
      </c>
    </row>
    <row r="4" spans="1:6" s="301" customFormat="1" ht="11.25" customHeight="1">
      <c r="A4" s="925"/>
      <c r="B4" s="927"/>
      <c r="C4" s="401">
        <f>+'8. Max Potencia'!D9</f>
        <v>44259.833333333336</v>
      </c>
      <c r="D4" s="401">
        <f>+'8. Max Potencia'!E9</f>
        <v>43899.822916666664</v>
      </c>
      <c r="E4" s="401">
        <f>+'22. ANEXOII-2'!E4</f>
        <v>44204.822916666664</v>
      </c>
      <c r="F4" s="530" t="s">
        <v>350</v>
      </c>
    </row>
    <row r="5" spans="1:6" s="301" customFormat="1" ht="10.5" customHeight="1">
      <c r="A5" s="557" t="s">
        <v>554</v>
      </c>
      <c r="B5" s="516" t="s">
        <v>82</v>
      </c>
      <c r="C5" s="517">
        <v>0</v>
      </c>
      <c r="D5" s="517">
        <v>0</v>
      </c>
      <c r="E5" s="517">
        <v>0</v>
      </c>
      <c r="F5" s="729" t="str">
        <f t="shared" ref="F5:F44" si="0">+IF(D5=0,"",C5/D5-1)</f>
        <v/>
      </c>
    </row>
    <row r="6" spans="1:6" s="301" customFormat="1" ht="10.5" customHeight="1">
      <c r="A6" s="558" t="s">
        <v>560</v>
      </c>
      <c r="B6" s="409"/>
      <c r="C6" s="410">
        <v>0</v>
      </c>
      <c r="D6" s="410">
        <v>0</v>
      </c>
      <c r="E6" s="410">
        <v>0</v>
      </c>
      <c r="F6" s="728" t="str">
        <f t="shared" si="0"/>
        <v/>
      </c>
    </row>
    <row r="7" spans="1:6" s="301" customFormat="1" ht="10.5" customHeight="1">
      <c r="A7" s="557" t="s">
        <v>439</v>
      </c>
      <c r="B7" s="516" t="s">
        <v>451</v>
      </c>
      <c r="C7" s="517">
        <v>19.861740000000001</v>
      </c>
      <c r="D7" s="517">
        <v>19.976480000000002</v>
      </c>
      <c r="E7" s="517">
        <v>19.997630000000001</v>
      </c>
      <c r="F7" s="729">
        <f t="shared" si="0"/>
        <v>-5.7437546554749419E-3</v>
      </c>
    </row>
    <row r="8" spans="1:6" s="301" customFormat="1" ht="10.5" customHeight="1">
      <c r="A8" s="558" t="s">
        <v>540</v>
      </c>
      <c r="B8" s="409"/>
      <c r="C8" s="410">
        <v>19.861740000000001</v>
      </c>
      <c r="D8" s="410">
        <v>19.976480000000002</v>
      </c>
      <c r="E8" s="410">
        <v>19.997630000000001</v>
      </c>
      <c r="F8" s="728">
        <f t="shared" si="0"/>
        <v>-5.7437546554749419E-3</v>
      </c>
    </row>
    <row r="9" spans="1:6" s="301" customFormat="1" ht="10.5" customHeight="1">
      <c r="A9" s="557" t="s">
        <v>104</v>
      </c>
      <c r="B9" s="516" t="s">
        <v>61</v>
      </c>
      <c r="C9" s="517">
        <v>17.952719999999999</v>
      </c>
      <c r="D9" s="517">
        <v>12.248200000000001</v>
      </c>
      <c r="E9" s="517">
        <v>18.21508</v>
      </c>
      <c r="F9" s="729">
        <f t="shared" si="0"/>
        <v>0.46574353782596623</v>
      </c>
    </row>
    <row r="10" spans="1:6" s="301" customFormat="1" ht="10.5" customHeight="1">
      <c r="A10" s="558" t="s">
        <v>541</v>
      </c>
      <c r="B10" s="409"/>
      <c r="C10" s="410">
        <v>17.952719999999999</v>
      </c>
      <c r="D10" s="410">
        <v>12.248200000000001</v>
      </c>
      <c r="E10" s="410">
        <v>18.21508</v>
      </c>
      <c r="F10" s="728">
        <f t="shared" si="0"/>
        <v>0.46574353782596623</v>
      </c>
    </row>
    <row r="11" spans="1:6" s="301" customFormat="1" ht="10.5" customHeight="1">
      <c r="A11" s="557" t="s">
        <v>242</v>
      </c>
      <c r="B11" s="516" t="s">
        <v>330</v>
      </c>
      <c r="C11" s="517">
        <v>0</v>
      </c>
      <c r="D11" s="517">
        <v>0</v>
      </c>
      <c r="E11" s="517">
        <v>0</v>
      </c>
      <c r="F11" s="729" t="str">
        <f t="shared" si="0"/>
        <v/>
      </c>
    </row>
    <row r="12" spans="1:6" s="301" customFormat="1" ht="10.5" customHeight="1">
      <c r="A12" s="558" t="s">
        <v>542</v>
      </c>
      <c r="B12" s="409"/>
      <c r="C12" s="410">
        <v>0</v>
      </c>
      <c r="D12" s="410">
        <v>0</v>
      </c>
      <c r="E12" s="410">
        <v>0</v>
      </c>
      <c r="F12" s="728" t="str">
        <f t="shared" si="0"/>
        <v/>
      </c>
    </row>
    <row r="13" spans="1:6" s="301" customFormat="1" ht="10.5" customHeight="1">
      <c r="A13" s="557" t="s">
        <v>95</v>
      </c>
      <c r="B13" s="516" t="s">
        <v>331</v>
      </c>
      <c r="C13" s="517">
        <v>108.9648</v>
      </c>
      <c r="D13" s="517">
        <v>110.18037</v>
      </c>
      <c r="E13" s="517">
        <v>109.55790999999999</v>
      </c>
      <c r="F13" s="729">
        <f t="shared" si="0"/>
        <v>-1.103254599707737E-2</v>
      </c>
    </row>
    <row r="14" spans="1:6" s="301" customFormat="1" ht="10.5" customHeight="1">
      <c r="A14" s="558" t="s">
        <v>543</v>
      </c>
      <c r="B14" s="409"/>
      <c r="C14" s="410">
        <v>108.9648</v>
      </c>
      <c r="D14" s="410">
        <v>110.18037</v>
      </c>
      <c r="E14" s="410">
        <v>109.55790999999999</v>
      </c>
      <c r="F14" s="728">
        <f t="shared" si="0"/>
        <v>-1.103254599707737E-2</v>
      </c>
    </row>
    <row r="15" spans="1:6" s="301" customFormat="1" ht="10.5" customHeight="1">
      <c r="A15" s="557" t="s">
        <v>426</v>
      </c>
      <c r="B15" s="516" t="s">
        <v>458</v>
      </c>
      <c r="C15" s="517">
        <v>6.3879999999999999</v>
      </c>
      <c r="D15" s="517">
        <v>8.3879999999999999</v>
      </c>
      <c r="E15" s="517">
        <v>6.7641600000000004</v>
      </c>
      <c r="F15" s="729">
        <f t="shared" si="0"/>
        <v>-0.23843586075345735</v>
      </c>
    </row>
    <row r="16" spans="1:6" s="301" customFormat="1" ht="10.5" customHeight="1">
      <c r="A16" s="558" t="s">
        <v>544</v>
      </c>
      <c r="B16" s="409"/>
      <c r="C16" s="410">
        <v>6.3879999999999999</v>
      </c>
      <c r="D16" s="410">
        <v>8.3879999999999999</v>
      </c>
      <c r="E16" s="410">
        <v>6.7641600000000004</v>
      </c>
      <c r="F16" s="728">
        <f t="shared" si="0"/>
        <v>-0.23843586075345735</v>
      </c>
    </row>
    <row r="17" spans="1:6" s="301" customFormat="1" ht="10.5" customHeight="1">
      <c r="A17" s="557" t="s">
        <v>399</v>
      </c>
      <c r="B17" s="516" t="s">
        <v>403</v>
      </c>
      <c r="C17" s="517">
        <v>20.1279</v>
      </c>
      <c r="D17" s="517">
        <v>20.345030000000001</v>
      </c>
      <c r="E17" s="517">
        <v>20.4907</v>
      </c>
      <c r="F17" s="729">
        <f t="shared" si="0"/>
        <v>-1.0672385344233981E-2</v>
      </c>
    </row>
    <row r="18" spans="1:6" s="301" customFormat="1" ht="10.5" customHeight="1">
      <c r="A18" s="558" t="s">
        <v>545</v>
      </c>
      <c r="B18" s="409"/>
      <c r="C18" s="410">
        <v>20.1279</v>
      </c>
      <c r="D18" s="410">
        <v>20.345030000000001</v>
      </c>
      <c r="E18" s="410">
        <v>20.4907</v>
      </c>
      <c r="F18" s="728">
        <f t="shared" si="0"/>
        <v>-1.0672385344233981E-2</v>
      </c>
    </row>
    <row r="19" spans="1:6" s="301" customFormat="1" ht="10.5" customHeight="1">
      <c r="A19" s="557" t="s">
        <v>102</v>
      </c>
      <c r="B19" s="516" t="s">
        <v>332</v>
      </c>
      <c r="C19" s="517">
        <v>0</v>
      </c>
      <c r="D19" s="517">
        <v>26.28755</v>
      </c>
      <c r="E19" s="517">
        <v>0</v>
      </c>
      <c r="F19" s="729">
        <f t="shared" si="0"/>
        <v>-1</v>
      </c>
    </row>
    <row r="20" spans="1:6" s="301" customFormat="1" ht="10.5" customHeight="1">
      <c r="A20" s="558" t="s">
        <v>546</v>
      </c>
      <c r="B20" s="409"/>
      <c r="C20" s="410">
        <v>0</v>
      </c>
      <c r="D20" s="410">
        <v>26.28755</v>
      </c>
      <c r="E20" s="410">
        <v>0</v>
      </c>
      <c r="F20" s="728">
        <f t="shared" si="0"/>
        <v>-1</v>
      </c>
    </row>
    <row r="21" spans="1:6" s="301" customFormat="1" ht="10.5" customHeight="1">
      <c r="A21" s="557" t="s">
        <v>117</v>
      </c>
      <c r="B21" s="516" t="s">
        <v>333</v>
      </c>
      <c r="C21" s="517">
        <v>0</v>
      </c>
      <c r="D21" s="517">
        <v>0</v>
      </c>
      <c r="E21" s="517">
        <v>0</v>
      </c>
      <c r="F21" s="729" t="str">
        <f t="shared" si="0"/>
        <v/>
      </c>
    </row>
    <row r="22" spans="1:6" s="301" customFormat="1" ht="10.5" customHeight="1">
      <c r="A22" s="558" t="s">
        <v>547</v>
      </c>
      <c r="B22" s="409"/>
      <c r="C22" s="410">
        <v>0</v>
      </c>
      <c r="D22" s="410">
        <v>0</v>
      </c>
      <c r="E22" s="410">
        <v>0</v>
      </c>
      <c r="F22" s="728" t="str">
        <f t="shared" si="0"/>
        <v/>
      </c>
    </row>
    <row r="23" spans="1:6" s="301" customFormat="1" ht="10.5" customHeight="1">
      <c r="A23" s="557" t="s">
        <v>111</v>
      </c>
      <c r="B23" s="516" t="s">
        <v>452</v>
      </c>
      <c r="C23" s="517">
        <v>19.974710000000002</v>
      </c>
      <c r="D23" s="517">
        <v>19.911049999999999</v>
      </c>
      <c r="E23" s="517">
        <v>19.985199999999999</v>
      </c>
      <c r="F23" s="729">
        <f t="shared" si="0"/>
        <v>3.1972196343237336E-3</v>
      </c>
    </row>
    <row r="24" spans="1:6" s="301" customFormat="1" ht="10.5" customHeight="1">
      <c r="A24" s="557"/>
      <c r="B24" s="516" t="s">
        <v>69</v>
      </c>
      <c r="C24" s="517">
        <v>6.5621400000000003</v>
      </c>
      <c r="D24" s="517">
        <v>8.8717400000000008</v>
      </c>
      <c r="E24" s="517">
        <v>3.3915500000000001</v>
      </c>
      <c r="F24" s="729">
        <f t="shared" si="0"/>
        <v>-0.2603322459855677</v>
      </c>
    </row>
    <row r="25" spans="1:6" s="301" customFormat="1" ht="10.5" customHeight="1">
      <c r="A25" s="558" t="s">
        <v>548</v>
      </c>
      <c r="B25" s="409"/>
      <c r="C25" s="410">
        <v>26.536850000000001</v>
      </c>
      <c r="D25" s="410">
        <v>28.782789999999999</v>
      </c>
      <c r="E25" s="410">
        <v>23.376749999999998</v>
      </c>
      <c r="F25" s="728">
        <f t="shared" si="0"/>
        <v>-7.8030656513840335E-2</v>
      </c>
    </row>
    <row r="26" spans="1:6" s="301" customFormat="1" ht="10.5" customHeight="1">
      <c r="A26" s="557" t="s">
        <v>90</v>
      </c>
      <c r="B26" s="516" t="s">
        <v>334</v>
      </c>
      <c r="C26" s="517">
        <v>44.304109999999994</v>
      </c>
      <c r="D26" s="517">
        <v>44.429850000000002</v>
      </c>
      <c r="E26" s="517">
        <v>45.227310000000003</v>
      </c>
      <c r="F26" s="729">
        <f t="shared" si="0"/>
        <v>-2.8300793272992841E-3</v>
      </c>
    </row>
    <row r="27" spans="1:6" s="301" customFormat="1" ht="10.5" customHeight="1">
      <c r="A27" s="557"/>
      <c r="B27" s="516" t="s">
        <v>335</v>
      </c>
      <c r="C27" s="517">
        <v>83.969319999999996</v>
      </c>
      <c r="D27" s="517">
        <v>157.14209</v>
      </c>
      <c r="E27" s="517">
        <v>164.11106999999998</v>
      </c>
      <c r="F27" s="729">
        <f t="shared" si="0"/>
        <v>-0.46564717320483651</v>
      </c>
    </row>
    <row r="28" spans="1:6" s="301" customFormat="1" ht="10.5" customHeight="1">
      <c r="A28" s="557"/>
      <c r="B28" s="516" t="s">
        <v>336</v>
      </c>
      <c r="C28" s="517">
        <v>24.880700000000001</v>
      </c>
      <c r="D28" s="517">
        <v>24.180759999999999</v>
      </c>
      <c r="E28" s="517">
        <v>13.955640000000001</v>
      </c>
      <c r="F28" s="729">
        <f t="shared" si="0"/>
        <v>2.8946153884327863E-2</v>
      </c>
    </row>
    <row r="29" spans="1:6" s="301" customFormat="1" ht="10.5" customHeight="1">
      <c r="A29" s="557"/>
      <c r="B29" s="516" t="s">
        <v>337</v>
      </c>
      <c r="C29" s="517">
        <v>0.22202</v>
      </c>
      <c r="D29" s="517">
        <v>0.22328000000000001</v>
      </c>
      <c r="E29" s="517">
        <v>0.21765999999999999</v>
      </c>
      <c r="F29" s="729">
        <f t="shared" si="0"/>
        <v>-5.6431386599785638E-3</v>
      </c>
    </row>
    <row r="30" spans="1:6" s="301" customFormat="1" ht="10.5" customHeight="1">
      <c r="A30" s="557"/>
      <c r="B30" s="516" t="s">
        <v>338</v>
      </c>
      <c r="C30" s="517">
        <v>32.894669999999998</v>
      </c>
      <c r="D30" s="517">
        <v>42.888649999999998</v>
      </c>
      <c r="E30" s="517">
        <v>46.688270000000003</v>
      </c>
      <c r="F30" s="729">
        <f t="shared" si="0"/>
        <v>-0.23302155698535632</v>
      </c>
    </row>
    <row r="31" spans="1:6" s="301" customFormat="1" ht="10.5" customHeight="1">
      <c r="A31" s="557"/>
      <c r="B31" s="516" t="s">
        <v>339</v>
      </c>
      <c r="C31" s="517">
        <v>3.85629</v>
      </c>
      <c r="D31" s="517">
        <v>3.78</v>
      </c>
      <c r="E31" s="517">
        <v>3.5510899999999999</v>
      </c>
      <c r="F31" s="729">
        <f t="shared" si="0"/>
        <v>2.0182539682539691E-2</v>
      </c>
    </row>
    <row r="32" spans="1:6" s="301" customFormat="1" ht="10.5" customHeight="1">
      <c r="A32" s="557"/>
      <c r="B32" s="516" t="s">
        <v>340</v>
      </c>
      <c r="C32" s="517">
        <v>6.1376400000000002</v>
      </c>
      <c r="D32" s="517">
        <v>6.6247199999999999</v>
      </c>
      <c r="E32" s="517">
        <v>0</v>
      </c>
      <c r="F32" s="729">
        <f t="shared" si="0"/>
        <v>-7.3524616889468541E-2</v>
      </c>
    </row>
    <row r="33" spans="1:6" s="301" customFormat="1" ht="10.5" customHeight="1">
      <c r="A33" s="557"/>
      <c r="B33" s="516" t="s">
        <v>341</v>
      </c>
      <c r="C33" s="517">
        <v>0</v>
      </c>
      <c r="D33" s="517">
        <v>0</v>
      </c>
      <c r="E33" s="517">
        <v>0</v>
      </c>
      <c r="F33" s="729" t="str">
        <f t="shared" si="0"/>
        <v/>
      </c>
    </row>
    <row r="34" spans="1:6" s="301" customFormat="1" ht="10.5" customHeight="1">
      <c r="A34" s="557"/>
      <c r="B34" s="516" t="s">
        <v>342</v>
      </c>
      <c r="C34" s="517">
        <v>4.5944599999999998</v>
      </c>
      <c r="D34" s="517">
        <v>1.4802399999999998</v>
      </c>
      <c r="E34" s="517">
        <v>2.56616</v>
      </c>
      <c r="F34" s="729"/>
    </row>
    <row r="35" spans="1:6" s="301" customFormat="1" ht="10.5" customHeight="1">
      <c r="A35" s="557"/>
      <c r="B35" s="516" t="s">
        <v>343</v>
      </c>
      <c r="C35" s="517">
        <v>0.48981000000000002</v>
      </c>
      <c r="D35" s="517">
        <v>0.54545999999999994</v>
      </c>
      <c r="E35" s="517">
        <v>0</v>
      </c>
      <c r="F35" s="729"/>
    </row>
    <row r="36" spans="1:6" s="301" customFormat="1" ht="10.5" customHeight="1">
      <c r="A36" s="557"/>
      <c r="B36" s="516" t="s">
        <v>344</v>
      </c>
      <c r="C36" s="517">
        <v>0.35764000000000001</v>
      </c>
      <c r="D36" s="517">
        <v>0.37236999999999998</v>
      </c>
      <c r="E36" s="517">
        <v>0.32818000000000003</v>
      </c>
      <c r="F36" s="729"/>
    </row>
    <row r="37" spans="1:6" s="301" customFormat="1" ht="10.5" customHeight="1">
      <c r="A37" s="557"/>
      <c r="B37" s="516" t="s">
        <v>345</v>
      </c>
      <c r="C37" s="517">
        <v>105.68499999999999</v>
      </c>
      <c r="D37" s="517">
        <v>105.59116</v>
      </c>
      <c r="E37" s="517">
        <v>94.893659999999983</v>
      </c>
      <c r="F37" s="729"/>
    </row>
    <row r="38" spans="1:6" s="301" customFormat="1" ht="10.5" customHeight="1">
      <c r="A38" s="558" t="s">
        <v>549</v>
      </c>
      <c r="B38" s="409"/>
      <c r="C38" s="410">
        <v>307.39165999999994</v>
      </c>
      <c r="D38" s="410">
        <v>387.25857999999994</v>
      </c>
      <c r="E38" s="410">
        <v>371.53903999999989</v>
      </c>
      <c r="F38" s="728"/>
    </row>
    <row r="39" spans="1:6" s="301" customFormat="1" ht="10.5" customHeight="1">
      <c r="A39" s="557" t="s">
        <v>109</v>
      </c>
      <c r="B39" s="516" t="s">
        <v>229</v>
      </c>
      <c r="C39" s="517">
        <v>0</v>
      </c>
      <c r="D39" s="517">
        <v>0</v>
      </c>
      <c r="E39" s="517">
        <v>0</v>
      </c>
      <c r="F39" s="729" t="str">
        <f t="shared" si="0"/>
        <v/>
      </c>
    </row>
    <row r="40" spans="1:6" s="301" customFormat="1" ht="10.5" customHeight="1">
      <c r="A40" s="558" t="s">
        <v>550</v>
      </c>
      <c r="B40" s="409"/>
      <c r="C40" s="410">
        <v>0</v>
      </c>
      <c r="D40" s="410">
        <v>0</v>
      </c>
      <c r="E40" s="410">
        <v>0</v>
      </c>
      <c r="F40" s="728" t="str">
        <f t="shared" si="0"/>
        <v/>
      </c>
    </row>
    <row r="41" spans="1:6" s="301" customFormat="1" ht="10.5" customHeight="1">
      <c r="A41" s="557" t="s">
        <v>100</v>
      </c>
      <c r="B41" s="516" t="s">
        <v>428</v>
      </c>
      <c r="C41" s="517">
        <v>277.30989</v>
      </c>
      <c r="D41" s="517">
        <v>283.29390999999998</v>
      </c>
      <c r="E41" s="517">
        <v>0</v>
      </c>
      <c r="F41" s="729">
        <f t="shared" si="0"/>
        <v>-2.1123009668651105E-2</v>
      </c>
    </row>
    <row r="42" spans="1:6" s="301" customFormat="1" ht="10.5" customHeight="1">
      <c r="A42" s="558" t="s">
        <v>551</v>
      </c>
      <c r="B42" s="409"/>
      <c r="C42" s="410">
        <v>277.30989</v>
      </c>
      <c r="D42" s="410">
        <v>283.29390999999998</v>
      </c>
      <c r="E42" s="410">
        <v>0</v>
      </c>
      <c r="F42" s="728">
        <f t="shared" si="0"/>
        <v>-2.1123009668651105E-2</v>
      </c>
    </row>
    <row r="43" spans="1:6" s="301" customFormat="1" ht="10.5" customHeight="1">
      <c r="A43" s="557" t="s">
        <v>105</v>
      </c>
      <c r="B43" s="516" t="s">
        <v>346</v>
      </c>
      <c r="C43" s="516">
        <v>82.403530000000003</v>
      </c>
      <c r="D43" s="517">
        <v>0</v>
      </c>
      <c r="E43" s="517">
        <v>80.662229999999994</v>
      </c>
      <c r="F43" s="729" t="str">
        <f t="shared" si="0"/>
        <v/>
      </c>
    </row>
    <row r="44" spans="1:6" s="301" customFormat="1" ht="10.5" customHeight="1">
      <c r="A44" s="558" t="s">
        <v>552</v>
      </c>
      <c r="B44" s="409"/>
      <c r="C44" s="410">
        <v>82.403530000000003</v>
      </c>
      <c r="D44" s="410">
        <v>0</v>
      </c>
      <c r="E44" s="410">
        <v>80.662229999999994</v>
      </c>
      <c r="F44" s="728" t="str">
        <f t="shared" si="0"/>
        <v/>
      </c>
    </row>
    <row r="45" spans="1:6" s="301" customFormat="1" ht="10.5" customHeight="1">
      <c r="A45" s="557"/>
      <c r="B45" s="516"/>
      <c r="C45" s="518"/>
      <c r="D45" s="608"/>
      <c r="E45" s="608"/>
      <c r="F45" s="609"/>
    </row>
    <row r="46" spans="1:6" s="328" customFormat="1" ht="12" customHeight="1">
      <c r="A46" s="394" t="s">
        <v>401</v>
      </c>
      <c r="B46" s="404"/>
      <c r="C46" s="393">
        <v>6832.6574400000027</v>
      </c>
      <c r="D46" s="393">
        <v>7116.7887500000006</v>
      </c>
      <c r="E46" s="393">
        <v>6909.6371900000022</v>
      </c>
      <c r="F46" s="533">
        <f>+IF(D46=0,"",C46/D46-1)</f>
        <v>-3.9924089358419956E-2</v>
      </c>
    </row>
    <row r="47" spans="1:6" s="328" customFormat="1" ht="12" customHeight="1">
      <c r="A47" s="404" t="s">
        <v>347</v>
      </c>
      <c r="B47" s="394"/>
      <c r="C47" s="393">
        <f>+'8. Max Potencia'!D16</f>
        <v>0</v>
      </c>
      <c r="D47" s="393">
        <f>+'8. Max Potencia'!E16</f>
        <v>0</v>
      </c>
      <c r="E47" s="396">
        <v>0</v>
      </c>
      <c r="F47" s="534">
        <v>0</v>
      </c>
    </row>
    <row r="48" spans="1:6" s="328" customFormat="1" ht="12" customHeight="1">
      <c r="A48" s="535" t="s">
        <v>348</v>
      </c>
      <c r="B48" s="535"/>
      <c r="C48" s="393">
        <v>0</v>
      </c>
      <c r="D48" s="393">
        <v>0</v>
      </c>
      <c r="E48" s="396">
        <v>0</v>
      </c>
      <c r="F48" s="534">
        <v>0</v>
      </c>
    </row>
    <row r="49" spans="1:7" ht="12" customHeight="1">
      <c r="A49" s="593" t="s">
        <v>446</v>
      </c>
      <c r="B49" s="535"/>
      <c r="C49" s="393">
        <f>+C46+C47-C48</f>
        <v>6832.6574400000027</v>
      </c>
      <c r="D49" s="393">
        <f>+D46+D47-D48</f>
        <v>7116.7887500000006</v>
      </c>
      <c r="E49" s="393">
        <f>+E46+E47-E48</f>
        <v>6909.6371900000022</v>
      </c>
      <c r="F49" s="533">
        <f>+IF(D49=0,"",C49/D49-1)</f>
        <v>-3.9924089358419956E-2</v>
      </c>
    </row>
    <row r="50" spans="1:7" ht="12" customHeight="1">
      <c r="A50" s="516"/>
      <c r="B50" s="519"/>
      <c r="C50" s="519"/>
      <c r="D50" s="519"/>
      <c r="E50" s="519"/>
      <c r="F50" s="519"/>
    </row>
    <row r="51" spans="1:7" ht="27.75" customHeight="1">
      <c r="A51" s="916" t="s">
        <v>460</v>
      </c>
      <c r="B51" s="916"/>
      <c r="C51" s="916"/>
      <c r="D51" s="916"/>
      <c r="E51" s="916"/>
      <c r="F51" s="916"/>
    </row>
    <row r="52" spans="1:7" ht="15" customHeight="1">
      <c r="A52" s="929"/>
      <c r="B52" s="929"/>
      <c r="C52" s="929"/>
      <c r="D52" s="929"/>
      <c r="E52" s="929"/>
      <c r="F52" s="929"/>
      <c r="G52" s="573"/>
    </row>
    <row r="53" spans="1:7" ht="15" customHeight="1">
      <c r="A53" s="807" t="s">
        <v>793</v>
      </c>
      <c r="B53" s="573"/>
      <c r="C53" s="573"/>
      <c r="D53" s="573"/>
      <c r="E53" s="573"/>
      <c r="F53" s="573"/>
      <c r="G53" s="573"/>
    </row>
    <row r="54" spans="1:7" ht="15" customHeight="1">
      <c r="A54" s="776" t="s">
        <v>794</v>
      </c>
      <c r="B54" s="573"/>
      <c r="C54" s="573"/>
      <c r="D54" s="573"/>
      <c r="E54" s="573"/>
      <c r="F54" s="573"/>
      <c r="G54" s="573"/>
    </row>
    <row r="55" spans="1:7" ht="15" customHeight="1">
      <c r="A55" s="573"/>
      <c r="B55" s="573"/>
      <c r="C55" s="573"/>
      <c r="D55" s="573"/>
      <c r="E55" s="573"/>
      <c r="F55" s="573"/>
      <c r="G55" s="573"/>
    </row>
    <row r="56" spans="1:7" ht="15" customHeight="1">
      <c r="A56" s="573"/>
      <c r="B56" s="573"/>
      <c r="C56" s="573"/>
      <c r="D56" s="573"/>
      <c r="E56" s="573"/>
      <c r="F56" s="573"/>
      <c r="G56" s="46"/>
    </row>
    <row r="57" spans="1:7" ht="15" customHeight="1">
      <c r="A57" s="929"/>
      <c r="B57" s="929"/>
      <c r="C57" s="929"/>
      <c r="D57" s="929"/>
      <c r="E57" s="929"/>
      <c r="F57" s="929"/>
      <c r="G57" s="46"/>
    </row>
    <row r="58" spans="1:7" ht="12" customHeight="1">
      <c r="A58" s="301"/>
    </row>
    <row r="59" spans="1:7" ht="12" customHeight="1">
      <c r="A59" s="301"/>
    </row>
  </sheetData>
  <mergeCells count="6">
    <mergeCell ref="A57:F57"/>
    <mergeCell ref="A1:A4"/>
    <mergeCell ref="B1:B4"/>
    <mergeCell ref="C1:F1"/>
    <mergeCell ref="A51:F51"/>
    <mergeCell ref="A52:F5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4"/>
  <sheetViews>
    <sheetView showGridLines="0" view="pageBreakPreview" zoomScale="115" zoomScaleNormal="100" zoomScaleSheetLayoutView="115" workbookViewId="0">
      <selection activeCell="O61" sqref="O61"/>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C5" s="731">
        <v>6832.65744</v>
      </c>
    </row>
    <row r="6" spans="1:13" ht="11.25" customHeight="1">
      <c r="A6" s="273" t="s">
        <v>361</v>
      </c>
      <c r="C6" s="731" t="s">
        <v>617</v>
      </c>
    </row>
    <row r="7" spans="1:13" ht="11.25" customHeight="1">
      <c r="A7" s="273" t="s">
        <v>362</v>
      </c>
      <c r="C7" s="731" t="s">
        <v>474</v>
      </c>
    </row>
    <row r="8" spans="1:13" ht="11.25" customHeight="1"/>
    <row r="9" spans="1:13" ht="14.25" customHeight="1">
      <c r="A9" s="930" t="s">
        <v>353</v>
      </c>
      <c r="B9" s="931" t="s">
        <v>354</v>
      </c>
      <c r="C9" s="931"/>
      <c r="D9" s="931"/>
      <c r="E9" s="931"/>
      <c r="F9" s="931"/>
      <c r="G9" s="931" t="s">
        <v>355</v>
      </c>
      <c r="H9" s="931"/>
      <c r="I9" s="931"/>
      <c r="J9" s="931"/>
      <c r="K9" s="931"/>
    </row>
    <row r="10" spans="1:13" ht="26.25" customHeight="1">
      <c r="A10" s="930"/>
      <c r="B10" s="402" t="s">
        <v>356</v>
      </c>
      <c r="C10" s="402" t="s">
        <v>197</v>
      </c>
      <c r="D10" s="402" t="s">
        <v>347</v>
      </c>
      <c r="E10" s="402" t="s">
        <v>348</v>
      </c>
      <c r="F10" s="403" t="s">
        <v>359</v>
      </c>
      <c r="G10" s="402" t="s">
        <v>356</v>
      </c>
      <c r="H10" s="402" t="s">
        <v>197</v>
      </c>
      <c r="I10" s="402" t="s">
        <v>347</v>
      </c>
      <c r="J10" s="402" t="s">
        <v>348</v>
      </c>
      <c r="K10" s="403" t="s">
        <v>359</v>
      </c>
      <c r="L10" s="36"/>
      <c r="M10" s="46"/>
    </row>
    <row r="11" spans="1:13" ht="11.25" customHeight="1">
      <c r="A11" s="930"/>
      <c r="B11" s="402" t="s">
        <v>357</v>
      </c>
      <c r="C11" s="402" t="s">
        <v>358</v>
      </c>
      <c r="D11" s="402" t="s">
        <v>358</v>
      </c>
      <c r="E11" s="402" t="s">
        <v>358</v>
      </c>
      <c r="F11" s="402" t="s">
        <v>358</v>
      </c>
      <c r="G11" s="402" t="s">
        <v>357</v>
      </c>
      <c r="H11" s="402" t="s">
        <v>358</v>
      </c>
      <c r="I11" s="402" t="s">
        <v>358</v>
      </c>
      <c r="J11" s="402" t="s">
        <v>358</v>
      </c>
      <c r="K11" s="402" t="s">
        <v>358</v>
      </c>
      <c r="L11" s="36"/>
      <c r="M11" s="46"/>
    </row>
    <row r="12" spans="1:13" ht="11.25" customHeight="1">
      <c r="A12" s="780" t="s">
        <v>612</v>
      </c>
      <c r="B12" s="781" t="s">
        <v>613</v>
      </c>
      <c r="C12" s="781">
        <v>6710.1247199999998</v>
      </c>
      <c r="D12" s="781">
        <v>0</v>
      </c>
      <c r="E12" s="781">
        <v>0</v>
      </c>
      <c r="F12" s="781">
        <v>6710.1247199999998</v>
      </c>
      <c r="G12" s="781" t="s">
        <v>444</v>
      </c>
      <c r="H12" s="781">
        <v>6616.39714</v>
      </c>
      <c r="I12" s="781">
        <v>0</v>
      </c>
      <c r="J12" s="781">
        <v>0</v>
      </c>
      <c r="K12" s="781">
        <v>6616.39714</v>
      </c>
      <c r="L12" s="205"/>
      <c r="M12" s="46"/>
    </row>
    <row r="13" spans="1:13" ht="11.25" customHeight="1">
      <c r="A13" s="780" t="s">
        <v>614</v>
      </c>
      <c r="B13" s="781" t="s">
        <v>464</v>
      </c>
      <c r="C13" s="781">
        <v>6985.7865400000001</v>
      </c>
      <c r="D13" s="781">
        <v>0</v>
      </c>
      <c r="E13" s="781">
        <v>0</v>
      </c>
      <c r="F13" s="781">
        <v>6985.7865400000001</v>
      </c>
      <c r="G13" s="781" t="s">
        <v>615</v>
      </c>
      <c r="H13" s="781">
        <v>6734.7205000000004</v>
      </c>
      <c r="I13" s="781">
        <v>0</v>
      </c>
      <c r="J13" s="781">
        <v>0</v>
      </c>
      <c r="K13" s="781">
        <v>6734.7205000000004</v>
      </c>
      <c r="L13" s="5"/>
    </row>
    <row r="14" spans="1:13" ht="11.25" customHeight="1">
      <c r="A14" s="780" t="s">
        <v>616</v>
      </c>
      <c r="B14" s="781" t="s">
        <v>475</v>
      </c>
      <c r="C14" s="781">
        <v>7045.6189299999996</v>
      </c>
      <c r="D14" s="781">
        <v>0</v>
      </c>
      <c r="E14" s="781">
        <v>0</v>
      </c>
      <c r="F14" s="781">
        <v>7045.6189299999996</v>
      </c>
      <c r="G14" s="781" t="s">
        <v>444</v>
      </c>
      <c r="H14" s="781">
        <v>6768.3311899999999</v>
      </c>
      <c r="I14" s="781">
        <v>0</v>
      </c>
      <c r="J14" s="781">
        <v>0</v>
      </c>
      <c r="K14" s="781">
        <v>6768.3311899999999</v>
      </c>
      <c r="L14" s="15"/>
    </row>
    <row r="15" spans="1:13" ht="11.25" customHeight="1">
      <c r="A15" s="780" t="s">
        <v>617</v>
      </c>
      <c r="B15" s="781" t="s">
        <v>475</v>
      </c>
      <c r="C15" s="781">
        <v>7033.3942999999999</v>
      </c>
      <c r="D15" s="781">
        <v>0</v>
      </c>
      <c r="E15" s="781">
        <v>0</v>
      </c>
      <c r="F15" s="781">
        <v>7033.3942999999999</v>
      </c>
      <c r="G15" s="782" t="s">
        <v>474</v>
      </c>
      <c r="H15" s="782">
        <v>6832.65744</v>
      </c>
      <c r="I15" s="782">
        <v>0</v>
      </c>
      <c r="J15" s="782">
        <v>0</v>
      </c>
      <c r="K15" s="782">
        <v>6832.65744</v>
      </c>
      <c r="L15" s="12"/>
    </row>
    <row r="16" spans="1:13" ht="11.25" customHeight="1">
      <c r="A16" s="780" t="s">
        <v>618</v>
      </c>
      <c r="B16" s="781" t="s">
        <v>464</v>
      </c>
      <c r="C16" s="781">
        <v>6926.7465300000003</v>
      </c>
      <c r="D16" s="781">
        <v>0</v>
      </c>
      <c r="E16" s="781">
        <v>0</v>
      </c>
      <c r="F16" s="781">
        <v>6926.7465300000003</v>
      </c>
      <c r="G16" s="781" t="s">
        <v>444</v>
      </c>
      <c r="H16" s="781">
        <v>6648.9257299999999</v>
      </c>
      <c r="I16" s="781">
        <v>0</v>
      </c>
      <c r="J16" s="781">
        <v>0</v>
      </c>
      <c r="K16" s="781">
        <v>6648.9257299999999</v>
      </c>
      <c r="L16" s="22"/>
    </row>
    <row r="17" spans="1:12" ht="11.25" customHeight="1">
      <c r="A17" s="780" t="s">
        <v>619</v>
      </c>
      <c r="B17" s="781" t="s">
        <v>464</v>
      </c>
      <c r="C17" s="781">
        <v>6846.7267499999998</v>
      </c>
      <c r="D17" s="781">
        <v>0</v>
      </c>
      <c r="E17" s="781">
        <v>0</v>
      </c>
      <c r="F17" s="781">
        <v>6846.7267499999998</v>
      </c>
      <c r="G17" s="781" t="s">
        <v>620</v>
      </c>
      <c r="H17" s="781">
        <v>6640.9417000000003</v>
      </c>
      <c r="I17" s="781">
        <v>0</v>
      </c>
      <c r="J17" s="781">
        <v>0</v>
      </c>
      <c r="K17" s="781">
        <v>6640.9417000000003</v>
      </c>
      <c r="L17" s="22"/>
    </row>
    <row r="18" spans="1:12" ht="11.25" customHeight="1">
      <c r="A18" s="780" t="s">
        <v>621</v>
      </c>
      <c r="B18" s="781" t="s">
        <v>465</v>
      </c>
      <c r="C18" s="781">
        <v>5982.9345999999996</v>
      </c>
      <c r="D18" s="781">
        <v>0</v>
      </c>
      <c r="E18" s="781">
        <v>0</v>
      </c>
      <c r="F18" s="781">
        <v>5982.9345999999996</v>
      </c>
      <c r="G18" s="781" t="s">
        <v>492</v>
      </c>
      <c r="H18" s="781">
        <v>6602.3865699999997</v>
      </c>
      <c r="I18" s="781">
        <v>0</v>
      </c>
      <c r="J18" s="781">
        <v>0</v>
      </c>
      <c r="K18" s="781">
        <v>6602.3865699999997</v>
      </c>
      <c r="L18" s="22"/>
    </row>
    <row r="19" spans="1:12" ht="11.25" customHeight="1">
      <c r="A19" s="780" t="s">
        <v>622</v>
      </c>
      <c r="B19" s="781" t="s">
        <v>475</v>
      </c>
      <c r="C19" s="781">
        <v>6918.2481799999996</v>
      </c>
      <c r="D19" s="781">
        <v>0</v>
      </c>
      <c r="E19" s="781">
        <v>0</v>
      </c>
      <c r="F19" s="781">
        <v>6918.2481799999996</v>
      </c>
      <c r="G19" s="781" t="s">
        <v>443</v>
      </c>
      <c r="H19" s="781">
        <v>6705.1929300000002</v>
      </c>
      <c r="I19" s="781">
        <v>0</v>
      </c>
      <c r="J19" s="781">
        <v>0</v>
      </c>
      <c r="K19" s="781">
        <v>6705.1929300000002</v>
      </c>
      <c r="L19" s="22"/>
    </row>
    <row r="20" spans="1:12" ht="11.25" customHeight="1">
      <c r="A20" s="780" t="s">
        <v>623</v>
      </c>
      <c r="B20" s="781" t="s">
        <v>567</v>
      </c>
      <c r="C20" s="781">
        <v>6988.6839600000003</v>
      </c>
      <c r="D20" s="781">
        <v>0</v>
      </c>
      <c r="E20" s="781">
        <v>0</v>
      </c>
      <c r="F20" s="781">
        <v>6988.6839600000003</v>
      </c>
      <c r="G20" s="781" t="s">
        <v>443</v>
      </c>
      <c r="H20" s="781">
        <v>6787.46749</v>
      </c>
      <c r="I20" s="781">
        <v>0</v>
      </c>
      <c r="J20" s="781">
        <v>0</v>
      </c>
      <c r="K20" s="781">
        <v>6787.46749</v>
      </c>
      <c r="L20" s="24"/>
    </row>
    <row r="21" spans="1:12" ht="11.25" customHeight="1">
      <c r="A21" s="780" t="s">
        <v>624</v>
      </c>
      <c r="B21" s="781" t="s">
        <v>464</v>
      </c>
      <c r="C21" s="781">
        <v>6996.7978800000001</v>
      </c>
      <c r="D21" s="781">
        <v>0</v>
      </c>
      <c r="E21" s="781">
        <v>0</v>
      </c>
      <c r="F21" s="781">
        <v>6996.7978800000001</v>
      </c>
      <c r="G21" s="781" t="s">
        <v>444</v>
      </c>
      <c r="H21" s="781">
        <v>6755.4810200000002</v>
      </c>
      <c r="I21" s="781">
        <v>0</v>
      </c>
      <c r="J21" s="781">
        <v>0</v>
      </c>
      <c r="K21" s="781">
        <v>6755.4810200000002</v>
      </c>
      <c r="L21" s="22"/>
    </row>
    <row r="22" spans="1:12" ht="11.25" customHeight="1">
      <c r="A22" s="780" t="s">
        <v>625</v>
      </c>
      <c r="B22" s="781" t="s">
        <v>626</v>
      </c>
      <c r="C22" s="781">
        <v>7007.52081</v>
      </c>
      <c r="D22" s="781">
        <v>0</v>
      </c>
      <c r="E22" s="781">
        <v>0</v>
      </c>
      <c r="F22" s="781">
        <v>7007.52081</v>
      </c>
      <c r="G22" s="781" t="s">
        <v>443</v>
      </c>
      <c r="H22" s="781">
        <v>6754.3676500000001</v>
      </c>
      <c r="I22" s="781">
        <v>0</v>
      </c>
      <c r="J22" s="781">
        <v>0</v>
      </c>
      <c r="K22" s="781">
        <v>6754.3676500000001</v>
      </c>
      <c r="L22" s="22"/>
    </row>
    <row r="23" spans="1:12" ht="11.25" customHeight="1">
      <c r="A23" s="780" t="s">
        <v>627</v>
      </c>
      <c r="B23" s="781" t="s">
        <v>475</v>
      </c>
      <c r="C23" s="781">
        <v>7007.01955</v>
      </c>
      <c r="D23" s="781">
        <v>0</v>
      </c>
      <c r="E23" s="781">
        <v>0</v>
      </c>
      <c r="F23" s="781">
        <v>7007.01955</v>
      </c>
      <c r="G23" s="781" t="s">
        <v>443</v>
      </c>
      <c r="H23" s="781">
        <v>6759.3456500000002</v>
      </c>
      <c r="I23" s="781">
        <v>0</v>
      </c>
      <c r="J23" s="781">
        <v>0</v>
      </c>
      <c r="K23" s="781">
        <v>6759.3456500000002</v>
      </c>
      <c r="L23" s="22"/>
    </row>
    <row r="24" spans="1:12" ht="11.25" customHeight="1">
      <c r="A24" s="780" t="s">
        <v>628</v>
      </c>
      <c r="B24" s="781" t="s">
        <v>464</v>
      </c>
      <c r="C24" s="781">
        <v>6790.4747299999999</v>
      </c>
      <c r="D24" s="781">
        <v>0</v>
      </c>
      <c r="E24" s="781">
        <v>0</v>
      </c>
      <c r="F24" s="781">
        <v>6790.4747299999999</v>
      </c>
      <c r="G24" s="781" t="s">
        <v>629</v>
      </c>
      <c r="H24" s="781">
        <v>6749.2842199999996</v>
      </c>
      <c r="I24" s="781">
        <v>0</v>
      </c>
      <c r="J24" s="781">
        <v>0</v>
      </c>
      <c r="K24" s="781">
        <v>6749.2842199999996</v>
      </c>
      <c r="L24" s="22"/>
    </row>
    <row r="25" spans="1:12" ht="11.25" customHeight="1">
      <c r="A25" s="780" t="s">
        <v>630</v>
      </c>
      <c r="B25" s="781" t="s">
        <v>465</v>
      </c>
      <c r="C25" s="781">
        <v>5998.6006600000001</v>
      </c>
      <c r="D25" s="781">
        <v>0</v>
      </c>
      <c r="E25" s="781">
        <v>0</v>
      </c>
      <c r="F25" s="781">
        <v>5998.6006600000001</v>
      </c>
      <c r="G25" s="781" t="s">
        <v>444</v>
      </c>
      <c r="H25" s="781">
        <v>6642.1910399999997</v>
      </c>
      <c r="I25" s="781">
        <v>0</v>
      </c>
      <c r="J25" s="781">
        <v>0</v>
      </c>
      <c r="K25" s="781">
        <v>6642.1910399999997</v>
      </c>
      <c r="L25" s="22"/>
    </row>
    <row r="26" spans="1:12" ht="11.25" customHeight="1">
      <c r="A26" s="780" t="s">
        <v>631</v>
      </c>
      <c r="B26" s="782" t="s">
        <v>632</v>
      </c>
      <c r="C26" s="782">
        <v>7047.3479399999997</v>
      </c>
      <c r="D26" s="782">
        <v>0</v>
      </c>
      <c r="E26" s="782">
        <v>0</v>
      </c>
      <c r="F26" s="782">
        <v>7047.3479399999997</v>
      </c>
      <c r="G26" s="781" t="s">
        <v>443</v>
      </c>
      <c r="H26" s="781">
        <v>6812.0742899999996</v>
      </c>
      <c r="I26" s="781">
        <v>0</v>
      </c>
      <c r="J26" s="781">
        <v>0</v>
      </c>
      <c r="K26" s="781">
        <v>6812.0742899999996</v>
      </c>
      <c r="L26" s="22"/>
    </row>
    <row r="27" spans="1:12" ht="11.25" customHeight="1">
      <c r="A27" s="780" t="s">
        <v>633</v>
      </c>
      <c r="B27" s="781" t="s">
        <v>567</v>
      </c>
      <c r="C27" s="781">
        <v>6975.2956800000002</v>
      </c>
      <c r="D27" s="781">
        <v>0</v>
      </c>
      <c r="E27" s="781">
        <v>0</v>
      </c>
      <c r="F27" s="781">
        <v>6975.2956800000002</v>
      </c>
      <c r="G27" s="781" t="s">
        <v>634</v>
      </c>
      <c r="H27" s="781">
        <v>6717.04295</v>
      </c>
      <c r="I27" s="781">
        <v>0</v>
      </c>
      <c r="J27" s="781">
        <v>0</v>
      </c>
      <c r="K27" s="781">
        <v>6717.04295</v>
      </c>
      <c r="L27" s="22"/>
    </row>
    <row r="28" spans="1:12" s="582" customFormat="1" ht="11.25" customHeight="1">
      <c r="A28" s="780" t="s">
        <v>635</v>
      </c>
      <c r="B28" s="781" t="s">
        <v>464</v>
      </c>
      <c r="C28" s="781">
        <v>6937.0353699999996</v>
      </c>
      <c r="D28" s="781">
        <v>0</v>
      </c>
      <c r="E28" s="781">
        <v>0</v>
      </c>
      <c r="F28" s="781">
        <v>6937.0353699999996</v>
      </c>
      <c r="G28" s="781" t="s">
        <v>620</v>
      </c>
      <c r="H28" s="781">
        <v>6697.2529999999997</v>
      </c>
      <c r="I28" s="781">
        <v>0</v>
      </c>
      <c r="J28" s="781">
        <v>0</v>
      </c>
      <c r="K28" s="781">
        <v>6697.2529999999997</v>
      </c>
      <c r="L28" s="22"/>
    </row>
    <row r="29" spans="1:12" s="582" customFormat="1" ht="11.25" customHeight="1">
      <c r="A29" s="780" t="s">
        <v>636</v>
      </c>
      <c r="B29" s="781" t="s">
        <v>475</v>
      </c>
      <c r="C29" s="781">
        <v>6826.7818500000003</v>
      </c>
      <c r="D29" s="781">
        <v>0</v>
      </c>
      <c r="E29" s="781">
        <v>0</v>
      </c>
      <c r="F29" s="781">
        <v>6826.7818500000003</v>
      </c>
      <c r="G29" s="781" t="s">
        <v>634</v>
      </c>
      <c r="H29" s="781">
        <v>6649.2567300000001</v>
      </c>
      <c r="I29" s="781">
        <v>0</v>
      </c>
      <c r="J29" s="781">
        <v>0</v>
      </c>
      <c r="K29" s="781">
        <v>6649.2567300000001</v>
      </c>
      <c r="L29" s="22"/>
    </row>
    <row r="30" spans="1:12" s="582" customFormat="1" ht="11.25" customHeight="1">
      <c r="A30" s="780" t="s">
        <v>637</v>
      </c>
      <c r="B30" s="781" t="s">
        <v>464</v>
      </c>
      <c r="C30" s="781">
        <v>6838.0063300000002</v>
      </c>
      <c r="D30" s="781">
        <v>0</v>
      </c>
      <c r="E30" s="781">
        <v>0</v>
      </c>
      <c r="F30" s="781">
        <v>6838.0063300000002</v>
      </c>
      <c r="G30" s="781" t="s">
        <v>638</v>
      </c>
      <c r="H30" s="781">
        <v>6672.1553299999996</v>
      </c>
      <c r="I30" s="781">
        <v>0</v>
      </c>
      <c r="J30" s="781">
        <v>0</v>
      </c>
      <c r="K30" s="781">
        <v>6672.1553299999996</v>
      </c>
      <c r="L30" s="22"/>
    </row>
    <row r="31" spans="1:12" ht="11.25" customHeight="1">
      <c r="A31" s="780" t="s">
        <v>639</v>
      </c>
      <c r="B31" s="781" t="s">
        <v>475</v>
      </c>
      <c r="C31" s="781">
        <v>6642.4849999999997</v>
      </c>
      <c r="D31" s="781">
        <v>0</v>
      </c>
      <c r="E31" s="781">
        <v>0</v>
      </c>
      <c r="F31" s="781">
        <v>6642.4849999999997</v>
      </c>
      <c r="G31" s="781" t="s">
        <v>479</v>
      </c>
      <c r="H31" s="781">
        <v>6507.7820499999998</v>
      </c>
      <c r="I31" s="781">
        <v>0</v>
      </c>
      <c r="J31" s="781">
        <v>0</v>
      </c>
      <c r="K31" s="781">
        <v>6507.7820499999998</v>
      </c>
      <c r="L31" s="30"/>
    </row>
    <row r="32" spans="1:12" ht="11.25" customHeight="1">
      <c r="A32" s="780" t="s">
        <v>640</v>
      </c>
      <c r="B32" s="781" t="s">
        <v>582</v>
      </c>
      <c r="C32" s="781">
        <v>5935.6802799999996</v>
      </c>
      <c r="D32" s="781">
        <v>0</v>
      </c>
      <c r="E32" s="781">
        <v>0</v>
      </c>
      <c r="F32" s="781">
        <v>5935.6802799999996</v>
      </c>
      <c r="G32" s="781" t="s">
        <v>444</v>
      </c>
      <c r="H32" s="781">
        <v>6508.6933099999997</v>
      </c>
      <c r="I32" s="781">
        <v>0</v>
      </c>
      <c r="J32" s="781">
        <v>0</v>
      </c>
      <c r="K32" s="781">
        <v>6508.6933099999997</v>
      </c>
      <c r="L32" s="22"/>
    </row>
    <row r="33" spans="1:12" ht="11.25" customHeight="1">
      <c r="A33" s="780" t="s">
        <v>641</v>
      </c>
      <c r="B33" s="781" t="s">
        <v>642</v>
      </c>
      <c r="C33" s="781">
        <v>6852.93019</v>
      </c>
      <c r="D33" s="781">
        <v>0</v>
      </c>
      <c r="E33" s="781">
        <v>0</v>
      </c>
      <c r="F33" s="781">
        <v>6852.93019</v>
      </c>
      <c r="G33" s="781" t="s">
        <v>620</v>
      </c>
      <c r="H33" s="781">
        <v>6631.6244900000002</v>
      </c>
      <c r="I33" s="781">
        <v>0</v>
      </c>
      <c r="J33" s="781">
        <v>0</v>
      </c>
      <c r="K33" s="781">
        <v>6631.6244900000002</v>
      </c>
      <c r="L33" s="22"/>
    </row>
    <row r="34" spans="1:12" ht="11.25" customHeight="1">
      <c r="A34" s="780" t="s">
        <v>643</v>
      </c>
      <c r="B34" s="781" t="s">
        <v>583</v>
      </c>
      <c r="C34" s="781">
        <v>6893.3965799999996</v>
      </c>
      <c r="D34" s="781">
        <v>0</v>
      </c>
      <c r="E34" s="781">
        <v>0</v>
      </c>
      <c r="F34" s="781">
        <v>6893.3965799999996</v>
      </c>
      <c r="G34" s="781" t="s">
        <v>620</v>
      </c>
      <c r="H34" s="781">
        <v>6727.4485699999996</v>
      </c>
      <c r="I34" s="781">
        <v>0</v>
      </c>
      <c r="J34" s="781">
        <v>0</v>
      </c>
      <c r="K34" s="781">
        <v>6727.4485699999996</v>
      </c>
      <c r="L34" s="15"/>
    </row>
    <row r="35" spans="1:12" ht="11.25" customHeight="1">
      <c r="A35" s="780" t="s">
        <v>644</v>
      </c>
      <c r="B35" s="781" t="s">
        <v>464</v>
      </c>
      <c r="C35" s="781">
        <v>6955.7996899999998</v>
      </c>
      <c r="D35" s="781">
        <v>0</v>
      </c>
      <c r="E35" s="781">
        <v>0</v>
      </c>
      <c r="F35" s="781">
        <v>6955.7996899999998</v>
      </c>
      <c r="G35" s="781" t="s">
        <v>443</v>
      </c>
      <c r="H35" s="781">
        <v>6702.5660099999996</v>
      </c>
      <c r="I35" s="781">
        <v>0</v>
      </c>
      <c r="J35" s="781">
        <v>0</v>
      </c>
      <c r="K35" s="781">
        <v>6702.5660099999996</v>
      </c>
      <c r="L35" s="16"/>
    </row>
    <row r="36" spans="1:12" ht="11.25" customHeight="1">
      <c r="A36" s="780" t="s">
        <v>645</v>
      </c>
      <c r="B36" s="781" t="s">
        <v>464</v>
      </c>
      <c r="C36" s="781">
        <v>6936.0657499999998</v>
      </c>
      <c r="D36" s="781">
        <v>0</v>
      </c>
      <c r="E36" s="781">
        <v>0</v>
      </c>
      <c r="F36" s="781">
        <v>6936.0657499999998</v>
      </c>
      <c r="G36" s="781" t="s">
        <v>646</v>
      </c>
      <c r="H36" s="781">
        <v>6693.0329099999999</v>
      </c>
      <c r="I36" s="781">
        <v>0</v>
      </c>
      <c r="J36" s="781">
        <v>0</v>
      </c>
      <c r="K36" s="781">
        <v>6693.0329099999999</v>
      </c>
      <c r="L36" s="15"/>
    </row>
    <row r="37" spans="1:12" s="582" customFormat="1" ht="11.25" customHeight="1">
      <c r="A37" s="780" t="s">
        <v>647</v>
      </c>
      <c r="B37" s="781" t="s">
        <v>648</v>
      </c>
      <c r="C37" s="781">
        <v>6979.9026999999996</v>
      </c>
      <c r="D37" s="781">
        <v>0</v>
      </c>
      <c r="E37" s="781">
        <v>0</v>
      </c>
      <c r="F37" s="781">
        <v>6979.9026999999996</v>
      </c>
      <c r="G37" s="781" t="s">
        <v>638</v>
      </c>
      <c r="H37" s="781">
        <v>6761.0699599999998</v>
      </c>
      <c r="I37" s="781">
        <v>0</v>
      </c>
      <c r="J37" s="781">
        <v>0</v>
      </c>
      <c r="K37" s="781">
        <v>6761.0699599999998</v>
      </c>
      <c r="L37" s="15"/>
    </row>
    <row r="38" spans="1:12" ht="11.25" customHeight="1">
      <c r="A38" s="780" t="s">
        <v>649</v>
      </c>
      <c r="B38" s="781" t="s">
        <v>464</v>
      </c>
      <c r="C38" s="781">
        <v>6726.94452</v>
      </c>
      <c r="D38" s="781">
        <v>0</v>
      </c>
      <c r="E38" s="781">
        <v>0</v>
      </c>
      <c r="F38" s="781">
        <v>6726.94452</v>
      </c>
      <c r="G38" s="781" t="s">
        <v>638</v>
      </c>
      <c r="H38" s="781">
        <v>6727.7542199999998</v>
      </c>
      <c r="I38" s="781">
        <v>0</v>
      </c>
      <c r="J38" s="781">
        <v>0</v>
      </c>
      <c r="K38" s="781">
        <v>6727.7542199999998</v>
      </c>
      <c r="L38" s="15"/>
    </row>
    <row r="39" spans="1:12" ht="11.25" customHeight="1">
      <c r="A39" s="780" t="s">
        <v>650</v>
      </c>
      <c r="B39" s="781" t="s">
        <v>475</v>
      </c>
      <c r="C39" s="781">
        <v>5967.0093299999999</v>
      </c>
      <c r="D39" s="781">
        <v>0</v>
      </c>
      <c r="E39" s="781">
        <v>0</v>
      </c>
      <c r="F39" s="781">
        <v>5967.0093299999999</v>
      </c>
      <c r="G39" s="781" t="s">
        <v>492</v>
      </c>
      <c r="H39" s="781">
        <v>6555.8141999999998</v>
      </c>
      <c r="I39" s="781">
        <v>0</v>
      </c>
      <c r="J39" s="781">
        <v>0</v>
      </c>
      <c r="K39" s="781">
        <v>6555.8141999999998</v>
      </c>
      <c r="L39" s="22"/>
    </row>
    <row r="40" spans="1:12" ht="11.25" customHeight="1">
      <c r="A40" s="780" t="s">
        <v>651</v>
      </c>
      <c r="B40" s="781" t="s">
        <v>475</v>
      </c>
      <c r="C40" s="781">
        <v>6817.2787399999997</v>
      </c>
      <c r="D40" s="781">
        <v>0</v>
      </c>
      <c r="E40" s="781">
        <v>0</v>
      </c>
      <c r="F40" s="781">
        <v>6817.2787399999997</v>
      </c>
      <c r="G40" s="781" t="s">
        <v>634</v>
      </c>
      <c r="H40" s="781">
        <v>6731.00792</v>
      </c>
      <c r="I40" s="781">
        <v>0</v>
      </c>
      <c r="J40" s="781">
        <v>0</v>
      </c>
      <c r="K40" s="781">
        <v>6731.00792</v>
      </c>
      <c r="L40" s="22"/>
    </row>
    <row r="41" spans="1:12" ht="11.25" customHeight="1">
      <c r="A41" s="780" t="s">
        <v>652</v>
      </c>
      <c r="B41" s="781" t="s">
        <v>475</v>
      </c>
      <c r="C41" s="781">
        <v>6765.6268899999995</v>
      </c>
      <c r="D41" s="781">
        <v>0</v>
      </c>
      <c r="E41" s="781">
        <v>0</v>
      </c>
      <c r="F41" s="781">
        <v>6765.6268899999995</v>
      </c>
      <c r="G41" s="781" t="s">
        <v>638</v>
      </c>
      <c r="H41" s="781">
        <v>6603.7411899999997</v>
      </c>
      <c r="I41" s="781">
        <v>0</v>
      </c>
      <c r="J41" s="781">
        <v>0</v>
      </c>
      <c r="K41" s="781">
        <v>6603.7411899999997</v>
      </c>
      <c r="L41" s="22"/>
    </row>
    <row r="42" spans="1:12" s="582" customFormat="1" ht="11.25" customHeight="1">
      <c r="A42" s="780" t="s">
        <v>653</v>
      </c>
      <c r="B42" s="781" t="s">
        <v>475</v>
      </c>
      <c r="C42" s="781">
        <v>6708.6478800000004</v>
      </c>
      <c r="D42" s="781">
        <v>0</v>
      </c>
      <c r="E42" s="781">
        <v>0</v>
      </c>
      <c r="F42" s="781">
        <v>6708.6478800000004</v>
      </c>
      <c r="G42" s="781" t="s">
        <v>620</v>
      </c>
      <c r="H42" s="781">
        <v>6555.6283999999996</v>
      </c>
      <c r="I42" s="781">
        <v>0</v>
      </c>
      <c r="J42" s="781">
        <v>0</v>
      </c>
      <c r="K42" s="781">
        <v>6555.6283999999996</v>
      </c>
      <c r="L42" s="22"/>
    </row>
    <row r="43" spans="1:12" s="582" customFormat="1" ht="11.25" customHeight="1">
      <c r="A43" s="520"/>
      <c r="B43" s="665"/>
      <c r="C43" s="665"/>
      <c r="D43" s="665"/>
      <c r="E43" s="665"/>
      <c r="F43" s="665"/>
      <c r="G43" s="665"/>
      <c r="H43" s="665"/>
      <c r="I43" s="665"/>
      <c r="J43" s="665"/>
      <c r="K43" s="665"/>
      <c r="L43" s="22"/>
    </row>
    <row r="44" spans="1:12" ht="11.25" customHeight="1">
      <c r="A44" s="664"/>
      <c r="B44" s="664"/>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8"/>
    </row>
    <row r="48" spans="1:12" ht="11.25" customHeight="1">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96"/>
      <c r="C53" s="196"/>
      <c r="D53" s="196"/>
      <c r="E53" s="196"/>
      <c r="F53" s="196"/>
      <c r="G53" s="196"/>
      <c r="H53" s="196"/>
      <c r="I53" s="196"/>
      <c r="J53" s="196"/>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11"/>
      <c r="C58" s="111"/>
      <c r="D58" s="111"/>
      <c r="E58" s="111"/>
      <c r="F58" s="111"/>
      <c r="G58" s="111"/>
      <c r="H58" s="111"/>
      <c r="I58" s="111"/>
      <c r="J58" s="111"/>
      <c r="K58" s="198"/>
    </row>
    <row r="59" spans="1:11" ht="13.2">
      <c r="A59" s="196"/>
      <c r="B59" s="197"/>
      <c r="C59" s="197"/>
      <c r="D59" s="197"/>
      <c r="E59" s="197"/>
      <c r="F59" s="197"/>
      <c r="G59" s="197"/>
      <c r="H59" s="197"/>
      <c r="I59" s="197"/>
      <c r="J59" s="197"/>
      <c r="K59" s="198"/>
    </row>
    <row r="60" spans="1:11" ht="13.2">
      <c r="A60" s="196"/>
      <c r="B60" s="197"/>
      <c r="C60" s="197"/>
      <c r="D60" s="197"/>
      <c r="E60" s="197"/>
      <c r="F60" s="197"/>
      <c r="G60" s="197"/>
      <c r="H60" s="197"/>
      <c r="I60" s="197"/>
      <c r="J60" s="197"/>
      <c r="K60" s="198"/>
    </row>
    <row r="61" spans="1:11" ht="13.2">
      <c r="A61" s="196"/>
      <c r="B61" s="200"/>
      <c r="C61" s="198"/>
      <c r="D61" s="198"/>
      <c r="E61" s="198"/>
      <c r="F61" s="198"/>
      <c r="G61" s="197"/>
      <c r="H61" s="197"/>
      <c r="I61" s="197"/>
      <c r="J61" s="197"/>
      <c r="K61" s="198"/>
    </row>
    <row r="62" spans="1:11" ht="13.2">
      <c r="A62" s="201"/>
      <c r="B62" s="202"/>
      <c r="C62" s="202"/>
      <c r="D62" s="202"/>
      <c r="E62" s="202"/>
      <c r="F62" s="202"/>
      <c r="G62" s="202"/>
      <c r="H62" s="197"/>
      <c r="I62" s="197"/>
      <c r="J62" s="197"/>
      <c r="K62" s="198"/>
    </row>
    <row r="63" spans="1:11" ht="13.2">
      <c r="A63" s="201"/>
      <c r="B63" s="202"/>
      <c r="C63" s="202"/>
      <c r="D63" s="202"/>
      <c r="E63" s="202"/>
      <c r="F63" s="202"/>
      <c r="G63" s="202"/>
      <c r="H63" s="197"/>
      <c r="I63" s="197"/>
      <c r="J63" s="197"/>
      <c r="K63" s="197"/>
    </row>
    <row r="64" spans="1:11" ht="13.2">
      <c r="A64" s="201"/>
      <c r="B64" s="202"/>
      <c r="C64" s="202"/>
      <c r="D64" s="202"/>
      <c r="E64" s="202"/>
      <c r="F64" s="202"/>
      <c r="G64" s="202"/>
      <c r="H64" s="197"/>
      <c r="I64" s="197"/>
      <c r="J64" s="197"/>
      <c r="K64"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4"/>
  <sheetViews>
    <sheetView showGridLines="0" view="pageBreakPreview" zoomScaleNormal="100" zoomScaleSheetLayoutView="100" workbookViewId="0">
      <selection activeCell="O61" sqref="O61"/>
    </sheetView>
  </sheetViews>
  <sheetFormatPr baseColWidth="10" defaultColWidth="9.28515625" defaultRowHeight="9.6"/>
  <cols>
    <col min="1" max="1" width="16.140625" style="613" customWidth="1"/>
    <col min="2" max="2" width="19.7109375" style="613" customWidth="1"/>
    <col min="3" max="3" width="12.85546875" style="613" bestFit="1" customWidth="1"/>
    <col min="4" max="4" width="57.42578125" style="613" customWidth="1"/>
    <col min="5" max="5" width="12.42578125" style="613" customWidth="1"/>
    <col min="6" max="6" width="10.42578125" style="613" customWidth="1"/>
    <col min="7" max="8" width="9.28515625" style="613" customWidth="1"/>
    <col min="9" max="16384" width="9.28515625" style="613"/>
  </cols>
  <sheetData>
    <row r="1" spans="1:9" ht="11.25" customHeight="1">
      <c r="A1" s="611" t="s">
        <v>363</v>
      </c>
      <c r="B1" s="612"/>
      <c r="C1" s="612"/>
      <c r="D1" s="612"/>
      <c r="E1" s="612"/>
      <c r="F1" s="612"/>
    </row>
    <row r="2" spans="1:9" ht="30" customHeight="1">
      <c r="A2" s="614" t="s">
        <v>248</v>
      </c>
      <c r="B2" s="615" t="s">
        <v>364</v>
      </c>
      <c r="C2" s="614" t="s">
        <v>353</v>
      </c>
      <c r="D2" s="616" t="s">
        <v>365</v>
      </c>
      <c r="E2" s="617" t="s">
        <v>366</v>
      </c>
      <c r="F2" s="617" t="s">
        <v>367</v>
      </c>
      <c r="G2" s="618"/>
      <c r="H2" s="619"/>
      <c r="I2" s="620"/>
    </row>
    <row r="3" spans="1:9" ht="62.4" customHeight="1">
      <c r="A3" s="623" t="s">
        <v>477</v>
      </c>
      <c r="B3" s="623" t="s">
        <v>654</v>
      </c>
      <c r="C3" s="621" t="s">
        <v>655</v>
      </c>
      <c r="D3" s="622" t="s">
        <v>656</v>
      </c>
      <c r="E3" s="623">
        <v>16.600000000000001</v>
      </c>
      <c r="F3" s="623"/>
      <c r="H3" s="618"/>
      <c r="I3" s="620"/>
    </row>
    <row r="4" spans="1:9" ht="55.8" customHeight="1">
      <c r="A4" s="623" t="s">
        <v>657</v>
      </c>
      <c r="B4" s="623" t="s">
        <v>658</v>
      </c>
      <c r="C4" s="621" t="s">
        <v>659</v>
      </c>
      <c r="D4" s="622" t="s">
        <v>660</v>
      </c>
      <c r="E4" s="623">
        <v>30.4</v>
      </c>
      <c r="F4" s="623"/>
      <c r="G4" s="624"/>
      <c r="H4" s="624"/>
      <c r="I4" s="625"/>
    </row>
    <row r="5" spans="1:9" ht="49.2" customHeight="1">
      <c r="A5" s="623" t="s">
        <v>657</v>
      </c>
      <c r="B5" s="623" t="s">
        <v>658</v>
      </c>
      <c r="C5" s="621" t="s">
        <v>661</v>
      </c>
      <c r="D5" s="622" t="s">
        <v>662</v>
      </c>
      <c r="E5" s="623">
        <v>21.66</v>
      </c>
      <c r="F5" s="623"/>
      <c r="G5" s="624"/>
      <c r="H5" s="624"/>
      <c r="I5" s="626"/>
    </row>
    <row r="6" spans="1:9" ht="55.8" customHeight="1">
      <c r="A6" s="623" t="s">
        <v>477</v>
      </c>
      <c r="B6" s="623" t="s">
        <v>663</v>
      </c>
      <c r="C6" s="621" t="s">
        <v>664</v>
      </c>
      <c r="D6" s="622" t="s">
        <v>665</v>
      </c>
      <c r="E6" s="623">
        <v>1.77</v>
      </c>
      <c r="F6" s="623"/>
      <c r="G6" s="624"/>
      <c r="H6" s="624"/>
      <c r="I6" s="627"/>
    </row>
    <row r="7" spans="1:9" ht="55.8" customHeight="1">
      <c r="A7" s="623" t="s">
        <v>484</v>
      </c>
      <c r="B7" s="623" t="s">
        <v>666</v>
      </c>
      <c r="C7" s="621" t="s">
        <v>667</v>
      </c>
      <c r="D7" s="622" t="s">
        <v>668</v>
      </c>
      <c r="E7" s="623">
        <v>18.5</v>
      </c>
      <c r="F7" s="623"/>
      <c r="G7" s="624"/>
      <c r="H7" s="624"/>
      <c r="I7" s="628"/>
    </row>
    <row r="8" spans="1:9" ht="51.6" customHeight="1">
      <c r="A8" s="623" t="s">
        <v>485</v>
      </c>
      <c r="B8" s="623" t="s">
        <v>669</v>
      </c>
      <c r="C8" s="621" t="s">
        <v>670</v>
      </c>
      <c r="D8" s="622" t="s">
        <v>671</v>
      </c>
      <c r="E8" s="623">
        <v>17.399999999999999</v>
      </c>
      <c r="F8" s="623"/>
      <c r="G8" s="624"/>
      <c r="H8" s="624"/>
      <c r="I8" s="627"/>
    </row>
    <row r="9" spans="1:9" ht="73.8" customHeight="1">
      <c r="A9" s="623" t="s">
        <v>569</v>
      </c>
      <c r="B9" s="623" t="s">
        <v>672</v>
      </c>
      <c r="C9" s="621" t="s">
        <v>673</v>
      </c>
      <c r="D9" s="622" t="s">
        <v>674</v>
      </c>
      <c r="E9" s="629">
        <v>3.06</v>
      </c>
      <c r="F9" s="629"/>
      <c r="G9" s="624"/>
      <c r="H9" s="624"/>
      <c r="I9" s="627"/>
    </row>
    <row r="10" spans="1:9" ht="51" customHeight="1">
      <c r="A10" s="623" t="s">
        <v>486</v>
      </c>
      <c r="B10" s="623" t="s">
        <v>675</v>
      </c>
      <c r="C10" s="621" t="s">
        <v>676</v>
      </c>
      <c r="D10" s="622" t="s">
        <v>677</v>
      </c>
      <c r="E10" s="629">
        <v>7.15</v>
      </c>
      <c r="F10" s="629"/>
    </row>
    <row r="11" spans="1:9" ht="90.6" customHeight="1">
      <c r="A11" s="623" t="s">
        <v>678</v>
      </c>
      <c r="B11" s="623" t="s">
        <v>679</v>
      </c>
      <c r="C11" s="621" t="s">
        <v>680</v>
      </c>
      <c r="D11" s="622" t="s">
        <v>681</v>
      </c>
      <c r="E11" s="623">
        <v>119.6</v>
      </c>
      <c r="F11" s="623"/>
    </row>
    <row r="12" spans="1:9" ht="62.4" customHeight="1">
      <c r="A12" s="623" t="s">
        <v>493</v>
      </c>
      <c r="B12" s="623" t="s">
        <v>682</v>
      </c>
      <c r="C12" s="621" t="s">
        <v>683</v>
      </c>
      <c r="D12" s="622" t="s">
        <v>684</v>
      </c>
      <c r="E12" s="623">
        <v>3.94</v>
      </c>
      <c r="F12" s="623"/>
    </row>
    <row r="13" spans="1:9" ht="51" customHeight="1">
      <c r="A13" s="623" t="s">
        <v>685</v>
      </c>
      <c r="B13" s="623" t="s">
        <v>686</v>
      </c>
      <c r="C13" s="621" t="s">
        <v>687</v>
      </c>
      <c r="D13" s="622" t="s">
        <v>688</v>
      </c>
      <c r="E13" s="623">
        <v>11.55</v>
      </c>
      <c r="F13" s="623"/>
    </row>
    <row r="14" spans="1:9" ht="51" customHeight="1">
      <c r="A14" s="623" t="s">
        <v>585</v>
      </c>
      <c r="B14" s="623" t="s">
        <v>689</v>
      </c>
      <c r="C14" s="621" t="s">
        <v>690</v>
      </c>
      <c r="D14" s="622" t="s">
        <v>691</v>
      </c>
      <c r="E14" s="623">
        <v>14.26</v>
      </c>
      <c r="F14" s="623"/>
    </row>
    <row r="15" spans="1:9" ht="66" customHeight="1">
      <c r="A15" s="623" t="s">
        <v>493</v>
      </c>
      <c r="B15" s="623" t="s">
        <v>682</v>
      </c>
      <c r="C15" s="621" t="s">
        <v>692</v>
      </c>
      <c r="D15" s="622" t="s">
        <v>693</v>
      </c>
      <c r="E15" s="623">
        <v>10.29</v>
      </c>
      <c r="F15" s="623"/>
    </row>
    <row r="16" spans="1:9">
      <c r="C16" s="630"/>
      <c r="E16" s="631"/>
      <c r="F16" s="631"/>
    </row>
    <row r="17" spans="3:6">
      <c r="C17" s="630"/>
      <c r="E17" s="631"/>
      <c r="F17" s="631"/>
    </row>
    <row r="18" spans="3:6">
      <c r="C18" s="630"/>
      <c r="E18" s="631"/>
      <c r="F18" s="631"/>
    </row>
    <row r="19" spans="3:6">
      <c r="C19" s="630"/>
      <c r="E19" s="631"/>
      <c r="F19" s="631"/>
    </row>
    <row r="20" spans="3:6">
      <c r="C20" s="630"/>
      <c r="E20" s="631"/>
      <c r="F20" s="631"/>
    </row>
    <row r="21" spans="3:6">
      <c r="C21" s="630"/>
      <c r="E21" s="631"/>
      <c r="F21" s="631"/>
    </row>
    <row r="22" spans="3:6">
      <c r="C22" s="630"/>
      <c r="E22" s="631"/>
      <c r="F22" s="631"/>
    </row>
    <row r="23" spans="3:6">
      <c r="C23" s="630"/>
      <c r="E23" s="631"/>
      <c r="F23" s="631"/>
    </row>
    <row r="24" spans="3:6">
      <c r="C24" s="630"/>
      <c r="E24" s="631"/>
      <c r="F24" s="631"/>
    </row>
    <row r="25" spans="3:6">
      <c r="C25" s="630"/>
      <c r="E25" s="631"/>
      <c r="F25" s="631"/>
    </row>
    <row r="26" spans="3:6">
      <c r="C26" s="630"/>
      <c r="E26" s="631"/>
      <c r="F26" s="631"/>
    </row>
    <row r="27" spans="3:6">
      <c r="C27" s="630"/>
      <c r="E27" s="631"/>
      <c r="F27" s="631"/>
    </row>
    <row r="28" spans="3:6">
      <c r="C28" s="630"/>
      <c r="E28" s="631"/>
      <c r="F28" s="631"/>
    </row>
    <row r="29" spans="3:6">
      <c r="C29" s="630"/>
      <c r="E29" s="631"/>
      <c r="F29" s="631"/>
    </row>
    <row r="30" spans="3:6">
      <c r="C30" s="630"/>
      <c r="E30" s="631"/>
      <c r="F30" s="631"/>
    </row>
    <row r="31" spans="3:6">
      <c r="C31" s="630"/>
      <c r="E31" s="631"/>
      <c r="F31" s="631"/>
    </row>
    <row r="32" spans="3:6">
      <c r="C32" s="630"/>
      <c r="E32" s="631"/>
      <c r="F32" s="631"/>
    </row>
    <row r="33" spans="3:6">
      <c r="C33" s="630"/>
      <c r="E33" s="631"/>
      <c r="F33" s="631"/>
    </row>
    <row r="34" spans="3:6">
      <c r="C34" s="630"/>
      <c r="E34" s="631"/>
      <c r="F34" s="631"/>
    </row>
    <row r="35" spans="3:6">
      <c r="C35" s="630"/>
      <c r="E35" s="631"/>
      <c r="F35" s="631"/>
    </row>
    <row r="36" spans="3:6">
      <c r="C36" s="630"/>
      <c r="E36" s="631"/>
      <c r="F36" s="631"/>
    </row>
    <row r="37" spans="3:6">
      <c r="C37" s="630"/>
      <c r="E37" s="631"/>
      <c r="F37" s="631"/>
    </row>
    <row r="38" spans="3:6">
      <c r="C38" s="630"/>
      <c r="E38" s="631"/>
      <c r="F38" s="631"/>
    </row>
    <row r="39" spans="3:6">
      <c r="C39" s="630"/>
      <c r="E39" s="631"/>
      <c r="F39" s="631"/>
    </row>
    <row r="40" spans="3:6">
      <c r="C40" s="630"/>
      <c r="E40" s="631"/>
      <c r="F40" s="631"/>
    </row>
    <row r="41" spans="3:6">
      <c r="C41" s="630"/>
      <c r="E41" s="631"/>
      <c r="F41" s="631"/>
    </row>
    <row r="42" spans="3:6">
      <c r="E42" s="631"/>
      <c r="F42" s="631"/>
    </row>
    <row r="43" spans="3:6">
      <c r="E43" s="631"/>
      <c r="F43" s="631"/>
    </row>
    <row r="44" spans="3:6">
      <c r="E44" s="631"/>
      <c r="F44" s="631"/>
    </row>
    <row r="45" spans="3:6">
      <c r="E45" s="631"/>
      <c r="F45" s="631"/>
    </row>
    <row r="46" spans="3:6">
      <c r="E46" s="631"/>
      <c r="F46" s="631"/>
    </row>
    <row r="47" spans="3:6">
      <c r="E47" s="631"/>
      <c r="F47" s="631"/>
    </row>
    <row r="48" spans="3:6">
      <c r="E48" s="631"/>
      <c r="F48" s="631"/>
    </row>
    <row r="49" spans="5:6">
      <c r="E49" s="631"/>
      <c r="F49" s="631"/>
    </row>
    <row r="50" spans="5:6">
      <c r="E50" s="631"/>
      <c r="F50" s="631"/>
    </row>
    <row r="51" spans="5:6">
      <c r="E51" s="631"/>
      <c r="F51" s="631"/>
    </row>
    <row r="52" spans="5:6">
      <c r="E52" s="631"/>
      <c r="F52" s="631"/>
    </row>
    <row r="53" spans="5:6">
      <c r="E53" s="631"/>
      <c r="F53" s="631"/>
    </row>
    <row r="54" spans="5:6">
      <c r="E54" s="631"/>
      <c r="F54" s="631"/>
    </row>
    <row r="55" spans="5:6">
      <c r="E55" s="631"/>
      <c r="F55" s="631"/>
    </row>
    <row r="56" spans="5:6">
      <c r="E56" s="631"/>
      <c r="F56" s="631"/>
    </row>
    <row r="57" spans="5:6">
      <c r="E57" s="631"/>
      <c r="F57" s="631"/>
    </row>
    <row r="58" spans="5:6">
      <c r="E58" s="631"/>
      <c r="F58" s="631"/>
    </row>
    <row r="59" spans="5:6">
      <c r="E59" s="631"/>
      <c r="F59" s="631"/>
    </row>
    <row r="60" spans="5:6">
      <c r="E60" s="631"/>
      <c r="F60" s="631"/>
    </row>
    <row r="61" spans="5:6">
      <c r="E61" s="631"/>
      <c r="F61" s="631"/>
    </row>
    <row r="62" spans="5:6">
      <c r="E62" s="631"/>
      <c r="F62" s="631"/>
    </row>
    <row r="63" spans="5:6">
      <c r="E63" s="631"/>
      <c r="F63" s="631"/>
    </row>
    <row r="64" spans="5:6">
      <c r="E64" s="631"/>
      <c r="F64" s="631"/>
    </row>
    <row r="65" spans="5:6">
      <c r="E65" s="631"/>
      <c r="F65" s="631"/>
    </row>
    <row r="66" spans="5:6">
      <c r="E66" s="631"/>
      <c r="F66" s="631"/>
    </row>
    <row r="67" spans="5:6">
      <c r="E67" s="631"/>
      <c r="F67" s="631"/>
    </row>
    <row r="68" spans="5:6">
      <c r="E68" s="631"/>
      <c r="F68" s="631"/>
    </row>
    <row r="69" spans="5:6">
      <c r="E69" s="631"/>
      <c r="F69" s="631"/>
    </row>
    <row r="70" spans="5:6">
      <c r="E70" s="631"/>
      <c r="F70" s="631"/>
    </row>
    <row r="71" spans="5:6">
      <c r="E71" s="631"/>
      <c r="F71" s="631"/>
    </row>
    <row r="72" spans="5:6">
      <c r="E72" s="631"/>
      <c r="F72" s="631"/>
    </row>
    <row r="73" spans="5:6">
      <c r="E73" s="631"/>
      <c r="F73" s="631"/>
    </row>
    <row r="74" spans="5:6">
      <c r="E74" s="631"/>
      <c r="F74" s="631"/>
    </row>
    <row r="75" spans="5:6">
      <c r="E75" s="631"/>
      <c r="F75" s="631"/>
    </row>
    <row r="76" spans="5:6">
      <c r="E76" s="631"/>
      <c r="F76" s="631"/>
    </row>
    <row r="77" spans="5:6">
      <c r="E77" s="631"/>
      <c r="F77" s="631"/>
    </row>
    <row r="78" spans="5:6">
      <c r="E78" s="631"/>
      <c r="F78" s="631"/>
    </row>
    <row r="79" spans="5:6">
      <c r="E79" s="631"/>
      <c r="F79" s="631"/>
    </row>
    <row r="80" spans="5:6">
      <c r="E80" s="631"/>
      <c r="F80" s="631"/>
    </row>
    <row r="81" spans="5:6">
      <c r="E81" s="631"/>
      <c r="F81" s="631"/>
    </row>
    <row r="82" spans="5:6">
      <c r="E82" s="631"/>
      <c r="F82" s="631"/>
    </row>
    <row r="83" spans="5:6">
      <c r="E83" s="631"/>
      <c r="F83" s="631"/>
    </row>
    <row r="84" spans="5:6">
      <c r="E84" s="631"/>
      <c r="F84" s="631"/>
    </row>
    <row r="85" spans="5:6">
      <c r="E85" s="631"/>
      <c r="F85" s="631"/>
    </row>
    <row r="86" spans="5:6">
      <c r="E86" s="631"/>
      <c r="F86" s="631"/>
    </row>
    <row r="87" spans="5:6">
      <c r="E87" s="631"/>
      <c r="F87" s="631"/>
    </row>
    <row r="88" spans="5:6">
      <c r="E88" s="631"/>
      <c r="F88" s="631"/>
    </row>
    <row r="89" spans="5:6">
      <c r="E89" s="631"/>
      <c r="F89" s="631"/>
    </row>
    <row r="90" spans="5:6">
      <c r="E90" s="631"/>
      <c r="F90" s="631"/>
    </row>
    <row r="91" spans="5:6">
      <c r="E91" s="631"/>
      <c r="F91" s="631"/>
    </row>
    <row r="92" spans="5:6">
      <c r="E92" s="631"/>
      <c r="F92" s="631"/>
    </row>
    <row r="93" spans="5:6">
      <c r="E93" s="631"/>
      <c r="F93" s="631"/>
    </row>
    <row r="94" spans="5:6">
      <c r="E94" s="631"/>
      <c r="F94" s="631"/>
    </row>
    <row r="95" spans="5:6">
      <c r="E95" s="631"/>
      <c r="F95" s="631"/>
    </row>
    <row r="96" spans="5:6">
      <c r="E96" s="631"/>
      <c r="F96" s="631"/>
    </row>
    <row r="97" spans="5:6">
      <c r="E97" s="631"/>
      <c r="F97" s="631"/>
    </row>
    <row r="98" spans="5:6">
      <c r="E98" s="631"/>
      <c r="F98" s="631"/>
    </row>
    <row r="99" spans="5:6">
      <c r="E99" s="631"/>
      <c r="F99" s="631"/>
    </row>
    <row r="100" spans="5:6">
      <c r="E100" s="631"/>
      <c r="F100" s="631"/>
    </row>
    <row r="101" spans="5:6">
      <c r="E101" s="631"/>
      <c r="F101" s="631"/>
    </row>
    <row r="102" spans="5:6">
      <c r="E102" s="631"/>
      <c r="F102" s="631"/>
    </row>
    <row r="103" spans="5:6">
      <c r="E103" s="631"/>
      <c r="F103" s="631"/>
    </row>
    <row r="104" spans="5:6">
      <c r="E104" s="631"/>
      <c r="F104" s="631"/>
    </row>
    <row r="105" spans="5:6">
      <c r="E105" s="631"/>
      <c r="F105" s="631"/>
    </row>
    <row r="106" spans="5:6">
      <c r="E106" s="631"/>
      <c r="F106" s="631"/>
    </row>
    <row r="107" spans="5:6">
      <c r="E107" s="631"/>
      <c r="F107" s="631"/>
    </row>
    <row r="108" spans="5:6">
      <c r="E108" s="631"/>
      <c r="F108" s="631"/>
    </row>
    <row r="109" spans="5:6">
      <c r="E109" s="631"/>
      <c r="F109" s="631"/>
    </row>
    <row r="110" spans="5:6">
      <c r="E110" s="631"/>
      <c r="F110" s="631"/>
    </row>
    <row r="111" spans="5:6">
      <c r="E111" s="631"/>
      <c r="F111" s="631"/>
    </row>
    <row r="112" spans="5:6">
      <c r="E112" s="631"/>
      <c r="F112" s="631"/>
    </row>
    <row r="113" spans="5:6">
      <c r="E113" s="631"/>
      <c r="F113" s="631"/>
    </row>
    <row r="114" spans="5:6">
      <c r="E114" s="631"/>
      <c r="F114" s="631"/>
    </row>
    <row r="115" spans="5:6">
      <c r="E115" s="631"/>
      <c r="F115" s="631"/>
    </row>
    <row r="116" spans="5:6">
      <c r="E116" s="631"/>
      <c r="F116" s="631"/>
    </row>
    <row r="117" spans="5:6">
      <c r="E117" s="631"/>
      <c r="F117" s="631"/>
    </row>
    <row r="118" spans="5:6">
      <c r="E118" s="631"/>
      <c r="F118" s="631"/>
    </row>
    <row r="119" spans="5:6">
      <c r="E119" s="631"/>
      <c r="F119" s="631"/>
    </row>
    <row r="120" spans="5:6">
      <c r="E120" s="631"/>
      <c r="F120" s="631"/>
    </row>
    <row r="121" spans="5:6">
      <c r="E121" s="631"/>
      <c r="F121" s="631"/>
    </row>
    <row r="122" spans="5:6">
      <c r="E122" s="631"/>
      <c r="F122" s="631"/>
    </row>
    <row r="123" spans="5:6">
      <c r="E123" s="631"/>
      <c r="F123" s="631"/>
    </row>
    <row r="124" spans="5:6">
      <c r="E124" s="631"/>
      <c r="F124" s="631"/>
    </row>
    <row r="125" spans="5:6">
      <c r="E125" s="631"/>
      <c r="F125" s="631"/>
    </row>
    <row r="126" spans="5:6">
      <c r="E126" s="631"/>
      <c r="F126" s="631"/>
    </row>
    <row r="127" spans="5:6">
      <c r="E127" s="631"/>
      <c r="F127" s="631"/>
    </row>
    <row r="128" spans="5:6">
      <c r="E128" s="631"/>
      <c r="F128" s="631"/>
    </row>
    <row r="129" spans="5:6">
      <c r="E129" s="631"/>
      <c r="F129" s="631"/>
    </row>
    <row r="130" spans="5:6">
      <c r="E130" s="631"/>
      <c r="F130" s="631"/>
    </row>
    <row r="131" spans="5:6">
      <c r="E131" s="631"/>
      <c r="F131" s="631"/>
    </row>
    <row r="132" spans="5:6">
      <c r="E132" s="631"/>
      <c r="F132" s="631"/>
    </row>
    <row r="133" spans="5:6">
      <c r="E133" s="631"/>
      <c r="F133" s="631"/>
    </row>
    <row r="134" spans="5:6">
      <c r="E134" s="631"/>
      <c r="F134" s="63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2021
INFSGI-MES-03-2021
13/04/2021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3"/>
  <sheetViews>
    <sheetView showGridLines="0" view="pageBreakPreview" zoomScale="120" zoomScaleNormal="100" zoomScaleSheetLayoutView="120" workbookViewId="0">
      <selection activeCell="O61" sqref="O61"/>
    </sheetView>
  </sheetViews>
  <sheetFormatPr baseColWidth="10" defaultColWidth="9.28515625" defaultRowHeight="9.6"/>
  <cols>
    <col min="1" max="1" width="16.140625" style="613" customWidth="1"/>
    <col min="2" max="2" width="19.7109375" style="613" customWidth="1"/>
    <col min="3" max="3" width="12.85546875" style="613" bestFit="1" customWidth="1"/>
    <col min="4" max="4" width="59.85546875" style="613" customWidth="1"/>
    <col min="5" max="5" width="11.7109375" style="613" customWidth="1"/>
    <col min="6" max="6" width="10.42578125" style="613" customWidth="1"/>
    <col min="7" max="8" width="9.28515625" style="613" customWidth="1"/>
    <col min="9" max="16384" width="9.28515625" style="613"/>
  </cols>
  <sheetData>
    <row r="1" spans="1:9" ht="11.25" customHeight="1">
      <c r="A1" s="611" t="s">
        <v>363</v>
      </c>
      <c r="B1" s="612"/>
      <c r="C1" s="612"/>
      <c r="D1" s="612"/>
      <c r="E1" s="612"/>
      <c r="F1" s="612"/>
    </row>
    <row r="2" spans="1:9" ht="30" customHeight="1">
      <c r="A2" s="614" t="s">
        <v>248</v>
      </c>
      <c r="B2" s="615" t="s">
        <v>364</v>
      </c>
      <c r="C2" s="614" t="s">
        <v>353</v>
      </c>
      <c r="D2" s="616" t="s">
        <v>365</v>
      </c>
      <c r="E2" s="617" t="s">
        <v>366</v>
      </c>
      <c r="F2" s="617" t="s">
        <v>367</v>
      </c>
      <c r="G2" s="618"/>
      <c r="H2" s="619"/>
      <c r="I2" s="620"/>
    </row>
    <row r="3" spans="1:9" ht="49.8" customHeight="1">
      <c r="A3" s="623" t="s">
        <v>694</v>
      </c>
      <c r="B3" s="623" t="s">
        <v>695</v>
      </c>
      <c r="C3" s="621" t="s">
        <v>696</v>
      </c>
      <c r="D3" s="622" t="s">
        <v>697</v>
      </c>
      <c r="E3" s="623">
        <v>21.36</v>
      </c>
      <c r="F3" s="623"/>
      <c r="G3" s="624"/>
      <c r="H3" s="624"/>
      <c r="I3" s="626"/>
    </row>
    <row r="4" spans="1:9" ht="102.6" customHeight="1">
      <c r="A4" s="623" t="s">
        <v>698</v>
      </c>
      <c r="B4" s="623" t="s">
        <v>699</v>
      </c>
      <c r="C4" s="621" t="s">
        <v>700</v>
      </c>
      <c r="D4" s="622" t="s">
        <v>701</v>
      </c>
      <c r="E4" s="623">
        <v>6.2</v>
      </c>
      <c r="F4" s="623"/>
      <c r="G4" s="624"/>
      <c r="H4" s="624"/>
      <c r="I4" s="627"/>
    </row>
    <row r="5" spans="1:9" ht="58.8" customHeight="1">
      <c r="A5" s="623" t="s">
        <v>702</v>
      </c>
      <c r="B5" s="623" t="s">
        <v>703</v>
      </c>
      <c r="C5" s="621" t="s">
        <v>704</v>
      </c>
      <c r="D5" s="622" t="s">
        <v>705</v>
      </c>
      <c r="E5" s="623">
        <v>32.299999999999997</v>
      </c>
      <c r="F5" s="623"/>
      <c r="G5" s="624"/>
      <c r="H5" s="624"/>
      <c r="I5" s="628"/>
    </row>
    <row r="6" spans="1:9" ht="57.6" customHeight="1">
      <c r="A6" s="623" t="s">
        <v>702</v>
      </c>
      <c r="B6" s="623" t="s">
        <v>703</v>
      </c>
      <c r="C6" s="621" t="s">
        <v>706</v>
      </c>
      <c r="D6" s="622" t="s">
        <v>707</v>
      </c>
      <c r="E6" s="623">
        <v>34.54</v>
      </c>
      <c r="F6" s="623"/>
      <c r="G6" s="624"/>
      <c r="H6" s="624"/>
      <c r="I6" s="627"/>
    </row>
    <row r="7" spans="1:9" ht="44.4" customHeight="1">
      <c r="A7" s="623" t="s">
        <v>486</v>
      </c>
      <c r="B7" s="623" t="s">
        <v>708</v>
      </c>
      <c r="C7" s="621" t="s">
        <v>709</v>
      </c>
      <c r="D7" s="622" t="s">
        <v>710</v>
      </c>
      <c r="E7" s="623">
        <v>2.2000000000000002</v>
      </c>
      <c r="F7" s="623"/>
      <c r="G7" s="624"/>
      <c r="H7" s="624"/>
      <c r="I7" s="627"/>
    </row>
    <row r="8" spans="1:9" ht="51" customHeight="1">
      <c r="A8" s="623" t="s">
        <v>486</v>
      </c>
      <c r="B8" s="623" t="s">
        <v>708</v>
      </c>
      <c r="C8" s="621" t="s">
        <v>711</v>
      </c>
      <c r="D8" s="622" t="s">
        <v>712</v>
      </c>
      <c r="E8" s="623">
        <v>2.29</v>
      </c>
      <c r="F8" s="623"/>
      <c r="G8" s="624"/>
      <c r="H8" s="624"/>
      <c r="I8" s="627"/>
    </row>
    <row r="9" spans="1:9" ht="49.8" customHeight="1">
      <c r="A9" s="623" t="s">
        <v>568</v>
      </c>
      <c r="B9" s="623" t="s">
        <v>713</v>
      </c>
      <c r="C9" s="621" t="s">
        <v>714</v>
      </c>
      <c r="D9" s="622" t="s">
        <v>715</v>
      </c>
      <c r="E9" s="623">
        <v>13.39</v>
      </c>
      <c r="F9" s="623"/>
      <c r="G9" s="624"/>
      <c r="H9" s="624"/>
      <c r="I9" s="627"/>
    </row>
    <row r="10" spans="1:9" ht="60.6" customHeight="1">
      <c r="A10" s="623" t="s">
        <v>477</v>
      </c>
      <c r="B10" s="623" t="s">
        <v>716</v>
      </c>
      <c r="C10" s="621" t="s">
        <v>717</v>
      </c>
      <c r="D10" s="622" t="s">
        <v>718</v>
      </c>
      <c r="E10" s="623">
        <v>5</v>
      </c>
      <c r="F10" s="623"/>
      <c r="G10" s="624"/>
      <c r="H10" s="624"/>
      <c r="I10" s="627"/>
    </row>
    <row r="11" spans="1:9" ht="63" customHeight="1">
      <c r="A11" s="623" t="s">
        <v>719</v>
      </c>
      <c r="B11" s="623" t="s">
        <v>720</v>
      </c>
      <c r="C11" s="621" t="s">
        <v>721</v>
      </c>
      <c r="D11" s="622" t="s">
        <v>722</v>
      </c>
      <c r="E11" s="623">
        <v>2.6</v>
      </c>
      <c r="F11" s="623"/>
      <c r="G11" s="624"/>
      <c r="H11" s="624"/>
      <c r="I11" s="627"/>
    </row>
    <row r="12" spans="1:9" ht="49.2" customHeight="1">
      <c r="A12" s="623" t="s">
        <v>486</v>
      </c>
      <c r="B12" s="623" t="s">
        <v>723</v>
      </c>
      <c r="C12" s="621" t="s">
        <v>724</v>
      </c>
      <c r="D12" s="622" t="s">
        <v>725</v>
      </c>
      <c r="E12" s="623">
        <v>11.08</v>
      </c>
      <c r="F12" s="623"/>
      <c r="G12" s="624"/>
      <c r="H12" s="624"/>
      <c r="I12" s="627"/>
    </row>
    <row r="13" spans="1:9" ht="57" customHeight="1">
      <c r="A13" s="623" t="s">
        <v>726</v>
      </c>
      <c r="B13" s="623" t="s">
        <v>727</v>
      </c>
      <c r="C13" s="621" t="s">
        <v>728</v>
      </c>
      <c r="D13" s="622" t="s">
        <v>729</v>
      </c>
      <c r="E13" s="623">
        <v>0.05</v>
      </c>
      <c r="F13" s="623"/>
      <c r="G13" s="624"/>
      <c r="H13" s="624"/>
      <c r="I13" s="627"/>
    </row>
    <row r="14" spans="1:9" ht="61.8" customHeight="1">
      <c r="A14" s="623" t="s">
        <v>485</v>
      </c>
      <c r="B14" s="623" t="s">
        <v>730</v>
      </c>
      <c r="C14" s="621" t="s">
        <v>731</v>
      </c>
      <c r="D14" s="622" t="s">
        <v>732</v>
      </c>
      <c r="E14" s="623">
        <v>1.06</v>
      </c>
      <c r="F14" s="623"/>
      <c r="G14" s="624"/>
      <c r="H14" s="624"/>
      <c r="I14" s="627"/>
    </row>
    <row r="15" spans="1:9" ht="48.6" customHeight="1">
      <c r="A15" s="623" t="s">
        <v>493</v>
      </c>
      <c r="B15" s="623" t="s">
        <v>682</v>
      </c>
      <c r="C15" s="621" t="s">
        <v>733</v>
      </c>
      <c r="D15" s="622" t="s">
        <v>734</v>
      </c>
      <c r="E15" s="623">
        <v>4.4400000000000004</v>
      </c>
      <c r="F15" s="623"/>
      <c r="G15" s="624"/>
      <c r="H15" s="624"/>
      <c r="I15" s="627"/>
    </row>
    <row r="16" spans="1:9" ht="52.2" customHeight="1">
      <c r="A16" s="623" t="s">
        <v>698</v>
      </c>
      <c r="B16" s="623" t="s">
        <v>735</v>
      </c>
      <c r="C16" s="621" t="s">
        <v>736</v>
      </c>
      <c r="D16" s="622" t="s">
        <v>737</v>
      </c>
      <c r="E16" s="623">
        <v>18</v>
      </c>
      <c r="F16" s="623">
        <v>3.03</v>
      </c>
      <c r="G16" s="624"/>
      <c r="H16" s="624"/>
      <c r="I16" s="627"/>
    </row>
    <row r="17" spans="5:6" ht="3.6" customHeight="1">
      <c r="E17" s="631"/>
      <c r="F17" s="631"/>
    </row>
    <row r="18" spans="5:6">
      <c r="E18" s="631"/>
      <c r="F18" s="631"/>
    </row>
    <row r="19" spans="5:6">
      <c r="E19" s="631"/>
      <c r="F19" s="631"/>
    </row>
    <row r="20" spans="5:6">
      <c r="E20" s="631"/>
      <c r="F20" s="631"/>
    </row>
    <row r="21" spans="5:6">
      <c r="E21" s="631"/>
      <c r="F21" s="631"/>
    </row>
    <row r="22" spans="5:6">
      <c r="E22" s="631"/>
      <c r="F22" s="631"/>
    </row>
    <row r="23" spans="5:6">
      <c r="E23" s="631"/>
      <c r="F23" s="631"/>
    </row>
    <row r="24" spans="5:6">
      <c r="E24" s="631"/>
      <c r="F24" s="631"/>
    </row>
    <row r="25" spans="5:6">
      <c r="E25" s="631"/>
      <c r="F25" s="631"/>
    </row>
    <row r="26" spans="5:6">
      <c r="E26" s="631"/>
      <c r="F26" s="631"/>
    </row>
    <row r="27" spans="5:6">
      <c r="E27" s="631"/>
      <c r="F27" s="631"/>
    </row>
    <row r="28" spans="5:6">
      <c r="E28" s="631"/>
      <c r="F28" s="631"/>
    </row>
    <row r="29" spans="5:6">
      <c r="E29" s="631"/>
      <c r="F29" s="631"/>
    </row>
    <row r="30" spans="5:6">
      <c r="E30" s="631"/>
      <c r="F30" s="631"/>
    </row>
    <row r="31" spans="5:6">
      <c r="E31" s="631"/>
      <c r="F31" s="631"/>
    </row>
    <row r="32" spans="5:6">
      <c r="E32" s="631"/>
      <c r="F32" s="631"/>
    </row>
    <row r="33" spans="5:6">
      <c r="E33" s="631"/>
      <c r="F33" s="631"/>
    </row>
    <row r="34" spans="5:6">
      <c r="E34" s="631"/>
      <c r="F34" s="631"/>
    </row>
    <row r="35" spans="5:6">
      <c r="E35" s="631"/>
      <c r="F35" s="631"/>
    </row>
    <row r="36" spans="5:6">
      <c r="E36" s="631"/>
      <c r="F36" s="631"/>
    </row>
    <row r="37" spans="5:6">
      <c r="E37" s="631"/>
      <c r="F37" s="631"/>
    </row>
    <row r="38" spans="5:6">
      <c r="E38" s="631"/>
      <c r="F38" s="631"/>
    </row>
    <row r="39" spans="5:6">
      <c r="E39" s="631"/>
      <c r="F39" s="631"/>
    </row>
    <row r="40" spans="5:6">
      <c r="E40" s="631"/>
      <c r="F40" s="631"/>
    </row>
    <row r="41" spans="5:6">
      <c r="E41" s="631"/>
      <c r="F41" s="631"/>
    </row>
    <row r="42" spans="5:6">
      <c r="E42" s="631"/>
      <c r="F42" s="631"/>
    </row>
    <row r="43" spans="5:6">
      <c r="E43" s="631"/>
      <c r="F43" s="631"/>
    </row>
    <row r="44" spans="5:6">
      <c r="E44" s="631"/>
      <c r="F44" s="631"/>
    </row>
    <row r="45" spans="5:6">
      <c r="E45" s="631"/>
      <c r="F45" s="631"/>
    </row>
    <row r="46" spans="5:6">
      <c r="E46" s="631"/>
      <c r="F46" s="631"/>
    </row>
    <row r="47" spans="5:6">
      <c r="E47" s="631"/>
      <c r="F47" s="631"/>
    </row>
    <row r="48" spans="5:6">
      <c r="E48" s="631"/>
      <c r="F48" s="631"/>
    </row>
    <row r="49" spans="5:6">
      <c r="E49" s="631"/>
      <c r="F49" s="631"/>
    </row>
    <row r="50" spans="5:6">
      <c r="E50" s="631"/>
      <c r="F50" s="631"/>
    </row>
    <row r="51" spans="5:6">
      <c r="E51" s="631"/>
      <c r="F51" s="631"/>
    </row>
    <row r="52" spans="5:6">
      <c r="E52" s="631"/>
      <c r="F52" s="631"/>
    </row>
    <row r="53" spans="5:6">
      <c r="E53" s="631"/>
      <c r="F53" s="631"/>
    </row>
    <row r="54" spans="5:6">
      <c r="E54" s="631"/>
      <c r="F54" s="631"/>
    </row>
    <row r="55" spans="5:6">
      <c r="E55" s="631"/>
      <c r="F55" s="631"/>
    </row>
    <row r="56" spans="5:6">
      <c r="E56" s="631"/>
      <c r="F56" s="631"/>
    </row>
    <row r="57" spans="5:6">
      <c r="E57" s="631"/>
      <c r="F57" s="631"/>
    </row>
    <row r="58" spans="5:6">
      <c r="E58" s="631"/>
      <c r="F58" s="631"/>
    </row>
    <row r="59" spans="5:6">
      <c r="E59" s="631"/>
      <c r="F59" s="631"/>
    </row>
    <row r="60" spans="5:6">
      <c r="E60" s="631"/>
      <c r="F60" s="631"/>
    </row>
    <row r="61" spans="5:6">
      <c r="E61" s="631"/>
      <c r="F61" s="631"/>
    </row>
    <row r="62" spans="5:6">
      <c r="E62" s="631"/>
      <c r="F62" s="631"/>
    </row>
    <row r="63" spans="5:6">
      <c r="E63" s="631"/>
      <c r="F63" s="631"/>
    </row>
    <row r="64" spans="5:6">
      <c r="E64" s="631"/>
      <c r="F64" s="631"/>
    </row>
    <row r="65" spans="5:6">
      <c r="E65" s="631"/>
      <c r="F65" s="631"/>
    </row>
    <row r="66" spans="5:6">
      <c r="E66" s="631"/>
      <c r="F66" s="631"/>
    </row>
    <row r="67" spans="5:6">
      <c r="E67" s="631"/>
      <c r="F67" s="631"/>
    </row>
    <row r="68" spans="5:6">
      <c r="E68" s="631"/>
      <c r="F68" s="631"/>
    </row>
    <row r="69" spans="5:6">
      <c r="E69" s="631"/>
      <c r="F69" s="631"/>
    </row>
    <row r="70" spans="5:6">
      <c r="E70" s="631"/>
      <c r="F70" s="631"/>
    </row>
    <row r="71" spans="5:6">
      <c r="E71" s="631"/>
      <c r="F71" s="631"/>
    </row>
    <row r="72" spans="5:6">
      <c r="E72" s="631"/>
      <c r="F72" s="631"/>
    </row>
    <row r="73" spans="5:6">
      <c r="E73" s="631"/>
      <c r="F73" s="631"/>
    </row>
    <row r="74" spans="5:6">
      <c r="E74" s="631"/>
      <c r="F74" s="631"/>
    </row>
    <row r="75" spans="5:6">
      <c r="E75" s="631"/>
      <c r="F75" s="631"/>
    </row>
    <row r="76" spans="5:6">
      <c r="E76" s="631"/>
      <c r="F76" s="631"/>
    </row>
    <row r="77" spans="5:6">
      <c r="E77" s="631"/>
      <c r="F77" s="631"/>
    </row>
    <row r="78" spans="5:6">
      <c r="E78" s="631"/>
      <c r="F78" s="631"/>
    </row>
    <row r="79" spans="5:6">
      <c r="E79" s="631"/>
      <c r="F79" s="631"/>
    </row>
    <row r="80" spans="5:6">
      <c r="E80" s="631"/>
      <c r="F80" s="631"/>
    </row>
    <row r="81" spans="5:6">
      <c r="E81" s="631"/>
      <c r="F81" s="631"/>
    </row>
    <row r="82" spans="5:6">
      <c r="E82" s="631"/>
      <c r="F82" s="631"/>
    </row>
    <row r="83" spans="5:6">
      <c r="E83" s="631"/>
      <c r="F83" s="631"/>
    </row>
    <row r="84" spans="5:6">
      <c r="E84" s="631"/>
      <c r="F84" s="631"/>
    </row>
    <row r="85" spans="5:6">
      <c r="E85" s="631"/>
      <c r="F85" s="631"/>
    </row>
    <row r="86" spans="5:6">
      <c r="E86" s="631"/>
      <c r="F86" s="631"/>
    </row>
    <row r="87" spans="5:6">
      <c r="E87" s="631"/>
      <c r="F87" s="631"/>
    </row>
    <row r="88" spans="5:6">
      <c r="E88" s="631"/>
      <c r="F88" s="631"/>
    </row>
    <row r="89" spans="5:6">
      <c r="E89" s="631"/>
      <c r="F89" s="631"/>
    </row>
    <row r="90" spans="5:6">
      <c r="E90" s="631"/>
      <c r="F90" s="631"/>
    </row>
    <row r="91" spans="5:6">
      <c r="E91" s="631"/>
      <c r="F91" s="631"/>
    </row>
    <row r="92" spans="5:6">
      <c r="E92" s="631"/>
      <c r="F92" s="631"/>
    </row>
    <row r="93" spans="5:6">
      <c r="E93" s="631"/>
      <c r="F93" s="631"/>
    </row>
    <row r="94" spans="5:6">
      <c r="E94" s="631"/>
      <c r="F94" s="631"/>
    </row>
    <row r="95" spans="5:6">
      <c r="E95" s="631"/>
      <c r="F95" s="631"/>
    </row>
    <row r="96" spans="5:6">
      <c r="E96" s="631"/>
      <c r="F96" s="631"/>
    </row>
    <row r="97" spans="5:6">
      <c r="E97" s="631"/>
      <c r="F97" s="631"/>
    </row>
    <row r="98" spans="5:6">
      <c r="E98" s="631"/>
      <c r="F98" s="631"/>
    </row>
    <row r="99" spans="5:6">
      <c r="E99" s="631"/>
      <c r="F99" s="631"/>
    </row>
    <row r="100" spans="5:6">
      <c r="E100" s="631"/>
      <c r="F100" s="631"/>
    </row>
    <row r="101" spans="5:6">
      <c r="E101" s="631"/>
      <c r="F101" s="631"/>
    </row>
    <row r="102" spans="5:6">
      <c r="E102" s="631"/>
      <c r="F102" s="631"/>
    </row>
    <row r="103" spans="5:6">
      <c r="E103" s="631"/>
      <c r="F103" s="63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2021
INFSGI-MES-03-2021
13/04/2021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70" zoomScaleNormal="100" zoomScaleSheetLayoutView="70" workbookViewId="0">
      <selection activeCell="O61" sqref="O61"/>
    </sheetView>
  </sheetViews>
  <sheetFormatPr baseColWidth="10" defaultColWidth="9.28515625" defaultRowHeight="9.6"/>
  <cols>
    <col min="1" max="1" width="16.140625" style="613" customWidth="1"/>
    <col min="2" max="2" width="19.7109375" style="613" customWidth="1"/>
    <col min="3" max="3" width="12.85546875" style="613" bestFit="1" customWidth="1"/>
    <col min="4" max="4" width="59.85546875" style="613" customWidth="1"/>
    <col min="5" max="5" width="11.7109375" style="613" customWidth="1"/>
    <col min="6" max="6" width="10.42578125" style="613" customWidth="1"/>
    <col min="7" max="8" width="9.28515625" style="613" customWidth="1"/>
    <col min="9" max="16384" width="9.28515625" style="613"/>
  </cols>
  <sheetData>
    <row r="1" spans="1:9" ht="11.25" customHeight="1">
      <c r="A1" s="611" t="s">
        <v>363</v>
      </c>
      <c r="B1" s="612"/>
      <c r="C1" s="612"/>
      <c r="D1" s="612"/>
      <c r="E1" s="612"/>
      <c r="F1" s="612"/>
    </row>
    <row r="2" spans="1:9" ht="30" customHeight="1">
      <c r="A2" s="614" t="s">
        <v>248</v>
      </c>
      <c r="B2" s="615" t="s">
        <v>364</v>
      </c>
      <c r="C2" s="614" t="s">
        <v>353</v>
      </c>
      <c r="D2" s="616" t="s">
        <v>365</v>
      </c>
      <c r="E2" s="617" t="s">
        <v>366</v>
      </c>
      <c r="F2" s="617" t="s">
        <v>367</v>
      </c>
      <c r="G2" s="618"/>
      <c r="H2" s="619"/>
      <c r="I2" s="620"/>
    </row>
    <row r="3" spans="1:9" ht="45" customHeight="1">
      <c r="A3" s="623" t="s">
        <v>485</v>
      </c>
      <c r="B3" s="623" t="s">
        <v>738</v>
      </c>
      <c r="C3" s="621" t="s">
        <v>739</v>
      </c>
      <c r="D3" s="622" t="s">
        <v>740</v>
      </c>
      <c r="E3" s="623">
        <v>3.06</v>
      </c>
      <c r="F3" s="623"/>
      <c r="G3" s="624"/>
      <c r="H3" s="624"/>
      <c r="I3" s="626"/>
    </row>
    <row r="4" spans="1:9" ht="52.2" customHeight="1">
      <c r="A4" s="623" t="s">
        <v>741</v>
      </c>
      <c r="B4" s="623" t="s">
        <v>742</v>
      </c>
      <c r="C4" s="621" t="s">
        <v>743</v>
      </c>
      <c r="D4" s="622" t="s">
        <v>744</v>
      </c>
      <c r="E4" s="623">
        <v>6.21</v>
      </c>
      <c r="F4" s="623"/>
      <c r="G4" s="624"/>
      <c r="H4" s="624"/>
      <c r="I4" s="627"/>
    </row>
    <row r="5" spans="1:9" ht="55.2" customHeight="1">
      <c r="A5" s="623" t="s">
        <v>485</v>
      </c>
      <c r="B5" s="623" t="s">
        <v>745</v>
      </c>
      <c r="C5" s="621" t="s">
        <v>746</v>
      </c>
      <c r="D5" s="622" t="s">
        <v>747</v>
      </c>
      <c r="E5" s="623">
        <v>10.029999999999999</v>
      </c>
      <c r="F5" s="623"/>
      <c r="G5" s="624"/>
      <c r="H5" s="624"/>
      <c r="I5" s="628"/>
    </row>
    <row r="6" spans="1:9" ht="75.599999999999994" customHeight="1">
      <c r="A6" s="623" t="s">
        <v>95</v>
      </c>
      <c r="B6" s="623" t="s">
        <v>748</v>
      </c>
      <c r="C6" s="621" t="s">
        <v>749</v>
      </c>
      <c r="D6" s="622" t="s">
        <v>750</v>
      </c>
      <c r="E6" s="623">
        <v>27.8</v>
      </c>
      <c r="F6" s="623"/>
      <c r="G6" s="624"/>
      <c r="H6" s="624"/>
      <c r="I6" s="627"/>
    </row>
    <row r="7" spans="1:9" ht="55.8" customHeight="1">
      <c r="A7" s="623" t="s">
        <v>751</v>
      </c>
      <c r="B7" s="623" t="s">
        <v>752</v>
      </c>
      <c r="C7" s="621" t="s">
        <v>753</v>
      </c>
      <c r="D7" s="622" t="s">
        <v>754</v>
      </c>
      <c r="E7" s="623">
        <v>3.58</v>
      </c>
      <c r="F7" s="623">
        <v>1.08</v>
      </c>
      <c r="G7" s="624"/>
      <c r="H7" s="624"/>
      <c r="I7" s="627"/>
    </row>
    <row r="8" spans="1:9" ht="53.4" customHeight="1">
      <c r="A8" s="623" t="s">
        <v>741</v>
      </c>
      <c r="B8" s="623" t="s">
        <v>742</v>
      </c>
      <c r="C8" s="621" t="s">
        <v>755</v>
      </c>
      <c r="D8" s="622" t="s">
        <v>756</v>
      </c>
      <c r="E8" s="623">
        <v>6.7</v>
      </c>
      <c r="F8" s="623"/>
      <c r="G8" s="624"/>
      <c r="H8" s="624"/>
      <c r="I8" s="627"/>
    </row>
    <row r="9" spans="1:9" ht="45.6" customHeight="1">
      <c r="A9" s="623" t="s">
        <v>493</v>
      </c>
      <c r="B9" s="623" t="s">
        <v>757</v>
      </c>
      <c r="C9" s="621" t="s">
        <v>758</v>
      </c>
      <c r="D9" s="622" t="s">
        <v>759</v>
      </c>
      <c r="E9" s="623">
        <v>7.3</v>
      </c>
      <c r="F9" s="623"/>
      <c r="G9" s="624"/>
      <c r="H9" s="624"/>
      <c r="I9" s="627"/>
    </row>
    <row r="10" spans="1:9" ht="57.6" customHeight="1">
      <c r="A10" s="623" t="s">
        <v>726</v>
      </c>
      <c r="B10" s="623" t="s">
        <v>727</v>
      </c>
      <c r="C10" s="621" t="s">
        <v>760</v>
      </c>
      <c r="D10" s="622" t="s">
        <v>761</v>
      </c>
      <c r="E10" s="623">
        <v>4.0599999999999996</v>
      </c>
      <c r="F10" s="623"/>
      <c r="G10" s="624"/>
      <c r="H10" s="624"/>
      <c r="I10" s="627"/>
    </row>
    <row r="11" spans="1:9" ht="40.200000000000003" customHeight="1">
      <c r="A11" s="623" t="s">
        <v>486</v>
      </c>
      <c r="B11" s="623" t="s">
        <v>762</v>
      </c>
      <c r="C11" s="621" t="s">
        <v>763</v>
      </c>
      <c r="D11" s="622" t="s">
        <v>764</v>
      </c>
      <c r="E11" s="623">
        <v>3.13</v>
      </c>
      <c r="F11" s="623"/>
      <c r="G11" s="624"/>
      <c r="H11" s="624"/>
      <c r="I11" s="627"/>
    </row>
    <row r="12" spans="1:9" ht="49.8" customHeight="1">
      <c r="A12" s="623" t="s">
        <v>584</v>
      </c>
      <c r="B12" s="623" t="s">
        <v>765</v>
      </c>
      <c r="C12" s="621" t="s">
        <v>766</v>
      </c>
      <c r="D12" s="622" t="s">
        <v>767</v>
      </c>
      <c r="E12" s="623">
        <v>4.24</v>
      </c>
      <c r="F12" s="623"/>
      <c r="G12" s="624"/>
      <c r="H12" s="624"/>
      <c r="I12" s="627"/>
    </row>
    <row r="13" spans="1:9" ht="48" customHeight="1">
      <c r="A13" s="623" t="s">
        <v>487</v>
      </c>
      <c r="B13" s="623" t="s">
        <v>768</v>
      </c>
      <c r="C13" s="621" t="s">
        <v>769</v>
      </c>
      <c r="D13" s="622" t="s">
        <v>770</v>
      </c>
      <c r="E13" s="623"/>
      <c r="F13" s="623"/>
      <c r="G13" s="624"/>
      <c r="H13" s="624"/>
      <c r="I13" s="627"/>
    </row>
    <row r="14" spans="1:9" ht="49.8" customHeight="1">
      <c r="A14" s="623" t="s">
        <v>601</v>
      </c>
      <c r="B14" s="623" t="s">
        <v>771</v>
      </c>
      <c r="C14" s="621" t="s">
        <v>772</v>
      </c>
      <c r="D14" s="622" t="s">
        <v>773</v>
      </c>
      <c r="E14" s="623">
        <v>8.69</v>
      </c>
      <c r="F14" s="623"/>
      <c r="G14" s="624"/>
      <c r="H14" s="624"/>
      <c r="I14" s="627"/>
    </row>
    <row r="15" spans="1:9" ht="49.8" customHeight="1">
      <c r="A15" s="623" t="s">
        <v>486</v>
      </c>
      <c r="B15" s="623" t="s">
        <v>723</v>
      </c>
      <c r="C15" s="621" t="s">
        <v>774</v>
      </c>
      <c r="D15" s="622" t="s">
        <v>775</v>
      </c>
      <c r="E15" s="623">
        <v>11.6</v>
      </c>
      <c r="F15" s="623"/>
      <c r="G15" s="624"/>
      <c r="H15" s="624"/>
      <c r="I15" s="627"/>
    </row>
    <row r="16" spans="1:9" ht="50.4" customHeight="1">
      <c r="A16" s="623" t="s">
        <v>487</v>
      </c>
      <c r="B16" s="623" t="s">
        <v>776</v>
      </c>
      <c r="C16" s="621" t="s">
        <v>777</v>
      </c>
      <c r="D16" s="622" t="s">
        <v>778</v>
      </c>
      <c r="E16" s="623">
        <v>23.24</v>
      </c>
      <c r="F16" s="623"/>
      <c r="G16" s="624"/>
      <c r="H16" s="624"/>
      <c r="I16" s="627"/>
    </row>
    <row r="17" spans="1:9" ht="53.4" customHeight="1">
      <c r="A17" s="623" t="s">
        <v>568</v>
      </c>
      <c r="B17" s="623" t="s">
        <v>779</v>
      </c>
      <c r="C17" s="621" t="s">
        <v>780</v>
      </c>
      <c r="D17" s="622" t="s">
        <v>781</v>
      </c>
      <c r="E17" s="623">
        <v>0</v>
      </c>
      <c r="F17" s="623"/>
      <c r="G17" s="624"/>
      <c r="H17" s="624"/>
      <c r="I17" s="627"/>
    </row>
    <row r="18" spans="1:9">
      <c r="E18" s="631"/>
      <c r="F18" s="631"/>
    </row>
    <row r="19" spans="1:9">
      <c r="E19" s="631"/>
      <c r="F19" s="631"/>
    </row>
    <row r="20" spans="1:9">
      <c r="E20" s="631"/>
      <c r="F20" s="631"/>
    </row>
    <row r="21" spans="1:9">
      <c r="E21" s="631"/>
      <c r="F21" s="631"/>
    </row>
    <row r="22" spans="1:9">
      <c r="E22" s="631"/>
      <c r="F22" s="631"/>
    </row>
    <row r="23" spans="1:9">
      <c r="E23" s="631"/>
      <c r="F23" s="631"/>
    </row>
    <row r="24" spans="1:9">
      <c r="E24" s="631"/>
      <c r="F24" s="631"/>
    </row>
    <row r="25" spans="1:9">
      <c r="E25" s="631"/>
      <c r="F25" s="631"/>
    </row>
    <row r="26" spans="1:9">
      <c r="E26" s="631"/>
      <c r="F26" s="631"/>
    </row>
    <row r="27" spans="1:9">
      <c r="E27" s="631"/>
      <c r="F27" s="631"/>
    </row>
    <row r="28" spans="1:9">
      <c r="E28" s="631"/>
      <c r="F28" s="631"/>
    </row>
    <row r="29" spans="1:9">
      <c r="E29" s="631"/>
      <c r="F29" s="631"/>
    </row>
    <row r="30" spans="1:9">
      <c r="E30" s="631"/>
      <c r="F30" s="631"/>
    </row>
    <row r="31" spans="1:9">
      <c r="E31" s="631"/>
      <c r="F31" s="631"/>
    </row>
    <row r="32" spans="1:9">
      <c r="E32" s="631"/>
      <c r="F32" s="631"/>
    </row>
    <row r="33" spans="5:6">
      <c r="E33" s="631"/>
      <c r="F33" s="631"/>
    </row>
    <row r="34" spans="5:6">
      <c r="E34" s="631"/>
      <c r="F34" s="631"/>
    </row>
    <row r="35" spans="5:6">
      <c r="E35" s="631"/>
      <c r="F35" s="631"/>
    </row>
    <row r="36" spans="5:6">
      <c r="E36" s="631"/>
      <c r="F36" s="631"/>
    </row>
    <row r="37" spans="5:6">
      <c r="E37" s="631"/>
      <c r="F37" s="631"/>
    </row>
    <row r="38" spans="5:6">
      <c r="E38" s="631"/>
      <c r="F38" s="631"/>
    </row>
    <row r="39" spans="5:6">
      <c r="E39" s="631"/>
      <c r="F39" s="631"/>
    </row>
    <row r="40" spans="5:6">
      <c r="E40" s="631"/>
      <c r="F40" s="631"/>
    </row>
    <row r="41" spans="5:6">
      <c r="E41" s="631"/>
      <c r="F41" s="631"/>
    </row>
    <row r="42" spans="5:6">
      <c r="E42" s="631"/>
      <c r="F42" s="631"/>
    </row>
    <row r="43" spans="5:6">
      <c r="E43" s="631"/>
      <c r="F43" s="631"/>
    </row>
    <row r="44" spans="5:6">
      <c r="E44" s="631"/>
      <c r="F44" s="631"/>
    </row>
    <row r="45" spans="5:6">
      <c r="E45" s="631"/>
      <c r="F45" s="631"/>
    </row>
    <row r="46" spans="5:6">
      <c r="E46" s="631"/>
      <c r="F46" s="631"/>
    </row>
    <row r="47" spans="5:6">
      <c r="E47" s="631"/>
      <c r="F47" s="631"/>
    </row>
    <row r="48" spans="5:6">
      <c r="E48" s="631"/>
      <c r="F48" s="631"/>
    </row>
    <row r="49" spans="5:6">
      <c r="E49" s="631"/>
      <c r="F49" s="631"/>
    </row>
    <row r="50" spans="5:6">
      <c r="E50" s="631"/>
      <c r="F50" s="631"/>
    </row>
    <row r="51" spans="5:6">
      <c r="E51" s="631"/>
      <c r="F51" s="631"/>
    </row>
    <row r="52" spans="5:6">
      <c r="E52" s="631"/>
      <c r="F52" s="631"/>
    </row>
    <row r="53" spans="5:6">
      <c r="E53" s="631"/>
      <c r="F53" s="631"/>
    </row>
    <row r="54" spans="5:6">
      <c r="E54" s="631"/>
      <c r="F54" s="631"/>
    </row>
    <row r="55" spans="5:6">
      <c r="E55" s="631"/>
      <c r="F55" s="631"/>
    </row>
    <row r="56" spans="5:6">
      <c r="E56" s="631"/>
      <c r="F56" s="631"/>
    </row>
    <row r="57" spans="5:6">
      <c r="E57" s="631"/>
      <c r="F57" s="631"/>
    </row>
    <row r="58" spans="5:6">
      <c r="E58" s="631"/>
      <c r="F58" s="631"/>
    </row>
    <row r="59" spans="5:6">
      <c r="E59" s="631"/>
      <c r="F59" s="631"/>
    </row>
    <row r="60" spans="5:6">
      <c r="E60" s="631"/>
      <c r="F60" s="631"/>
    </row>
    <row r="61" spans="5:6">
      <c r="E61" s="631"/>
      <c r="F61" s="631"/>
    </row>
    <row r="62" spans="5:6">
      <c r="E62" s="631"/>
      <c r="F62" s="631"/>
    </row>
    <row r="63" spans="5:6">
      <c r="E63" s="631"/>
      <c r="F63" s="631"/>
    </row>
    <row r="64" spans="5:6">
      <c r="E64" s="631"/>
      <c r="F64" s="631"/>
    </row>
    <row r="65" spans="5:6">
      <c r="E65" s="631"/>
      <c r="F65" s="631"/>
    </row>
    <row r="66" spans="5:6">
      <c r="E66" s="631"/>
      <c r="F66" s="631"/>
    </row>
    <row r="67" spans="5:6">
      <c r="E67" s="631"/>
      <c r="F67" s="631"/>
    </row>
    <row r="68" spans="5:6">
      <c r="E68" s="631"/>
      <c r="F68" s="631"/>
    </row>
    <row r="69" spans="5:6">
      <c r="E69" s="631"/>
      <c r="F69" s="631"/>
    </row>
    <row r="70" spans="5:6">
      <c r="E70" s="631"/>
      <c r="F70" s="631"/>
    </row>
    <row r="71" spans="5:6">
      <c r="E71" s="631"/>
      <c r="F71" s="631"/>
    </row>
    <row r="72" spans="5:6">
      <c r="E72" s="631"/>
      <c r="F72" s="631"/>
    </row>
    <row r="73" spans="5:6">
      <c r="E73" s="631"/>
      <c r="F73" s="631"/>
    </row>
    <row r="74" spans="5:6">
      <c r="E74" s="631"/>
      <c r="F74" s="631"/>
    </row>
    <row r="75" spans="5:6">
      <c r="E75" s="631"/>
      <c r="F75" s="631"/>
    </row>
    <row r="76" spans="5:6">
      <c r="E76" s="631"/>
      <c r="F76" s="631"/>
    </row>
    <row r="77" spans="5:6">
      <c r="E77" s="631"/>
      <c r="F77" s="631"/>
    </row>
    <row r="78" spans="5:6">
      <c r="E78" s="631"/>
      <c r="F78" s="631"/>
    </row>
    <row r="79" spans="5:6">
      <c r="E79" s="631"/>
      <c r="F79" s="631"/>
    </row>
    <row r="80" spans="5:6">
      <c r="E80" s="631"/>
      <c r="F80" s="631"/>
    </row>
    <row r="81" spans="5:6">
      <c r="E81" s="631"/>
      <c r="F81" s="631"/>
    </row>
    <row r="82" spans="5:6">
      <c r="E82" s="631"/>
      <c r="F82" s="631"/>
    </row>
    <row r="83" spans="5:6">
      <c r="E83" s="631"/>
      <c r="F83" s="631"/>
    </row>
    <row r="84" spans="5:6">
      <c r="E84" s="631"/>
      <c r="F84" s="631"/>
    </row>
    <row r="85" spans="5:6">
      <c r="E85" s="631"/>
      <c r="F85" s="631"/>
    </row>
    <row r="86" spans="5:6">
      <c r="E86" s="631"/>
      <c r="F86" s="631"/>
    </row>
    <row r="87" spans="5:6">
      <c r="E87" s="631"/>
      <c r="F87" s="631"/>
    </row>
    <row r="88" spans="5:6">
      <c r="E88" s="631"/>
      <c r="F88" s="631"/>
    </row>
    <row r="89" spans="5:6">
      <c r="E89" s="631"/>
      <c r="F89" s="631"/>
    </row>
    <row r="90" spans="5:6">
      <c r="E90" s="631"/>
      <c r="F90" s="631"/>
    </row>
    <row r="91" spans="5:6">
      <c r="E91" s="631"/>
      <c r="F91" s="631"/>
    </row>
    <row r="92" spans="5:6">
      <c r="E92" s="631"/>
      <c r="F92" s="631"/>
    </row>
    <row r="93" spans="5:6">
      <c r="E93" s="631"/>
      <c r="F93" s="631"/>
    </row>
    <row r="94" spans="5:6">
      <c r="E94" s="631"/>
      <c r="F94" s="631"/>
    </row>
    <row r="95" spans="5:6">
      <c r="E95" s="631"/>
      <c r="F95" s="631"/>
    </row>
    <row r="96" spans="5:6">
      <c r="E96" s="631"/>
      <c r="F96" s="631"/>
    </row>
    <row r="97" spans="5:6">
      <c r="E97" s="631"/>
      <c r="F97" s="631"/>
    </row>
    <row r="98" spans="5:6">
      <c r="E98" s="631"/>
      <c r="F98" s="631"/>
    </row>
    <row r="99" spans="5:6">
      <c r="E99" s="631"/>
      <c r="F99" s="631"/>
    </row>
    <row r="100" spans="5:6">
      <c r="E100" s="631"/>
      <c r="F100" s="631"/>
    </row>
    <row r="101" spans="5:6">
      <c r="E101" s="631"/>
      <c r="F101" s="631"/>
    </row>
    <row r="102" spans="5:6">
      <c r="E102" s="631"/>
      <c r="F102" s="631"/>
    </row>
    <row r="103" spans="5:6">
      <c r="E103" s="631"/>
      <c r="F103" s="63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Marzo 2021
INFSGI-MES-03-2021
13/04/2021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O61" sqref="O61"/>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8" width="9.28515625" style="277"/>
    <col min="19" max="23" width="9.28515625" style="298"/>
    <col min="24" max="16384" width="9.28515625" style="46"/>
  </cols>
  <sheetData>
    <row r="1" spans="1:17" ht="27.75" customHeight="1">
      <c r="A1" s="811" t="s">
        <v>22</v>
      </c>
      <c r="B1" s="811"/>
      <c r="C1" s="811"/>
      <c r="D1" s="811"/>
      <c r="E1" s="811"/>
      <c r="F1" s="811"/>
      <c r="G1" s="811"/>
      <c r="H1" s="811"/>
      <c r="I1" s="811"/>
      <c r="J1" s="811"/>
      <c r="K1" s="811"/>
      <c r="L1" s="811"/>
      <c r="M1" s="811"/>
      <c r="N1" s="790"/>
      <c r="O1" s="790"/>
      <c r="P1" s="790"/>
      <c r="Q1" s="790"/>
    </row>
    <row r="2" spans="1:17" ht="11.25" customHeight="1">
      <c r="A2" s="41"/>
      <c r="B2" s="40"/>
      <c r="C2" s="65"/>
      <c r="D2" s="65"/>
      <c r="E2" s="65"/>
      <c r="F2" s="65"/>
      <c r="G2" s="65"/>
      <c r="H2" s="65"/>
      <c r="I2" s="65"/>
      <c r="J2" s="65"/>
      <c r="K2" s="40"/>
      <c r="L2" s="40"/>
      <c r="M2" s="40"/>
      <c r="N2" s="790"/>
      <c r="O2" s="790"/>
      <c r="P2" s="790"/>
      <c r="Q2" s="790"/>
    </row>
    <row r="3" spans="1:17" ht="21.75" customHeight="1">
      <c r="A3" s="40"/>
      <c r="B3" s="42"/>
      <c r="C3" s="818" t="str">
        <f>+UPPER(Q4)&amp;" "&amp;Q5</f>
        <v>MARZO 2021</v>
      </c>
      <c r="D3" s="811"/>
      <c r="E3" s="811"/>
      <c r="F3" s="811"/>
      <c r="G3" s="811"/>
      <c r="H3" s="811"/>
      <c r="I3" s="811"/>
      <c r="J3" s="811"/>
      <c r="K3" s="40"/>
      <c r="L3" s="40"/>
      <c r="M3" s="40"/>
      <c r="N3" s="790"/>
      <c r="O3" s="790"/>
      <c r="P3" s="790"/>
      <c r="Q3" s="790"/>
    </row>
    <row r="4" spans="1:17" ht="11.25" customHeight="1">
      <c r="A4" s="40"/>
      <c r="B4" s="42"/>
      <c r="C4" s="40"/>
      <c r="D4" s="40"/>
      <c r="E4" s="40"/>
      <c r="F4" s="40"/>
      <c r="G4" s="40"/>
      <c r="H4" s="40"/>
      <c r="I4" s="40"/>
      <c r="J4" s="40"/>
      <c r="K4" s="40"/>
      <c r="L4" s="40"/>
      <c r="M4" s="40"/>
      <c r="N4" s="791"/>
      <c r="O4" s="791"/>
      <c r="P4" s="790" t="s">
        <v>210</v>
      </c>
      <c r="Q4" s="792" t="s">
        <v>604</v>
      </c>
    </row>
    <row r="5" spans="1:17" ht="11.25" customHeight="1">
      <c r="A5" s="47"/>
      <c r="B5" s="48"/>
      <c r="C5" s="49"/>
      <c r="D5" s="49"/>
      <c r="E5" s="49"/>
      <c r="F5" s="49"/>
      <c r="G5" s="49"/>
      <c r="H5" s="49"/>
      <c r="I5" s="49"/>
      <c r="J5" s="49"/>
      <c r="K5" s="49"/>
      <c r="L5" s="49"/>
      <c r="M5" s="40"/>
      <c r="N5" s="791"/>
      <c r="O5" s="791"/>
      <c r="P5" s="790" t="s">
        <v>211</v>
      </c>
      <c r="Q5" s="791">
        <v>2021</v>
      </c>
    </row>
    <row r="6" spans="1:17" ht="17.25" customHeight="1">
      <c r="A6" s="60" t="s">
        <v>398</v>
      </c>
      <c r="B6" s="40"/>
      <c r="C6" s="40"/>
      <c r="D6" s="40"/>
      <c r="E6" s="40"/>
      <c r="F6" s="40"/>
      <c r="G6" s="40"/>
      <c r="H6" s="40"/>
      <c r="I6" s="40"/>
      <c r="J6" s="40"/>
      <c r="K6" s="40"/>
      <c r="L6" s="40"/>
      <c r="M6" s="40"/>
      <c r="N6" s="790"/>
      <c r="O6" s="790"/>
      <c r="P6" s="790"/>
      <c r="Q6" s="793">
        <v>44256</v>
      </c>
    </row>
    <row r="7" spans="1:17" ht="11.25" customHeight="1">
      <c r="A7" s="40"/>
      <c r="B7" s="40"/>
      <c r="C7" s="40"/>
      <c r="D7" s="40"/>
      <c r="E7" s="40"/>
      <c r="F7" s="40"/>
      <c r="G7" s="40"/>
      <c r="H7" s="40"/>
      <c r="I7" s="40"/>
      <c r="J7" s="40"/>
      <c r="K7" s="40"/>
      <c r="L7" s="40"/>
      <c r="M7" s="40"/>
      <c r="N7" s="790"/>
      <c r="O7" s="790"/>
      <c r="P7" s="790"/>
      <c r="Q7" s="790">
        <v>31</v>
      </c>
    </row>
    <row r="8" spans="1:17" ht="11.25" customHeight="1">
      <c r="A8" s="43"/>
      <c r="B8" s="43"/>
      <c r="C8" s="43"/>
      <c r="D8" s="43"/>
      <c r="E8" s="43"/>
      <c r="F8" s="43"/>
      <c r="G8" s="43"/>
      <c r="H8" s="43"/>
      <c r="I8" s="43"/>
      <c r="J8" s="43"/>
      <c r="K8" s="43"/>
      <c r="L8" s="43"/>
      <c r="M8" s="43"/>
      <c r="N8" s="794"/>
      <c r="O8" s="794"/>
      <c r="P8" s="794"/>
      <c r="Q8" s="794"/>
    </row>
    <row r="9" spans="1:17" ht="14.25" customHeight="1">
      <c r="A9" s="40" t="str">
        <f>"1.1. Producción de energía eléctrica en "&amp;LOWER(Q4)&amp;" "&amp;Q5&amp;" en comparación al mismo mes del año anterior"</f>
        <v>1.1. Producción de energía eléctrica en marzo 2021 en comparación al mismo mes del año anterior</v>
      </c>
      <c r="B9" s="40"/>
      <c r="C9" s="40"/>
      <c r="D9" s="40"/>
      <c r="E9" s="40"/>
      <c r="F9" s="40"/>
      <c r="G9" s="40"/>
      <c r="H9" s="40"/>
      <c r="I9" s="40"/>
      <c r="J9" s="40"/>
      <c r="K9" s="40"/>
      <c r="L9" s="40"/>
      <c r="M9" s="40"/>
      <c r="N9" s="790"/>
      <c r="O9" s="790"/>
      <c r="P9" s="790"/>
      <c r="Q9" s="790"/>
    </row>
    <row r="10" spans="1:17" ht="11.25" customHeight="1">
      <c r="A10" s="47"/>
      <c r="B10" s="44"/>
      <c r="C10" s="44"/>
      <c r="D10" s="44"/>
      <c r="E10" s="44"/>
      <c r="F10" s="44"/>
      <c r="G10" s="44"/>
      <c r="H10" s="44"/>
      <c r="I10" s="44"/>
      <c r="J10" s="44"/>
      <c r="K10" s="44"/>
      <c r="L10" s="44"/>
      <c r="M10" s="44"/>
      <c r="N10" s="791"/>
      <c r="O10" s="791"/>
      <c r="P10" s="791"/>
      <c r="Q10" s="791"/>
    </row>
    <row r="11" spans="1:17" ht="11.25" customHeight="1">
      <c r="A11" s="50"/>
      <c r="B11" s="50"/>
      <c r="C11" s="50"/>
      <c r="D11" s="50"/>
      <c r="E11" s="50"/>
      <c r="F11" s="50"/>
      <c r="G11" s="50"/>
      <c r="H11" s="50"/>
      <c r="I11" s="50"/>
      <c r="J11" s="50"/>
      <c r="K11" s="50"/>
      <c r="L11" s="50"/>
      <c r="M11" s="50"/>
      <c r="N11" s="795"/>
      <c r="O11" s="795"/>
      <c r="P11" s="795"/>
      <c r="Q11" s="795"/>
    </row>
    <row r="12" spans="1:17" ht="27" customHeight="1">
      <c r="A12" s="62" t="s">
        <v>23</v>
      </c>
      <c r="B12" s="817" t="s">
        <v>605</v>
      </c>
      <c r="C12" s="817"/>
      <c r="D12" s="817"/>
      <c r="E12" s="817"/>
      <c r="F12" s="817"/>
      <c r="G12" s="817"/>
      <c r="H12" s="817"/>
      <c r="I12" s="817"/>
      <c r="J12" s="817"/>
      <c r="K12" s="817"/>
      <c r="L12" s="817"/>
      <c r="M12" s="817"/>
      <c r="N12" s="791"/>
      <c r="O12" s="791"/>
      <c r="P12" s="791"/>
      <c r="Q12" s="791"/>
    </row>
    <row r="13" spans="1:17" ht="12.75" customHeight="1">
      <c r="A13" s="40"/>
      <c r="B13" s="64"/>
      <c r="C13" s="64"/>
      <c r="D13" s="64"/>
      <c r="E13" s="64"/>
      <c r="F13" s="64"/>
      <c r="G13" s="64"/>
      <c r="H13" s="64"/>
      <c r="I13" s="64"/>
      <c r="J13" s="64"/>
      <c r="K13" s="64"/>
      <c r="L13" s="64"/>
      <c r="M13" s="44"/>
      <c r="N13" s="791"/>
      <c r="O13" s="791"/>
      <c r="P13" s="791"/>
      <c r="Q13" s="791"/>
    </row>
    <row r="14" spans="1:17" ht="28.5" customHeight="1">
      <c r="A14" s="62" t="s">
        <v>23</v>
      </c>
      <c r="B14" s="817" t="s">
        <v>606</v>
      </c>
      <c r="C14" s="817"/>
      <c r="D14" s="817"/>
      <c r="E14" s="817"/>
      <c r="F14" s="817"/>
      <c r="G14" s="817"/>
      <c r="H14" s="817"/>
      <c r="I14" s="817"/>
      <c r="J14" s="817"/>
      <c r="K14" s="817"/>
      <c r="L14" s="817"/>
      <c r="M14" s="817"/>
      <c r="N14" s="791"/>
      <c r="O14" s="791"/>
      <c r="P14" s="791"/>
      <c r="Q14" s="791"/>
    </row>
    <row r="15" spans="1:17" ht="15" customHeight="1">
      <c r="A15" s="63"/>
      <c r="B15" s="64"/>
      <c r="C15" s="64"/>
      <c r="D15" s="64"/>
      <c r="E15" s="64"/>
      <c r="F15" s="64"/>
      <c r="G15" s="64"/>
      <c r="H15" s="64"/>
      <c r="I15" s="64"/>
      <c r="J15" s="64"/>
      <c r="K15" s="64"/>
      <c r="L15" s="64"/>
      <c r="M15" s="44"/>
      <c r="N15" s="791"/>
      <c r="O15" s="791"/>
      <c r="P15" s="791"/>
      <c r="Q15" s="791"/>
    </row>
    <row r="16" spans="1:17" ht="59.25" customHeight="1">
      <c r="A16" s="62" t="s">
        <v>23</v>
      </c>
      <c r="B16" s="817" t="s">
        <v>607</v>
      </c>
      <c r="C16" s="817"/>
      <c r="D16" s="817"/>
      <c r="E16" s="817"/>
      <c r="F16" s="817"/>
      <c r="G16" s="817"/>
      <c r="H16" s="817"/>
      <c r="I16" s="817"/>
      <c r="J16" s="817"/>
      <c r="K16" s="817"/>
      <c r="L16" s="817"/>
      <c r="M16" s="817"/>
      <c r="N16" s="791"/>
      <c r="O16" s="791"/>
      <c r="P16" s="791"/>
      <c r="Q16" s="791"/>
    </row>
    <row r="17" spans="1:18" ht="17.25" customHeight="1">
      <c r="A17" s="44"/>
      <c r="B17" s="44"/>
      <c r="C17" s="44"/>
      <c r="D17" s="44"/>
      <c r="E17" s="44"/>
      <c r="F17" s="44"/>
      <c r="G17" s="44"/>
      <c r="H17" s="44"/>
      <c r="I17" s="44"/>
      <c r="J17" s="44"/>
      <c r="K17" s="44"/>
      <c r="L17" s="44"/>
      <c r="M17" s="44"/>
      <c r="N17" s="791"/>
      <c r="O17" s="791"/>
      <c r="P17" s="791"/>
      <c r="Q17" s="791"/>
    </row>
    <row r="18" spans="1:18" ht="25.5" customHeight="1">
      <c r="A18" s="61" t="s">
        <v>23</v>
      </c>
      <c r="B18" s="816" t="s">
        <v>608</v>
      </c>
      <c r="C18" s="816"/>
      <c r="D18" s="816"/>
      <c r="E18" s="816"/>
      <c r="F18" s="816"/>
      <c r="G18" s="816"/>
      <c r="H18" s="816"/>
      <c r="I18" s="816"/>
      <c r="J18" s="816"/>
      <c r="K18" s="816"/>
      <c r="L18" s="816"/>
      <c r="M18" s="816"/>
      <c r="N18" s="791"/>
      <c r="O18" s="791"/>
      <c r="P18" s="791"/>
      <c r="Q18" s="791"/>
    </row>
    <row r="19" spans="1:18" ht="11.25" customHeight="1">
      <c r="A19" s="44"/>
      <c r="B19" s="44"/>
      <c r="C19" s="44"/>
      <c r="D19" s="44"/>
      <c r="E19" s="44"/>
      <c r="F19" s="44"/>
      <c r="G19" s="44"/>
      <c r="H19" s="44"/>
      <c r="I19" s="44"/>
      <c r="J19" s="44"/>
      <c r="K19" s="44"/>
      <c r="L19" s="44"/>
      <c r="M19" s="44"/>
      <c r="N19" s="791"/>
      <c r="O19" s="791"/>
      <c r="P19" s="791"/>
      <c r="Q19" s="791"/>
    </row>
    <row r="20" spans="1:18" ht="15.75" customHeight="1">
      <c r="A20" s="44"/>
      <c r="B20" s="44"/>
      <c r="C20" s="815" t="str">
        <f>+UPPER(Q4)&amp;" "&amp;Q5</f>
        <v>MARZO 2021</v>
      </c>
      <c r="D20" s="815"/>
      <c r="E20" s="815"/>
      <c r="F20" s="40"/>
      <c r="G20" s="40"/>
      <c r="H20" s="40"/>
      <c r="I20" s="815" t="str">
        <f>+UPPER(Q4)&amp;" "&amp;Q5-1</f>
        <v>MARZO 2020</v>
      </c>
      <c r="J20" s="815"/>
      <c r="K20" s="815"/>
      <c r="L20" s="44"/>
      <c r="M20" s="44"/>
      <c r="Q20" s="791"/>
    </row>
    <row r="21" spans="1:18" ht="11.25" customHeight="1">
      <c r="A21" s="44"/>
      <c r="B21" s="44"/>
      <c r="C21" s="44"/>
      <c r="D21" s="44"/>
      <c r="E21" s="44"/>
      <c r="F21" s="44"/>
      <c r="G21" s="44"/>
      <c r="H21" s="44"/>
      <c r="I21" s="44"/>
      <c r="J21" s="44"/>
      <c r="K21" s="44"/>
      <c r="L21" s="44"/>
      <c r="M21" s="44"/>
      <c r="Q21" s="791"/>
    </row>
    <row r="22" spans="1:18" ht="11.25" customHeight="1">
      <c r="A22" s="51"/>
      <c r="B22" s="52"/>
      <c r="C22" s="52"/>
      <c r="D22" s="52"/>
      <c r="E22" s="52"/>
      <c r="F22" s="52"/>
      <c r="G22" s="52"/>
      <c r="H22" s="52"/>
      <c r="I22" s="52"/>
      <c r="J22" s="52"/>
      <c r="K22" s="52"/>
      <c r="L22" s="52"/>
      <c r="M22" s="52"/>
      <c r="N22" s="796" t="s">
        <v>31</v>
      </c>
      <c r="O22" s="797"/>
      <c r="P22" s="797"/>
    </row>
    <row r="23" spans="1:18" ht="11.25" customHeight="1">
      <c r="A23" s="51"/>
      <c r="B23" s="52"/>
      <c r="C23" s="52"/>
      <c r="D23" s="52"/>
      <c r="E23" s="52"/>
      <c r="F23" s="52"/>
      <c r="G23" s="52"/>
      <c r="H23" s="52"/>
      <c r="I23" s="52"/>
      <c r="J23" s="52"/>
      <c r="K23" s="52"/>
      <c r="L23" s="52"/>
      <c r="M23" s="52"/>
      <c r="N23" s="796" t="s">
        <v>24</v>
      </c>
      <c r="O23" s="798">
        <v>3150.0460644324999</v>
      </c>
      <c r="P23" s="798">
        <v>3109.2738750449998</v>
      </c>
      <c r="Q23" s="799"/>
    </row>
    <row r="24" spans="1:18" ht="11.25" customHeight="1">
      <c r="A24" s="44"/>
      <c r="B24" s="44"/>
      <c r="C24" s="44"/>
      <c r="D24" s="44"/>
      <c r="E24" s="43"/>
      <c r="F24" s="44"/>
      <c r="G24" s="44"/>
      <c r="H24" s="44"/>
      <c r="I24" s="44"/>
      <c r="J24" s="44"/>
      <c r="K24" s="44"/>
      <c r="L24" s="44"/>
      <c r="M24" s="43"/>
      <c r="N24" s="799" t="s">
        <v>25</v>
      </c>
      <c r="O24" s="800">
        <v>1236.8221164325</v>
      </c>
      <c r="P24" s="800">
        <v>673.84085703500011</v>
      </c>
      <c r="Q24" s="717"/>
      <c r="R24" s="717"/>
    </row>
    <row r="25" spans="1:18" ht="11.25" customHeight="1">
      <c r="A25" s="44"/>
      <c r="B25" s="44"/>
      <c r="C25" s="44"/>
      <c r="D25" s="44"/>
      <c r="E25" s="44"/>
      <c r="F25" s="44"/>
      <c r="G25" s="44"/>
      <c r="H25" s="44"/>
      <c r="I25" s="44"/>
      <c r="J25" s="53"/>
      <c r="K25" s="53"/>
      <c r="L25" s="44"/>
      <c r="M25" s="44"/>
      <c r="N25" s="799" t="s">
        <v>26</v>
      </c>
      <c r="O25" s="800">
        <v>7.0483043074999996</v>
      </c>
      <c r="P25" s="800">
        <v>0</v>
      </c>
      <c r="Q25" s="796"/>
    </row>
    <row r="26" spans="1:18" ht="11.25" customHeight="1">
      <c r="A26" s="44"/>
      <c r="B26" s="44"/>
      <c r="C26" s="44"/>
      <c r="D26" s="44"/>
      <c r="E26" s="44"/>
      <c r="F26" s="44"/>
      <c r="G26" s="44"/>
      <c r="H26" s="44"/>
      <c r="I26" s="44"/>
      <c r="J26" s="53"/>
      <c r="K26" s="53"/>
      <c r="L26" s="44"/>
      <c r="M26" s="44"/>
      <c r="N26" s="796" t="s">
        <v>27</v>
      </c>
      <c r="O26" s="798">
        <v>1.6421098025000003</v>
      </c>
      <c r="P26" s="798">
        <v>2.2965012200000001</v>
      </c>
      <c r="Q26" s="796"/>
    </row>
    <row r="27" spans="1:18" ht="11.25" customHeight="1">
      <c r="A27" s="44"/>
      <c r="B27" s="44"/>
      <c r="C27" s="44"/>
      <c r="D27" s="44"/>
      <c r="E27" s="44"/>
      <c r="F27" s="44"/>
      <c r="G27" s="44"/>
      <c r="H27" s="44"/>
      <c r="I27" s="44"/>
      <c r="J27" s="53"/>
      <c r="K27" s="44"/>
      <c r="L27" s="44"/>
      <c r="M27" s="44"/>
      <c r="N27" s="796" t="s">
        <v>28</v>
      </c>
      <c r="O27" s="798">
        <v>24.143106964999998</v>
      </c>
      <c r="P27" s="798">
        <v>23.211399157499997</v>
      </c>
      <c r="Q27" s="796"/>
    </row>
    <row r="28" spans="1:18" ht="11.25" customHeight="1">
      <c r="A28" s="44"/>
      <c r="B28" s="44"/>
      <c r="C28" s="53"/>
      <c r="D28" s="53"/>
      <c r="E28" s="53"/>
      <c r="F28" s="53"/>
      <c r="G28" s="53"/>
      <c r="H28" s="53"/>
      <c r="I28" s="53"/>
      <c r="J28" s="53"/>
      <c r="K28" s="53"/>
      <c r="L28" s="44"/>
      <c r="M28" s="44"/>
      <c r="N28" s="796" t="s">
        <v>29</v>
      </c>
      <c r="O28" s="798">
        <v>135.84444717</v>
      </c>
      <c r="P28" s="798">
        <v>130.312314775</v>
      </c>
      <c r="Q28" s="796"/>
    </row>
    <row r="29" spans="1:18" ht="11.25" customHeight="1">
      <c r="A29" s="44"/>
      <c r="B29" s="44"/>
      <c r="C29" s="53"/>
      <c r="D29" s="53"/>
      <c r="E29" s="53"/>
      <c r="F29" s="53"/>
      <c r="G29" s="53"/>
      <c r="H29" s="53"/>
      <c r="I29" s="53"/>
      <c r="J29" s="53"/>
      <c r="K29" s="53"/>
      <c r="L29" s="44"/>
      <c r="M29" s="44"/>
      <c r="N29" s="796" t="s">
        <v>30</v>
      </c>
      <c r="O29" s="798">
        <v>63.758781977499993</v>
      </c>
      <c r="P29" s="798">
        <v>60.122201322499997</v>
      </c>
      <c r="Q29" s="796"/>
    </row>
    <row r="30" spans="1:18" ht="11.25" customHeight="1">
      <c r="A30" s="44"/>
      <c r="B30" s="44"/>
      <c r="C30" s="53"/>
      <c r="D30" s="53"/>
      <c r="E30" s="53"/>
      <c r="F30" s="53"/>
      <c r="G30" s="53"/>
      <c r="H30" s="53"/>
      <c r="I30" s="53"/>
      <c r="J30" s="53"/>
      <c r="K30" s="53"/>
      <c r="L30" s="44"/>
      <c r="M30" s="44"/>
      <c r="N30" s="796"/>
      <c r="O30" s="796"/>
      <c r="P30" s="796"/>
      <c r="Q30" s="796"/>
    </row>
    <row r="31" spans="1:18" ht="11.25" customHeight="1">
      <c r="A31" s="44"/>
      <c r="B31" s="44"/>
      <c r="C31" s="53"/>
      <c r="D31" s="53"/>
      <c r="E31" s="53"/>
      <c r="F31" s="53"/>
      <c r="G31" s="53"/>
      <c r="H31" s="53"/>
      <c r="I31" s="53"/>
      <c r="J31" s="53"/>
      <c r="K31" s="53"/>
      <c r="L31" s="44"/>
      <c r="M31" s="44"/>
      <c r="O31" s="718"/>
      <c r="P31" s="718"/>
      <c r="Q31" s="801"/>
    </row>
    <row r="32" spans="1:18" ht="11.25" customHeight="1">
      <c r="A32" s="44"/>
      <c r="B32" s="44"/>
      <c r="C32" s="53"/>
      <c r="D32" s="53"/>
      <c r="E32" s="53"/>
      <c r="F32" s="53"/>
      <c r="G32" s="53"/>
      <c r="H32" s="53"/>
      <c r="I32" s="53"/>
      <c r="J32" s="53"/>
      <c r="K32" s="53"/>
      <c r="L32" s="44"/>
      <c r="M32" s="44"/>
      <c r="Q32" s="791"/>
    </row>
    <row r="33" spans="1:17" ht="11.25" customHeight="1">
      <c r="A33" s="44"/>
      <c r="B33" s="44"/>
      <c r="C33" s="53"/>
      <c r="D33" s="53"/>
      <c r="E33" s="53"/>
      <c r="F33" s="53"/>
      <c r="G33" s="53"/>
      <c r="H33" s="53"/>
      <c r="I33" s="53"/>
      <c r="J33" s="53"/>
      <c r="K33" s="53"/>
      <c r="L33" s="44"/>
      <c r="M33" s="44"/>
      <c r="Q33" s="791"/>
    </row>
    <row r="34" spans="1:17" ht="11.25" customHeight="1">
      <c r="A34" s="44"/>
      <c r="B34" s="44"/>
      <c r="C34" s="53"/>
      <c r="D34" s="53"/>
      <c r="E34" s="53"/>
      <c r="F34" s="53"/>
      <c r="G34" s="53"/>
      <c r="H34" s="53"/>
      <c r="I34" s="53"/>
      <c r="J34" s="53"/>
      <c r="K34" s="53"/>
      <c r="L34" s="44"/>
      <c r="M34" s="44"/>
      <c r="Q34" s="791"/>
    </row>
    <row r="35" spans="1:17" ht="11.25" customHeight="1">
      <c r="A35" s="54"/>
      <c r="B35" s="54"/>
      <c r="C35" s="55"/>
      <c r="D35" s="55"/>
      <c r="E35" s="55"/>
      <c r="F35" s="55"/>
      <c r="G35" s="55"/>
      <c r="H35" s="55"/>
      <c r="I35" s="55"/>
      <c r="J35" s="54"/>
      <c r="K35" s="54"/>
      <c r="L35" s="54"/>
      <c r="M35" s="54"/>
      <c r="Q35" s="791"/>
    </row>
    <row r="36" spans="1:17" ht="11.25" customHeight="1">
      <c r="A36" s="54"/>
      <c r="B36" s="54"/>
      <c r="C36" s="55"/>
      <c r="D36" s="55"/>
      <c r="E36" s="55"/>
      <c r="F36" s="55"/>
      <c r="G36" s="55"/>
      <c r="H36" s="55"/>
      <c r="I36" s="55"/>
      <c r="J36" s="54"/>
      <c r="K36" s="54"/>
      <c r="L36" s="54"/>
      <c r="M36" s="54"/>
      <c r="Q36" s="791"/>
    </row>
    <row r="37" spans="1:17" ht="11.25" customHeight="1">
      <c r="A37" s="54"/>
      <c r="B37" s="54"/>
      <c r="C37" s="55"/>
      <c r="D37" s="55"/>
      <c r="E37" s="55"/>
      <c r="F37" s="55"/>
      <c r="G37" s="55"/>
      <c r="H37" s="55"/>
      <c r="I37" s="55"/>
      <c r="J37" s="54"/>
      <c r="K37" s="54"/>
      <c r="L37" s="54"/>
      <c r="M37" s="54"/>
      <c r="N37" s="791"/>
      <c r="O37" s="791"/>
      <c r="P37" s="791"/>
      <c r="Q37" s="791"/>
    </row>
    <row r="38" spans="1:17" ht="11.25" customHeight="1">
      <c r="A38" s="54"/>
      <c r="B38" s="54"/>
      <c r="C38" s="55"/>
      <c r="D38" s="55"/>
      <c r="E38" s="55"/>
      <c r="F38" s="55"/>
      <c r="G38" s="55"/>
      <c r="H38" s="55"/>
      <c r="I38" s="55"/>
      <c r="J38" s="54"/>
      <c r="K38" s="54"/>
      <c r="L38" s="54"/>
      <c r="M38" s="54"/>
      <c r="N38" s="791"/>
      <c r="O38" s="791"/>
      <c r="P38" s="791"/>
      <c r="Q38" s="791"/>
    </row>
    <row r="39" spans="1:17" ht="11.25" customHeight="1">
      <c r="A39" s="54"/>
      <c r="B39" s="54"/>
      <c r="C39" s="55"/>
      <c r="D39" s="55"/>
      <c r="E39" s="55"/>
      <c r="F39" s="55"/>
      <c r="G39" s="55"/>
      <c r="H39" s="55"/>
      <c r="I39" s="55"/>
      <c r="J39" s="54"/>
      <c r="K39" s="54"/>
      <c r="L39" s="54"/>
      <c r="M39" s="54"/>
      <c r="N39" s="791"/>
      <c r="O39" s="791"/>
      <c r="P39" s="791"/>
      <c r="Q39" s="791"/>
    </row>
    <row r="40" spans="1:17" ht="11.25" customHeight="1">
      <c r="A40" s="54"/>
      <c r="B40" s="54"/>
      <c r="C40" s="55"/>
      <c r="D40" s="55"/>
      <c r="E40" s="55"/>
      <c r="F40" s="55"/>
      <c r="G40" s="55"/>
      <c r="H40" s="55"/>
      <c r="I40" s="55"/>
      <c r="J40" s="54"/>
      <c r="K40" s="54"/>
      <c r="L40" s="54"/>
      <c r="M40" s="54"/>
      <c r="N40" s="791"/>
      <c r="O40" s="791"/>
      <c r="P40" s="791"/>
      <c r="Q40" s="791"/>
    </row>
    <row r="41" spans="1:17" ht="11.25" customHeight="1">
      <c r="A41" s="54"/>
      <c r="B41" s="54"/>
      <c r="C41" s="54"/>
      <c r="D41" s="55"/>
      <c r="E41" s="55"/>
      <c r="F41" s="55"/>
      <c r="G41" s="55"/>
      <c r="H41" s="54"/>
      <c r="I41" s="54"/>
      <c r="J41" s="54"/>
      <c r="K41" s="54"/>
      <c r="L41" s="54"/>
      <c r="M41" s="54"/>
      <c r="N41" s="791"/>
      <c r="O41" s="791"/>
      <c r="P41" s="791"/>
      <c r="Q41" s="791"/>
    </row>
    <row r="42" spans="1:17" ht="11.25" customHeight="1">
      <c r="A42" s="54"/>
      <c r="B42" s="54"/>
      <c r="C42" s="55"/>
      <c r="D42" s="55"/>
      <c r="E42" s="55"/>
      <c r="F42" s="55"/>
      <c r="G42" s="55"/>
      <c r="H42" s="55"/>
      <c r="I42" s="55"/>
      <c r="J42" s="54"/>
      <c r="K42" s="54"/>
      <c r="L42" s="54"/>
      <c r="M42" s="54"/>
      <c r="N42" s="791"/>
      <c r="O42" s="791"/>
      <c r="P42" s="791"/>
      <c r="Q42" s="791"/>
    </row>
    <row r="43" spans="1:17" ht="11.25" customHeight="1">
      <c r="A43" s="54"/>
      <c r="B43" s="54"/>
      <c r="C43" s="55"/>
      <c r="D43" s="55"/>
      <c r="E43" s="55"/>
      <c r="F43" s="55"/>
      <c r="G43" s="55"/>
      <c r="H43" s="55"/>
      <c r="I43" s="55"/>
      <c r="J43" s="54"/>
      <c r="K43" s="54"/>
      <c r="L43" s="54"/>
      <c r="M43" s="54"/>
      <c r="N43" s="791"/>
      <c r="O43" s="791"/>
      <c r="P43" s="791"/>
      <c r="Q43" s="791"/>
    </row>
    <row r="44" spans="1:17" ht="11.25" customHeight="1">
      <c r="A44" s="54"/>
      <c r="B44" s="54"/>
      <c r="C44" s="55"/>
      <c r="D44" s="55"/>
      <c r="E44" s="55"/>
      <c r="F44" s="55"/>
      <c r="G44" s="55"/>
      <c r="H44" s="55"/>
      <c r="I44" s="55"/>
      <c r="J44" s="54"/>
      <c r="K44" s="54"/>
      <c r="L44" s="54"/>
      <c r="M44" s="54"/>
      <c r="N44" s="791"/>
      <c r="O44" s="791"/>
      <c r="P44" s="791"/>
      <c r="Q44" s="791"/>
    </row>
    <row r="45" spans="1:17" ht="11.25" customHeight="1">
      <c r="A45" s="54"/>
      <c r="B45" s="54"/>
      <c r="C45" s="55"/>
      <c r="D45" s="55"/>
      <c r="E45" s="55"/>
      <c r="F45" s="55"/>
      <c r="G45" s="55"/>
      <c r="H45" s="55"/>
      <c r="I45" s="55"/>
      <c r="J45" s="54"/>
      <c r="K45" s="54"/>
      <c r="L45" s="54"/>
      <c r="M45" s="54"/>
      <c r="N45" s="791"/>
      <c r="O45" s="791"/>
      <c r="P45" s="791"/>
      <c r="Q45" s="791"/>
    </row>
    <row r="46" spans="1:17" ht="11.25" customHeight="1">
      <c r="A46" s="54"/>
      <c r="B46" s="54"/>
      <c r="C46" s="54"/>
      <c r="D46" s="54"/>
      <c r="E46" s="54"/>
      <c r="F46" s="54"/>
      <c r="G46" s="54"/>
      <c r="H46" s="54"/>
      <c r="I46" s="54"/>
      <c r="J46" s="54"/>
      <c r="K46" s="54"/>
      <c r="L46" s="54"/>
      <c r="M46" s="54"/>
      <c r="N46" s="791"/>
      <c r="O46" s="791"/>
      <c r="P46" s="791"/>
      <c r="Q46" s="791"/>
    </row>
    <row r="47" spans="1:17" ht="16.5" customHeight="1">
      <c r="A47" s="54"/>
      <c r="B47" s="814" t="str">
        <f>"Total = "&amp;TEXT(ROUND(SUM(O23:O29),2),"0 000,00")&amp;" GWh"</f>
        <v>Total = 4 619,30 GWh</v>
      </c>
      <c r="C47" s="814"/>
      <c r="D47" s="814"/>
      <c r="E47" s="814"/>
      <c r="F47" s="54"/>
      <c r="G47" s="54"/>
      <c r="H47" s="813" t="str">
        <f>"Total = "&amp;TEXT(ROUND(SUM(P23:P29),2),"0 000,00")&amp;" GWh"</f>
        <v>Total = 3 999,06 GWh</v>
      </c>
      <c r="I47" s="813"/>
      <c r="J47" s="813"/>
      <c r="K47" s="813"/>
      <c r="L47" s="54"/>
      <c r="M47" s="54"/>
      <c r="N47" s="791"/>
      <c r="O47" s="791"/>
      <c r="P47" s="791"/>
      <c r="Q47" s="791"/>
    </row>
    <row r="48" spans="1:17" ht="11.25" customHeight="1">
      <c r="H48" s="54"/>
      <c r="I48" s="54"/>
      <c r="J48" s="54"/>
      <c r="K48" s="54"/>
      <c r="L48" s="54"/>
      <c r="M48" s="54"/>
      <c r="N48" s="791"/>
      <c r="O48" s="791"/>
      <c r="P48" s="791"/>
      <c r="Q48" s="791"/>
    </row>
    <row r="49" spans="1:17" ht="11.25" customHeight="1">
      <c r="B49" s="812" t="str">
        <f>"Gráfico 1: Comparación de producción mensual de electricidad en "&amp;Q4&amp;" por tipo de recurso energético."</f>
        <v>Gráfico 1: Comparación de producción mensual de electricidad en marzo por tipo de recurso energético.</v>
      </c>
      <c r="C49" s="812"/>
      <c r="D49" s="812"/>
      <c r="E49" s="812"/>
      <c r="F49" s="812"/>
      <c r="G49" s="812"/>
      <c r="H49" s="812"/>
      <c r="I49" s="812"/>
      <c r="J49" s="812"/>
      <c r="K49" s="812"/>
      <c r="L49" s="812"/>
      <c r="M49" s="228"/>
      <c r="N49" s="802"/>
      <c r="O49" s="791"/>
      <c r="P49" s="791"/>
      <c r="Q49" s="791"/>
    </row>
    <row r="50" spans="1:17" ht="11.25" customHeight="1">
      <c r="B50" s="610"/>
      <c r="C50" s="610"/>
      <c r="D50" s="610"/>
      <c r="E50" s="610"/>
      <c r="F50" s="610"/>
      <c r="G50" s="610"/>
      <c r="H50" s="610"/>
      <c r="I50" s="610"/>
      <c r="J50" s="610"/>
      <c r="K50" s="610"/>
      <c r="L50" s="610"/>
      <c r="M50" s="228"/>
      <c r="N50" s="802"/>
      <c r="O50" s="791"/>
      <c r="P50" s="791"/>
      <c r="Q50" s="791"/>
    </row>
    <row r="51" spans="1:17" ht="21.75" customHeight="1">
      <c r="B51" s="809"/>
      <c r="C51" s="810"/>
      <c r="D51" s="810"/>
      <c r="E51" s="810"/>
      <c r="F51" s="810"/>
      <c r="G51" s="810"/>
      <c r="H51" s="810"/>
      <c r="I51" s="810"/>
      <c r="J51" s="810"/>
      <c r="K51" s="810"/>
      <c r="L51" s="810"/>
      <c r="M51" s="810"/>
      <c r="N51" s="802"/>
      <c r="O51" s="791"/>
      <c r="P51" s="791"/>
      <c r="Q51" s="791"/>
    </row>
    <row r="52" spans="1:17" ht="11.25" customHeight="1">
      <c r="A52" s="54"/>
      <c r="B52" s="54"/>
      <c r="C52" s="45"/>
      <c r="D52" s="45"/>
      <c r="E52" s="54"/>
      <c r="F52" s="54"/>
      <c r="G52" s="54"/>
      <c r="H52" s="54"/>
      <c r="I52" s="54"/>
      <c r="J52" s="54"/>
      <c r="K52" s="54"/>
      <c r="L52" s="54"/>
      <c r="M52" s="54"/>
      <c r="N52" s="791"/>
      <c r="O52" s="791"/>
      <c r="P52" s="791"/>
      <c r="Q52" s="791"/>
    </row>
    <row r="53" spans="1:17" ht="11.25" customHeight="1">
      <c r="A53" s="54"/>
      <c r="B53" s="54"/>
      <c r="C53" s="54"/>
      <c r="D53" s="54"/>
      <c r="E53" s="54"/>
      <c r="F53" s="54"/>
      <c r="G53" s="54"/>
      <c r="H53" s="54"/>
      <c r="I53" s="54"/>
      <c r="J53" s="54"/>
      <c r="K53" s="54"/>
      <c r="L53" s="54"/>
      <c r="M53" s="54"/>
      <c r="N53" s="791"/>
      <c r="O53" s="791"/>
      <c r="P53" s="791"/>
      <c r="Q53" s="791"/>
    </row>
    <row r="54" spans="1:17" ht="11.25" customHeight="1">
      <c r="A54" s="54"/>
      <c r="B54" s="54"/>
      <c r="C54" s="54"/>
      <c r="D54" s="54"/>
      <c r="E54" s="54"/>
      <c r="F54" s="54"/>
      <c r="G54" s="54"/>
      <c r="H54" s="54"/>
      <c r="I54" s="54"/>
      <c r="J54" s="54"/>
      <c r="K54" s="54"/>
      <c r="L54" s="54"/>
      <c r="M54" s="54"/>
      <c r="N54" s="791"/>
      <c r="O54" s="791"/>
      <c r="P54" s="791"/>
      <c r="Q54" s="791"/>
    </row>
    <row r="55" spans="1:17" ht="11.25" customHeight="1">
      <c r="A55" s="54"/>
      <c r="B55" s="54"/>
      <c r="C55" s="54"/>
      <c r="D55" s="54"/>
      <c r="E55" s="54"/>
      <c r="F55" s="54"/>
      <c r="G55" s="54"/>
      <c r="H55" s="54"/>
      <c r="I55" s="54"/>
      <c r="J55" s="54"/>
      <c r="K55" s="54"/>
      <c r="L55" s="54"/>
      <c r="M55" s="54"/>
      <c r="N55" s="791"/>
      <c r="O55" s="791"/>
      <c r="P55" s="791"/>
      <c r="Q55" s="791"/>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Marzo 2021
INFSGI-MES-03-2021
13/04/2021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O61" sqref="O61"/>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1"/>
  <sheetViews>
    <sheetView showGridLines="0" view="pageBreakPreview" zoomScale="115" zoomScaleNormal="100" zoomScaleSheetLayoutView="115" workbookViewId="0">
      <selection activeCell="O61" sqref="O61"/>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1" ht="16.5" customHeight="1">
      <c r="A2" s="823" t="s">
        <v>575</v>
      </c>
      <c r="B2" s="823"/>
      <c r="C2" s="823"/>
      <c r="D2" s="823"/>
      <c r="E2" s="823"/>
      <c r="F2" s="823"/>
      <c r="G2" s="823"/>
      <c r="H2" s="823"/>
      <c r="I2" s="823"/>
      <c r="J2" s="823"/>
      <c r="K2" s="419"/>
    </row>
    <row r="3" spans="1:11" ht="12" customHeight="1">
      <c r="A3" s="137"/>
      <c r="B3" s="209"/>
      <c r="C3" s="219"/>
      <c r="D3" s="220"/>
      <c r="E3" s="220"/>
      <c r="F3" s="221"/>
      <c r="G3" s="222"/>
      <c r="H3" s="222"/>
      <c r="I3" s="172"/>
      <c r="J3" s="221"/>
    </row>
    <row r="4" spans="1:11" ht="11.25" customHeight="1">
      <c r="A4" s="187" t="s">
        <v>441</v>
      </c>
      <c r="B4" s="209"/>
      <c r="C4" s="219"/>
      <c r="D4" s="220"/>
      <c r="E4" s="220"/>
      <c r="F4" s="221"/>
      <c r="G4" s="222"/>
      <c r="H4" s="222"/>
      <c r="I4" s="172"/>
      <c r="J4" s="221"/>
      <c r="K4" s="300"/>
    </row>
    <row r="5" spans="1:11" ht="11.25" customHeight="1">
      <c r="A5" s="187"/>
      <c r="B5" s="209"/>
      <c r="C5" s="219"/>
      <c r="D5" s="220"/>
      <c r="E5" s="220"/>
      <c r="F5" s="221"/>
      <c r="G5" s="222"/>
      <c r="H5" s="222"/>
      <c r="I5" s="172"/>
      <c r="J5" s="221"/>
      <c r="K5" s="300"/>
    </row>
    <row r="6" spans="1:11" ht="15" customHeight="1">
      <c r="A6" s="137" t="s">
        <v>609</v>
      </c>
      <c r="B6" s="209"/>
      <c r="C6" s="219"/>
      <c r="D6" s="220"/>
      <c r="E6" s="220"/>
      <c r="F6" s="221"/>
      <c r="G6" s="222"/>
      <c r="H6" s="222"/>
      <c r="I6" s="172"/>
      <c r="J6" s="221"/>
      <c r="K6" s="300"/>
    </row>
    <row r="7" spans="1:11" ht="15" customHeight="1">
      <c r="A7" s="137"/>
      <c r="B7" s="209"/>
      <c r="C7" s="219"/>
      <c r="D7" s="220"/>
      <c r="E7" s="220"/>
      <c r="F7" s="221"/>
      <c r="G7" s="222"/>
      <c r="H7" s="222"/>
      <c r="I7" s="172"/>
      <c r="J7" s="221"/>
      <c r="K7" s="300"/>
    </row>
    <row r="8" spans="1:11" ht="15" customHeight="1">
      <c r="A8" s="137"/>
      <c r="B8" s="209"/>
      <c r="C8" s="219"/>
      <c r="D8" s="220"/>
      <c r="E8" s="220"/>
      <c r="F8" s="221"/>
      <c r="G8" s="222"/>
      <c r="H8" s="222"/>
      <c r="I8" s="172"/>
      <c r="J8" s="221"/>
      <c r="K8" s="300"/>
    </row>
    <row r="9" spans="1:11" ht="15" customHeight="1">
      <c r="A9" s="187" t="s">
        <v>600</v>
      </c>
      <c r="B9" s="209"/>
      <c r="C9" s="219"/>
      <c r="D9" s="220"/>
      <c r="E9" s="220"/>
      <c r="F9" s="221"/>
      <c r="G9" s="222"/>
      <c r="H9" s="222"/>
      <c r="I9" s="172"/>
      <c r="J9" s="221"/>
      <c r="K9" s="300"/>
    </row>
    <row r="10" spans="1:11" ht="15" customHeight="1">
      <c r="A10" s="137"/>
      <c r="B10" s="209"/>
      <c r="C10" s="219"/>
      <c r="D10" s="220"/>
      <c r="E10" s="220"/>
      <c r="F10" s="221"/>
      <c r="G10" s="222"/>
      <c r="H10" s="222"/>
      <c r="I10" s="172"/>
      <c r="J10" s="221"/>
      <c r="K10" s="300"/>
    </row>
    <row r="11" spans="1:11" ht="33.6" customHeight="1">
      <c r="A11" s="645" t="s">
        <v>466</v>
      </c>
      <c r="B11" s="646" t="s">
        <v>212</v>
      </c>
      <c r="C11" s="646" t="s">
        <v>467</v>
      </c>
      <c r="D11" s="646" t="s">
        <v>468</v>
      </c>
      <c r="E11" s="646" t="s">
        <v>469</v>
      </c>
      <c r="F11" s="647" t="s">
        <v>470</v>
      </c>
      <c r="G11" s="648" t="s">
        <v>471</v>
      </c>
      <c r="H11" s="647" t="s">
        <v>472</v>
      </c>
      <c r="I11" s="648" t="s">
        <v>473</v>
      </c>
      <c r="J11" s="649" t="s">
        <v>602</v>
      </c>
      <c r="K11" s="420"/>
    </row>
    <row r="12" spans="1:11" s="223" customFormat="1" ht="39" customHeight="1">
      <c r="A12" s="774" t="s">
        <v>791</v>
      </c>
      <c r="B12" s="657" t="s">
        <v>38</v>
      </c>
      <c r="C12" s="657" t="s">
        <v>571</v>
      </c>
      <c r="D12" s="657" t="s">
        <v>599</v>
      </c>
      <c r="E12" s="657" t="s">
        <v>572</v>
      </c>
      <c r="F12" s="658" t="s">
        <v>574</v>
      </c>
      <c r="G12" s="659">
        <v>34.799999999999997</v>
      </c>
      <c r="H12" s="660">
        <v>18.37</v>
      </c>
      <c r="I12" s="660">
        <v>18.37</v>
      </c>
      <c r="J12" s="661" t="s">
        <v>597</v>
      </c>
      <c r="K12" s="421"/>
    </row>
    <row r="13" spans="1:11" s="223" customFormat="1" ht="39" customHeight="1">
      <c r="A13" s="774" t="s">
        <v>792</v>
      </c>
      <c r="B13" s="657" t="s">
        <v>38</v>
      </c>
      <c r="C13" s="657" t="s">
        <v>571</v>
      </c>
      <c r="D13" s="657" t="s">
        <v>570</v>
      </c>
      <c r="E13" s="657" t="s">
        <v>573</v>
      </c>
      <c r="F13" s="658" t="s">
        <v>574</v>
      </c>
      <c r="G13" s="659">
        <v>34.799999999999997</v>
      </c>
      <c r="H13" s="660">
        <v>18.37</v>
      </c>
      <c r="I13" s="660">
        <v>18.37</v>
      </c>
      <c r="J13" s="661" t="s">
        <v>597</v>
      </c>
      <c r="K13" s="421"/>
    </row>
    <row r="14" spans="1:11" s="223" customFormat="1" ht="28.5" customHeight="1">
      <c r="A14" s="650" t="s">
        <v>42</v>
      </c>
      <c r="B14" s="651"/>
      <c r="C14" s="651"/>
      <c r="D14" s="651"/>
      <c r="E14" s="652"/>
      <c r="F14" s="653"/>
      <c r="G14" s="654"/>
      <c r="H14" s="655">
        <f>+H12+H13</f>
        <v>36.74</v>
      </c>
      <c r="I14" s="655">
        <f>+I12+I13</f>
        <v>36.74</v>
      </c>
      <c r="J14" s="656"/>
      <c r="K14" s="421"/>
    </row>
    <row r="15" spans="1:11" s="223" customFormat="1" ht="13.2" customHeight="1">
      <c r="A15" s="662" t="s">
        <v>793</v>
      </c>
      <c r="B15" s="46"/>
      <c r="C15" s="46"/>
      <c r="D15" s="46"/>
      <c r="E15" s="46"/>
      <c r="F15" s="46"/>
      <c r="G15" s="46"/>
      <c r="H15" s="46"/>
      <c r="I15" s="46"/>
      <c r="J15" s="46"/>
      <c r="K15" s="421"/>
    </row>
    <row r="16" spans="1:11" s="223" customFormat="1" ht="13.2" customHeight="1">
      <c r="A16" s="768" t="s">
        <v>794</v>
      </c>
      <c r="B16" s="763"/>
      <c r="C16" s="763"/>
      <c r="D16" s="763"/>
      <c r="E16" s="763"/>
      <c r="F16" s="764"/>
      <c r="G16" s="765"/>
      <c r="H16" s="766"/>
      <c r="I16" s="766"/>
      <c r="J16" s="767"/>
      <c r="K16" s="421"/>
    </row>
    <row r="17" spans="1:17" s="223" customFormat="1" ht="24.75" customHeight="1">
      <c r="A17" s="602"/>
      <c r="B17" s="603"/>
      <c r="C17" s="603"/>
      <c r="D17" s="603"/>
      <c r="E17" s="603"/>
      <c r="F17" s="604"/>
      <c r="G17" s="605"/>
      <c r="H17" s="606"/>
      <c r="I17" s="606"/>
      <c r="J17" s="607"/>
      <c r="K17" s="421"/>
    </row>
    <row r="18" spans="1:17" s="223" customFormat="1" ht="13.8" customHeight="1">
      <c r="A18" s="602"/>
      <c r="B18" s="603"/>
      <c r="C18" s="603"/>
      <c r="D18" s="603"/>
      <c r="E18" s="603"/>
      <c r="F18" s="604"/>
      <c r="G18" s="605"/>
      <c r="H18" s="606"/>
      <c r="I18" s="606"/>
      <c r="J18" s="607"/>
      <c r="K18" s="421"/>
      <c r="P18" s="663"/>
      <c r="Q18" s="663"/>
    </row>
    <row r="19" spans="1:17" ht="11.25" customHeight="1">
      <c r="A19" s="187" t="s">
        <v>598</v>
      </c>
      <c r="B19" s="132"/>
      <c r="C19" s="224"/>
      <c r="D19" s="132"/>
      <c r="E19" s="132"/>
      <c r="F19" s="132"/>
      <c r="G19" s="132"/>
      <c r="H19" s="132"/>
      <c r="I19" s="132"/>
      <c r="J19" s="132"/>
      <c r="K19" s="422"/>
    </row>
    <row r="20" spans="1:17" ht="11.25" customHeight="1">
      <c r="B20" s="132"/>
      <c r="C20" s="224"/>
      <c r="D20" s="132"/>
      <c r="E20" s="132"/>
      <c r="F20" s="132"/>
      <c r="G20" s="132"/>
      <c r="H20" s="132"/>
      <c r="I20" s="132"/>
      <c r="J20" s="132"/>
      <c r="K20" s="422"/>
    </row>
    <row r="21" spans="1:17" ht="21" customHeight="1">
      <c r="B21" s="821" t="s">
        <v>216</v>
      </c>
      <c r="C21" s="822"/>
      <c r="D21" s="366" t="str">
        <f>UPPER('1. Resumen'!Q4)&amp;" "&amp;'1. Resumen'!Q5</f>
        <v>MARZO 2021</v>
      </c>
      <c r="E21" s="366" t="str">
        <f>UPPER('1. Resumen'!Q4)&amp;" "&amp;'1. Resumen'!Q5-1</f>
        <v>MARZO 2020</v>
      </c>
      <c r="F21" s="367" t="s">
        <v>217</v>
      </c>
      <c r="G21" s="225"/>
      <c r="H21" s="225"/>
      <c r="I21" s="132"/>
      <c r="J21" s="132"/>
    </row>
    <row r="22" spans="1:17" ht="9.75" customHeight="1">
      <c r="B22" s="824" t="s">
        <v>213</v>
      </c>
      <c r="C22" s="825"/>
      <c r="D22" s="355">
        <v>5183.1192474999998</v>
      </c>
      <c r="E22" s="356">
        <v>5163.1192474999998</v>
      </c>
      <c r="F22" s="769">
        <f>+D22/E22-1</f>
        <v>3.8736273638622087E-3</v>
      </c>
      <c r="G22" s="225"/>
      <c r="H22" s="225"/>
      <c r="I22" s="132"/>
      <c r="J22" s="132"/>
      <c r="K22" s="422"/>
    </row>
    <row r="23" spans="1:17" ht="9.75" customHeight="1">
      <c r="B23" s="826" t="s">
        <v>214</v>
      </c>
      <c r="C23" s="827"/>
      <c r="D23" s="357">
        <v>7398.3644999999997</v>
      </c>
      <c r="E23" s="358">
        <v>7395.9645</v>
      </c>
      <c r="F23" s="770">
        <f>+D23/E23-1</f>
        <v>3.2450128715466597E-4</v>
      </c>
      <c r="G23" s="226"/>
      <c r="H23" s="226"/>
      <c r="M23" s="423"/>
      <c r="N23" s="423"/>
      <c r="O23" s="424"/>
    </row>
    <row r="24" spans="1:17" ht="9.75" customHeight="1">
      <c r="B24" s="828" t="s">
        <v>215</v>
      </c>
      <c r="C24" s="829"/>
      <c r="D24" s="359">
        <v>375.46</v>
      </c>
      <c r="E24" s="360">
        <v>375.46</v>
      </c>
      <c r="F24" s="771">
        <f>+D24/E24-1</f>
        <v>0</v>
      </c>
      <c r="G24" s="226"/>
      <c r="H24" s="226"/>
    </row>
    <row r="25" spans="1:17" ht="9.75" customHeight="1">
      <c r="B25" s="830" t="s">
        <v>80</v>
      </c>
      <c r="C25" s="831"/>
      <c r="D25" s="361">
        <v>285.02</v>
      </c>
      <c r="E25" s="362">
        <v>285.02</v>
      </c>
      <c r="F25" s="772">
        <f>+D25/E25-1</f>
        <v>0</v>
      </c>
      <c r="G25" s="226"/>
      <c r="H25" s="226"/>
    </row>
    <row r="26" spans="1:17" ht="10.5" customHeight="1">
      <c r="B26" s="819" t="s">
        <v>197</v>
      </c>
      <c r="C26" s="820"/>
      <c r="D26" s="363">
        <f>+D22+D23+D24+D25</f>
        <v>13241.963747499998</v>
      </c>
      <c r="E26" s="364">
        <f>+E22+E23+E24+E25</f>
        <v>13219.5637475</v>
      </c>
      <c r="F26" s="773">
        <f>+D26/E26-1</f>
        <v>1.6944583367384247E-3</v>
      </c>
      <c r="G26" s="323"/>
      <c r="H26" s="226"/>
    </row>
    <row r="27" spans="1:17" ht="11.25" customHeight="1">
      <c r="B27" s="268" t="str">
        <f>"Cuadro N° 2: Comparación de la potencia instalada en el SEIN al término de "&amp;'1. Resumen'!Q4&amp;" "&amp;'1. Resumen'!Q5-1&amp;" y "&amp;'1. Resumen'!Q4&amp;" "&amp;'1. Resumen'!Q5</f>
        <v>Cuadro N° 2: Comparación de la potencia instalada en el SEIN al término de marzo 2020 y marzo 2021</v>
      </c>
      <c r="C27" s="225"/>
      <c r="D27" s="225"/>
      <c r="E27" s="225"/>
      <c r="F27" s="225"/>
      <c r="G27" s="225"/>
      <c r="H27" s="225"/>
      <c r="I27" s="132"/>
      <c r="J27" s="132"/>
      <c r="K27" s="422"/>
    </row>
    <row r="28" spans="1:17" ht="9" customHeight="1">
      <c r="B28" s="268"/>
      <c r="C28" s="225"/>
      <c r="D28" s="225"/>
      <c r="E28" s="225"/>
      <c r="F28" s="225"/>
      <c r="G28" s="225"/>
      <c r="H28" s="225"/>
      <c r="I28" s="132"/>
      <c r="J28" s="132"/>
      <c r="K28" s="422"/>
    </row>
    <row r="29" spans="1:17" ht="25.5" customHeight="1">
      <c r="B29" s="268"/>
      <c r="C29" s="225"/>
      <c r="D29" s="225"/>
      <c r="E29" s="225"/>
      <c r="F29" s="225"/>
      <c r="G29" s="225"/>
      <c r="H29" s="225"/>
      <c r="I29" s="132"/>
      <c r="J29" s="132"/>
      <c r="K29" s="422"/>
    </row>
    <row r="30" spans="1:17" ht="11.25" customHeight="1">
      <c r="B30" s="268"/>
      <c r="C30" s="225"/>
      <c r="D30" s="225"/>
      <c r="E30" s="225"/>
      <c r="F30" s="225"/>
      <c r="G30" s="225"/>
      <c r="H30" s="225"/>
      <c r="I30" s="132"/>
      <c r="J30" s="132"/>
      <c r="K30" s="422"/>
    </row>
    <row r="31" spans="1:17" ht="11.25" customHeight="1">
      <c r="A31" s="132"/>
      <c r="C31" s="226"/>
      <c r="D31" s="225"/>
      <c r="E31" s="225"/>
      <c r="F31" s="225"/>
      <c r="G31" s="225"/>
      <c r="H31" s="225"/>
      <c r="I31" s="132"/>
      <c r="J31" s="132"/>
      <c r="K31" s="422"/>
    </row>
    <row r="32" spans="1:17" ht="11.25" customHeight="1">
      <c r="A32" s="132"/>
      <c r="B32" s="132"/>
      <c r="C32" s="132"/>
      <c r="D32" s="132"/>
      <c r="E32" s="132"/>
      <c r="F32" s="132"/>
      <c r="G32" s="132"/>
      <c r="H32" s="132"/>
      <c r="I32" s="132"/>
      <c r="J32" s="132"/>
      <c r="K32" s="422"/>
    </row>
    <row r="33" spans="1:11" ht="3" customHeight="1">
      <c r="A33" s="132"/>
      <c r="B33" s="132"/>
      <c r="C33" s="132"/>
      <c r="D33" s="132"/>
      <c r="E33" s="132"/>
      <c r="F33" s="132"/>
      <c r="G33" s="132"/>
      <c r="H33" s="132"/>
      <c r="I33" s="132"/>
      <c r="J33" s="132"/>
      <c r="K33" s="422"/>
    </row>
    <row r="34" spans="1:11" hidden="1">
      <c r="A34" s="137"/>
      <c r="B34" s="132"/>
      <c r="C34" s="132"/>
      <c r="D34" s="132"/>
      <c r="E34" s="132"/>
      <c r="F34" s="132"/>
      <c r="G34" s="132"/>
      <c r="H34" s="132"/>
      <c r="I34" s="132"/>
      <c r="J34" s="132"/>
    </row>
    <row r="35" spans="1:11">
      <c r="A35" s="132"/>
      <c r="B35" s="132"/>
      <c r="C35" s="132"/>
      <c r="D35" s="132"/>
      <c r="E35" s="132"/>
      <c r="F35" s="132"/>
      <c r="G35" s="132"/>
      <c r="H35" s="132"/>
      <c r="I35" s="132"/>
      <c r="J35" s="132"/>
    </row>
    <row r="36" spans="1:11" ht="3.6" customHeight="1">
      <c r="A36" s="132"/>
      <c r="B36" s="132"/>
      <c r="C36" s="132"/>
      <c r="D36" s="132"/>
      <c r="E36" s="132"/>
      <c r="F36" s="132"/>
      <c r="G36" s="132"/>
      <c r="H36" s="132"/>
      <c r="I36" s="132"/>
      <c r="J36" s="132"/>
    </row>
    <row r="37" spans="1:11" hidden="1">
      <c r="A37" s="132"/>
      <c r="B37" s="132"/>
      <c r="C37" s="132"/>
      <c r="D37" s="132"/>
      <c r="E37" s="132"/>
      <c r="F37" s="132"/>
      <c r="G37" s="132"/>
      <c r="H37" s="132"/>
      <c r="I37" s="132"/>
      <c r="J37" s="132"/>
    </row>
    <row r="38" spans="1:11">
      <c r="A38" s="132"/>
      <c r="B38" s="132"/>
      <c r="C38" s="132"/>
      <c r="D38" s="132"/>
      <c r="E38" s="132"/>
      <c r="F38" s="132"/>
      <c r="G38" s="132"/>
      <c r="H38" s="132"/>
      <c r="I38" s="132"/>
      <c r="J38" s="132"/>
    </row>
    <row r="39" spans="1:11" ht="13.5" customHeight="1">
      <c r="A39" s="132"/>
      <c r="B39" s="132"/>
      <c r="C39" s="132"/>
      <c r="D39" s="132"/>
      <c r="E39" s="132"/>
      <c r="F39" s="132"/>
      <c r="G39" s="132"/>
      <c r="H39" s="132"/>
      <c r="I39" s="132"/>
      <c r="J39" s="132"/>
    </row>
    <row r="40" spans="1:11" ht="19.5" customHeight="1">
      <c r="A40" s="132"/>
      <c r="B40" s="132"/>
      <c r="C40" s="132"/>
      <c r="D40" s="132"/>
      <c r="E40" s="132"/>
      <c r="F40" s="132"/>
      <c r="G40" s="132"/>
      <c r="H40" s="132"/>
      <c r="I40" s="132"/>
      <c r="J40" s="132"/>
    </row>
    <row r="41" spans="1:11" ht="24" customHeight="1">
      <c r="A41" s="322" t="str">
        <f>"Gráfico N° 3: Comparación de la potencia instalada en el SEIN al término de "&amp;'1. Resumen'!Q4&amp;" "&amp;'1. Resumen'!Q5-1&amp;" y "&amp;'1. Resumen'!Q4&amp;" "&amp;'1. Resumen'!Q5</f>
        <v>Gráfico N° 3: Comparación de la potencia instalada en el SEIN al término de marzo 2020 y marzo 2021</v>
      </c>
      <c r="C41" s="132"/>
      <c r="D41" s="132"/>
      <c r="E41" s="132"/>
      <c r="F41" s="132"/>
      <c r="G41" s="132"/>
      <c r="H41" s="132"/>
      <c r="I41" s="132"/>
      <c r="J41" s="132"/>
    </row>
  </sheetData>
  <mergeCells count="7">
    <mergeCell ref="B26:C26"/>
    <mergeCell ref="B21:C21"/>
    <mergeCell ref="A2:J2"/>
    <mergeCell ref="B22:C22"/>
    <mergeCell ref="B23:C23"/>
    <mergeCell ref="B24:C24"/>
    <mergeCell ref="B25:C25"/>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90" workbookViewId="0">
      <selection activeCell="O61" sqref="O61"/>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6" t="s">
        <v>219</v>
      </c>
      <c r="B2" s="836"/>
      <c r="C2" s="836"/>
      <c r="D2" s="836"/>
      <c r="E2" s="836"/>
      <c r="F2" s="836"/>
      <c r="G2" s="836"/>
      <c r="H2" s="836"/>
      <c r="I2" s="836"/>
      <c r="J2" s="836"/>
      <c r="K2" s="836"/>
    </row>
    <row r="3" spans="1:11" ht="11.25" customHeight="1">
      <c r="A3" s="83"/>
      <c r="B3" s="84"/>
      <c r="C3" s="85"/>
      <c r="D3" s="86"/>
      <c r="E3" s="86"/>
      <c r="F3" s="86"/>
      <c r="G3" s="86"/>
      <c r="H3" s="83"/>
      <c r="I3" s="83"/>
      <c r="J3" s="83"/>
      <c r="K3" s="87"/>
    </row>
    <row r="4" spans="1:11" ht="11.25" customHeight="1">
      <c r="A4" s="837" t="str">
        <f>+"3.1. PRODUCCIÓN POR TIPO DE GENERACIÓN (GWh)"</f>
        <v>3.1. PRODUCCIÓN POR TIPO DE GENERACIÓN (GWh)</v>
      </c>
      <c r="B4" s="837"/>
      <c r="C4" s="837"/>
      <c r="D4" s="837"/>
      <c r="E4" s="837"/>
      <c r="F4" s="837"/>
      <c r="G4" s="837"/>
      <c r="H4" s="837"/>
      <c r="I4" s="837"/>
      <c r="J4" s="837"/>
      <c r="K4" s="837"/>
    </row>
    <row r="5" spans="1:11" ht="11.25" customHeight="1">
      <c r="A5" s="54"/>
      <c r="B5" s="88"/>
      <c r="C5" s="89"/>
      <c r="D5" s="90"/>
      <c r="E5" s="90"/>
      <c r="F5" s="90"/>
      <c r="G5" s="90"/>
      <c r="H5" s="91"/>
      <c r="I5" s="83"/>
      <c r="J5" s="83"/>
      <c r="K5" s="92"/>
    </row>
    <row r="6" spans="1:11" ht="18" customHeight="1">
      <c r="A6" s="834" t="s">
        <v>32</v>
      </c>
      <c r="B6" s="838" t="s">
        <v>33</v>
      </c>
      <c r="C6" s="839"/>
      <c r="D6" s="839"/>
      <c r="E6" s="839" t="s">
        <v>34</v>
      </c>
      <c r="F6" s="839"/>
      <c r="G6" s="840" t="str">
        <f>"Generación Acumulada a "&amp;'1. Resumen'!Q4</f>
        <v>Generación Acumulada a marzo</v>
      </c>
      <c r="H6" s="840"/>
      <c r="I6" s="840"/>
      <c r="J6" s="840"/>
      <c r="K6" s="841"/>
    </row>
    <row r="7" spans="1:11" ht="32.25" customHeight="1">
      <c r="A7" s="835"/>
      <c r="B7" s="368">
        <f>+C7-30</f>
        <v>44198</v>
      </c>
      <c r="C7" s="368">
        <f>+D7-28</f>
        <v>44228</v>
      </c>
      <c r="D7" s="368">
        <f>+'1. Resumen'!Q6</f>
        <v>44256</v>
      </c>
      <c r="E7" s="368">
        <f>+D7-365</f>
        <v>43891</v>
      </c>
      <c r="F7" s="369" t="s">
        <v>35</v>
      </c>
      <c r="G7" s="370">
        <v>2021</v>
      </c>
      <c r="H7" s="370">
        <v>2020</v>
      </c>
      <c r="I7" s="369" t="s">
        <v>576</v>
      </c>
      <c r="J7" s="370">
        <v>2019</v>
      </c>
      <c r="K7" s="371" t="s">
        <v>459</v>
      </c>
    </row>
    <row r="8" spans="1:11" ht="15" customHeight="1">
      <c r="A8" s="116" t="s">
        <v>36</v>
      </c>
      <c r="B8" s="306">
        <v>3326.6138492225004</v>
      </c>
      <c r="C8" s="302">
        <v>2905.1041663050009</v>
      </c>
      <c r="D8" s="307">
        <v>3150.0460644324999</v>
      </c>
      <c r="E8" s="306">
        <v>3109.2738750449998</v>
      </c>
      <c r="F8" s="234">
        <f>IF(E8=0,"",D8/E8-1)</f>
        <v>1.3113090395393323E-2</v>
      </c>
      <c r="G8" s="314">
        <v>9381.7640799600013</v>
      </c>
      <c r="H8" s="302">
        <v>9364.9675253799978</v>
      </c>
      <c r="I8" s="238">
        <f>IF(H8=0,"",G8/H8-1)</f>
        <v>1.7935518232692349E-3</v>
      </c>
      <c r="J8" s="306">
        <v>8628.7302733500055</v>
      </c>
      <c r="K8" s="234">
        <f t="shared" ref="K8:K15" si="0">IF(J8=0,"",H8/J8-1)</f>
        <v>8.5323938598923954E-2</v>
      </c>
    </row>
    <row r="9" spans="1:11" ht="15" customHeight="1">
      <c r="A9" s="117" t="s">
        <v>37</v>
      </c>
      <c r="B9" s="308">
        <v>998.81216059250016</v>
      </c>
      <c r="C9" s="244">
        <v>1071.4341986700001</v>
      </c>
      <c r="D9" s="309">
        <v>1269.6556375075002</v>
      </c>
      <c r="E9" s="308">
        <v>699.34875741250005</v>
      </c>
      <c r="F9" s="235">
        <f t="shared" ref="F9:F15" si="1">IF(E9=0,"",D9/E9-1)</f>
        <v>0.81548279603021223</v>
      </c>
      <c r="G9" s="315">
        <v>3339.9019967700006</v>
      </c>
      <c r="H9" s="244">
        <v>3096.3082181099999</v>
      </c>
      <c r="I9" s="239">
        <f t="shared" ref="I9:I15" si="2">IF(H9=0,"",G9/H9-1)</f>
        <v>7.8672328948147019E-2</v>
      </c>
      <c r="J9" s="308">
        <v>4069.2803228799999</v>
      </c>
      <c r="K9" s="235">
        <f t="shared" si="0"/>
        <v>-0.2391017643339417</v>
      </c>
    </row>
    <row r="10" spans="1:11" ht="15" customHeight="1">
      <c r="A10" s="118" t="s">
        <v>38</v>
      </c>
      <c r="B10" s="310">
        <v>159.07100367750002</v>
      </c>
      <c r="C10" s="245">
        <v>114.05086832499998</v>
      </c>
      <c r="D10" s="311">
        <v>135.84444717</v>
      </c>
      <c r="E10" s="310">
        <v>130.312314775</v>
      </c>
      <c r="F10" s="236">
        <f>IF(E10=0,"",D10/E10-1)</f>
        <v>4.245287488409577E-2</v>
      </c>
      <c r="G10" s="316">
        <v>408.96631917249999</v>
      </c>
      <c r="H10" s="245">
        <v>367.32796796000002</v>
      </c>
      <c r="I10" s="240">
        <f t="shared" si="2"/>
        <v>0.11335469891863537</v>
      </c>
      <c r="J10" s="310">
        <v>355.23755224999996</v>
      </c>
      <c r="K10" s="236">
        <f t="shared" si="0"/>
        <v>3.4034734316295889E-2</v>
      </c>
    </row>
    <row r="11" spans="1:11" ht="15" customHeight="1">
      <c r="A11" s="117" t="s">
        <v>30</v>
      </c>
      <c r="B11" s="308">
        <v>72.941591460000012</v>
      </c>
      <c r="C11" s="244">
        <v>63.761436839999995</v>
      </c>
      <c r="D11" s="309">
        <v>63.758781977499993</v>
      </c>
      <c r="E11" s="308">
        <v>60.122201322499997</v>
      </c>
      <c r="F11" s="235">
        <f>IF(E11=0,"",D11/E11-1)</f>
        <v>6.0486485441427984E-2</v>
      </c>
      <c r="G11" s="315">
        <v>200.46181027750001</v>
      </c>
      <c r="H11" s="244">
        <v>172.06236039499998</v>
      </c>
      <c r="I11" s="239">
        <f t="shared" si="2"/>
        <v>0.16505323893792911</v>
      </c>
      <c r="J11" s="308">
        <v>173.92783748999994</v>
      </c>
      <c r="K11" s="235">
        <f t="shared" si="0"/>
        <v>-1.0725580918622191E-2</v>
      </c>
    </row>
    <row r="12" spans="1:11" ht="15" customHeight="1">
      <c r="A12" s="145" t="s">
        <v>42</v>
      </c>
      <c r="B12" s="312">
        <f>+SUM(B8:B11)</f>
        <v>4557.438604952501</v>
      </c>
      <c r="C12" s="303">
        <f t="shared" ref="C12:D12" si="3">+SUM(C8:C11)</f>
        <v>4154.3506701400011</v>
      </c>
      <c r="D12" s="313">
        <f t="shared" si="3"/>
        <v>4619.3049310875003</v>
      </c>
      <c r="E12" s="312">
        <f>+SUM(E8:E11)</f>
        <v>3999.0571485550004</v>
      </c>
      <c r="F12" s="237">
        <f>IF(E12=0,"",D12/E12-1)</f>
        <v>0.15509850434535988</v>
      </c>
      <c r="G12" s="312">
        <f>+SUM(G8:G11)</f>
        <v>13331.094206180001</v>
      </c>
      <c r="H12" s="303">
        <f t="shared" ref="H12:J12" si="4">+SUM(H8:H11)</f>
        <v>13000.666071844998</v>
      </c>
      <c r="I12" s="241">
        <f>IF(H12=0,"",G12/H12-1)</f>
        <v>2.5416246560674205E-2</v>
      </c>
      <c r="J12" s="312">
        <f t="shared" si="4"/>
        <v>13227.175985970007</v>
      </c>
      <c r="K12" s="237">
        <f t="shared" si="0"/>
        <v>-1.7124586107062134E-2</v>
      </c>
    </row>
    <row r="13" spans="1:11" ht="15" customHeight="1">
      <c r="A13" s="112"/>
      <c r="B13" s="112"/>
      <c r="C13" s="112"/>
      <c r="D13" s="112"/>
      <c r="E13" s="112"/>
      <c r="F13" s="114"/>
      <c r="G13" s="112"/>
      <c r="H13" s="112"/>
      <c r="I13" s="637"/>
      <c r="J13" s="113"/>
      <c r="K13" s="114" t="str">
        <f t="shared" si="0"/>
        <v/>
      </c>
    </row>
    <row r="14" spans="1:11" ht="15" customHeight="1">
      <c r="A14" s="119" t="s">
        <v>39</v>
      </c>
      <c r="B14" s="232">
        <v>0</v>
      </c>
      <c r="C14" s="233">
        <v>0</v>
      </c>
      <c r="D14" s="305">
        <v>0</v>
      </c>
      <c r="E14" s="232">
        <v>0</v>
      </c>
      <c r="F14" s="120" t="str">
        <f t="shared" si="1"/>
        <v/>
      </c>
      <c r="G14" s="232">
        <v>0</v>
      </c>
      <c r="H14" s="233">
        <v>0</v>
      </c>
      <c r="I14" s="123" t="str">
        <f t="shared" si="2"/>
        <v/>
      </c>
      <c r="J14" s="232">
        <v>0</v>
      </c>
      <c r="K14" s="120" t="str">
        <f t="shared" si="0"/>
        <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0</v>
      </c>
      <c r="D16" s="327">
        <f t="shared" si="5"/>
        <v>0</v>
      </c>
      <c r="E16" s="242">
        <f t="shared" si="5"/>
        <v>0</v>
      </c>
      <c r="F16" s="122"/>
      <c r="G16" s="242">
        <f t="shared" ref="G16:H16" si="6">+G15-G14</f>
        <v>0</v>
      </c>
      <c r="H16" s="243">
        <f t="shared" si="6"/>
        <v>0</v>
      </c>
      <c r="I16" s="124"/>
      <c r="J16" s="242">
        <f>+J15-J14</f>
        <v>0</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2"/>
      <c r="C42" s="832"/>
      <c r="D42" s="832"/>
      <c r="E42" s="93"/>
      <c r="F42" s="93"/>
      <c r="G42" s="833"/>
      <c r="H42" s="833"/>
      <c r="I42" s="833"/>
      <c r="J42" s="833"/>
      <c r="K42" s="833"/>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marzo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Marzo 2021
INFSGI-MES-03-2021
13/04/2021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O61" sqref="O61"/>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42" t="str">
        <f>+"3.2. PRODUCCIÓN POR TIPO DE RECURSO ENERGÉTICO (GWh)"</f>
        <v>3.2. PRODUCCIÓN POR TIPO DE RECURSO ENERGÉTICO (GWh)</v>
      </c>
      <c r="B2" s="842"/>
      <c r="C2" s="842"/>
      <c r="D2" s="842"/>
      <c r="E2" s="842"/>
      <c r="F2" s="842"/>
      <c r="G2" s="842"/>
      <c r="H2" s="842"/>
      <c r="I2" s="842"/>
      <c r="J2" s="842"/>
      <c r="K2" s="842"/>
    </row>
    <row r="3" spans="1:12" ht="18.75" customHeight="1">
      <c r="A3" s="126"/>
      <c r="B3" s="127"/>
      <c r="C3" s="128"/>
      <c r="D3" s="129"/>
      <c r="E3" s="129"/>
      <c r="F3" s="129"/>
      <c r="G3" s="130"/>
      <c r="H3" s="130"/>
      <c r="I3" s="130"/>
      <c r="J3" s="126"/>
      <c r="K3" s="126"/>
      <c r="L3" s="36"/>
    </row>
    <row r="4" spans="1:12" ht="14.25" customHeight="1">
      <c r="A4" s="846" t="s">
        <v>43</v>
      </c>
      <c r="B4" s="843" t="s">
        <v>33</v>
      </c>
      <c r="C4" s="844"/>
      <c r="D4" s="844"/>
      <c r="E4" s="844" t="s">
        <v>34</v>
      </c>
      <c r="F4" s="844"/>
      <c r="G4" s="845" t="str">
        <f>+'3. Tipo Generación'!G6:K6</f>
        <v>Generación Acumulada a marzo</v>
      </c>
      <c r="H4" s="845"/>
      <c r="I4" s="845"/>
      <c r="J4" s="845"/>
      <c r="K4" s="845"/>
      <c r="L4" s="131"/>
    </row>
    <row r="5" spans="1:12" ht="26.25" customHeight="1">
      <c r="A5" s="846"/>
      <c r="B5" s="372">
        <f>+'3. Tipo Generación'!B7</f>
        <v>44198</v>
      </c>
      <c r="C5" s="372">
        <f>+'3. Tipo Generación'!C7</f>
        <v>44228</v>
      </c>
      <c r="D5" s="372">
        <f>+'3. Tipo Generación'!D7</f>
        <v>44256</v>
      </c>
      <c r="E5" s="372">
        <f>+'3. Tipo Generación'!E7</f>
        <v>43891</v>
      </c>
      <c r="F5" s="373" t="s">
        <v>35</v>
      </c>
      <c r="G5" s="374">
        <v>2021</v>
      </c>
      <c r="H5" s="374">
        <v>2020</v>
      </c>
      <c r="I5" s="373" t="s">
        <v>576</v>
      </c>
      <c r="J5" s="374">
        <v>2019</v>
      </c>
      <c r="K5" s="373" t="s">
        <v>459</v>
      </c>
      <c r="L5" s="19"/>
    </row>
    <row r="6" spans="1:12" ht="11.25" customHeight="1">
      <c r="A6" s="139" t="s">
        <v>44</v>
      </c>
      <c r="B6" s="279">
        <v>3326.6138492225004</v>
      </c>
      <c r="C6" s="280">
        <v>2905.1041663050009</v>
      </c>
      <c r="D6" s="281">
        <v>3150.0460644324999</v>
      </c>
      <c r="E6" s="279">
        <v>3109.2738750449998</v>
      </c>
      <c r="F6" s="249">
        <f>IF(E6=0,"",D6/E6-1)</f>
        <v>1.3113090395393323E-2</v>
      </c>
      <c r="G6" s="279">
        <v>9381.7640799600013</v>
      </c>
      <c r="H6" s="280">
        <v>9364.9675253799978</v>
      </c>
      <c r="I6" s="249">
        <f t="shared" ref="I6:I16" si="0">IF(H6=0,"",G6/H6-1)</f>
        <v>1.7935518232692349E-3</v>
      </c>
      <c r="J6" s="279">
        <v>8628.7302733500055</v>
      </c>
      <c r="K6" s="249">
        <f>IF(J6=0,"",H6/J6-1)</f>
        <v>8.5323938598923954E-2</v>
      </c>
      <c r="L6" s="24"/>
    </row>
    <row r="7" spans="1:12" ht="11.25" customHeight="1">
      <c r="A7" s="140" t="s">
        <v>50</v>
      </c>
      <c r="B7" s="282">
        <v>914.4995555700001</v>
      </c>
      <c r="C7" s="244">
        <v>977.95827163749993</v>
      </c>
      <c r="D7" s="283">
        <v>1171.4890100850002</v>
      </c>
      <c r="E7" s="282">
        <v>645.55112891250008</v>
      </c>
      <c r="F7" s="250">
        <f t="shared" ref="F7:F18" si="1">IF(E7=0,"",D7/E7-1)</f>
        <v>0.81471142658908957</v>
      </c>
      <c r="G7" s="282">
        <v>3063.9468372925003</v>
      </c>
      <c r="H7" s="244">
        <v>2877.3144281899999</v>
      </c>
      <c r="I7" s="250">
        <f t="shared" si="0"/>
        <v>6.4863404316886974E-2</v>
      </c>
      <c r="J7" s="282">
        <v>3738.5829622295314</v>
      </c>
      <c r="K7" s="250">
        <f t="shared" ref="K7:K19" si="2">IF(J7=0,"",H7/J7-1)</f>
        <v>-0.23037298964362363</v>
      </c>
      <c r="L7" s="22"/>
    </row>
    <row r="8" spans="1:12" ht="11.25" customHeight="1">
      <c r="A8" s="141" t="s">
        <v>51</v>
      </c>
      <c r="B8" s="284">
        <v>52.232017740000003</v>
      </c>
      <c r="C8" s="245">
        <v>51.059144924999998</v>
      </c>
      <c r="D8" s="285">
        <v>52.003107344999997</v>
      </c>
      <c r="E8" s="284">
        <v>28.289728122500001</v>
      </c>
      <c r="F8" s="325">
        <f t="shared" si="1"/>
        <v>0.83823284267054365</v>
      </c>
      <c r="G8" s="284">
        <v>155.29427001000002</v>
      </c>
      <c r="H8" s="245">
        <v>129.67095581750002</v>
      </c>
      <c r="I8" s="325">
        <f t="shared" si="0"/>
        <v>0.19760257052907404</v>
      </c>
      <c r="J8" s="284">
        <v>124.62211466499994</v>
      </c>
      <c r="K8" s="325">
        <f t="shared" si="2"/>
        <v>4.05132039852798E-2</v>
      </c>
      <c r="L8" s="22"/>
    </row>
    <row r="9" spans="1:12" ht="11.25" customHeight="1">
      <c r="A9" s="140" t="s">
        <v>52</v>
      </c>
      <c r="B9" s="282">
        <v>4.4965459074999998</v>
      </c>
      <c r="C9" s="244">
        <v>14.1707525325</v>
      </c>
      <c r="D9" s="283">
        <v>13.329999002500001</v>
      </c>
      <c r="E9" s="282">
        <v>0</v>
      </c>
      <c r="F9" s="250" t="str">
        <f t="shared" si="1"/>
        <v/>
      </c>
      <c r="G9" s="282">
        <v>31.997297442499999</v>
      </c>
      <c r="H9" s="244">
        <v>15.849262879999999</v>
      </c>
      <c r="I9" s="250">
        <f t="shared" si="0"/>
        <v>1.018850825099066</v>
      </c>
      <c r="J9" s="282">
        <v>45.245062725000004</v>
      </c>
      <c r="K9" s="250">
        <f t="shared" si="2"/>
        <v>-0.64970182544928723</v>
      </c>
      <c r="L9" s="22"/>
    </row>
    <row r="10" spans="1:12" ht="11.25" customHeight="1">
      <c r="A10" s="141" t="s">
        <v>53</v>
      </c>
      <c r="B10" s="284">
        <v>0</v>
      </c>
      <c r="C10" s="245">
        <v>0</v>
      </c>
      <c r="D10" s="285">
        <v>0</v>
      </c>
      <c r="E10" s="284">
        <v>0</v>
      </c>
      <c r="F10" s="325" t="str">
        <f t="shared" si="1"/>
        <v/>
      </c>
      <c r="G10" s="284">
        <v>0</v>
      </c>
      <c r="H10" s="245">
        <v>0</v>
      </c>
      <c r="I10" s="325" t="str">
        <f t="shared" si="0"/>
        <v/>
      </c>
      <c r="J10" s="284">
        <v>0</v>
      </c>
      <c r="K10" s="325" t="str">
        <f t="shared" si="2"/>
        <v/>
      </c>
      <c r="L10" s="22"/>
    </row>
    <row r="11" spans="1:12" ht="11.25" customHeight="1">
      <c r="A11" s="140" t="s">
        <v>26</v>
      </c>
      <c r="B11" s="282">
        <v>0</v>
      </c>
      <c r="C11" s="244">
        <v>0</v>
      </c>
      <c r="D11" s="283">
        <v>7.0483043074999996</v>
      </c>
      <c r="E11" s="282">
        <v>0</v>
      </c>
      <c r="F11" s="250" t="str">
        <f t="shared" si="1"/>
        <v/>
      </c>
      <c r="G11" s="282">
        <v>7.0483043074999996</v>
      </c>
      <c r="H11" s="244">
        <v>0</v>
      </c>
      <c r="I11" s="250" t="str">
        <f t="shared" si="0"/>
        <v/>
      </c>
      <c r="J11" s="282">
        <v>18.283256609999999</v>
      </c>
      <c r="K11" s="250">
        <f t="shared" si="2"/>
        <v>-1</v>
      </c>
      <c r="L11" s="24"/>
    </row>
    <row r="12" spans="1:12" ht="11.25" customHeight="1">
      <c r="A12" s="141" t="s">
        <v>45</v>
      </c>
      <c r="B12" s="284">
        <v>0.54484955000000002</v>
      </c>
      <c r="C12" s="245">
        <v>0.79830787000000003</v>
      </c>
      <c r="D12" s="285">
        <v>0.4720500225</v>
      </c>
      <c r="E12" s="284">
        <v>0.83815456749999995</v>
      </c>
      <c r="F12" s="325">
        <f t="shared" si="1"/>
        <v>-0.43679836535639949</v>
      </c>
      <c r="G12" s="284">
        <v>1.8152074425</v>
      </c>
      <c r="H12" s="245">
        <v>1.2236413724999999</v>
      </c>
      <c r="I12" s="325">
        <f t="shared" si="0"/>
        <v>0.48344726101519586</v>
      </c>
      <c r="J12" s="284">
        <v>36.708258054999995</v>
      </c>
      <c r="K12" s="325">
        <f t="shared" si="2"/>
        <v>-0.96666577393384845</v>
      </c>
      <c r="L12" s="22"/>
    </row>
    <row r="13" spans="1:12" ht="11.25" customHeight="1">
      <c r="A13" s="140" t="s">
        <v>46</v>
      </c>
      <c r="B13" s="282">
        <v>0</v>
      </c>
      <c r="C13" s="244">
        <v>0</v>
      </c>
      <c r="D13" s="283">
        <v>0</v>
      </c>
      <c r="E13" s="282">
        <v>0</v>
      </c>
      <c r="F13" s="250" t="str">
        <f>IF(E13=0,"",D13/E13-1)</f>
        <v/>
      </c>
      <c r="G13" s="282">
        <v>0</v>
      </c>
      <c r="H13" s="244">
        <v>0</v>
      </c>
      <c r="I13" s="250" t="str">
        <f t="shared" si="0"/>
        <v/>
      </c>
      <c r="J13" s="282">
        <v>6.4617880000000003E-2</v>
      </c>
      <c r="K13" s="250">
        <f t="shared" si="2"/>
        <v>-1</v>
      </c>
      <c r="L13" s="22"/>
    </row>
    <row r="14" spans="1:12" ht="11.25" customHeight="1">
      <c r="A14" s="141" t="s">
        <v>47</v>
      </c>
      <c r="B14" s="284">
        <v>0.74413241000000008</v>
      </c>
      <c r="C14" s="245">
        <v>1.19502112</v>
      </c>
      <c r="D14" s="285">
        <v>1.1700597800000003</v>
      </c>
      <c r="E14" s="284">
        <v>1.4583466525000002</v>
      </c>
      <c r="F14" s="325">
        <f>IF(E14=0,"",D14/E14-1)</f>
        <v>-0.19768062141178733</v>
      </c>
      <c r="G14" s="284">
        <v>3.1092133099999999</v>
      </c>
      <c r="H14" s="245">
        <v>4.3555946950000006</v>
      </c>
      <c r="I14" s="325">
        <f t="shared" si="0"/>
        <v>-0.28615642002475172</v>
      </c>
      <c r="J14" s="284">
        <v>57.35700473296879</v>
      </c>
      <c r="K14" s="325">
        <f t="shared" si="2"/>
        <v>-0.9240616779889762</v>
      </c>
      <c r="L14" s="22"/>
    </row>
    <row r="15" spans="1:12" ht="11.25" customHeight="1">
      <c r="A15" s="140" t="s">
        <v>48</v>
      </c>
      <c r="B15" s="282">
        <v>18.501906552499999</v>
      </c>
      <c r="C15" s="244">
        <v>19.122342814999996</v>
      </c>
      <c r="D15" s="283">
        <v>16.07129299</v>
      </c>
      <c r="E15" s="282">
        <v>18.440101082499996</v>
      </c>
      <c r="F15" s="250">
        <f t="shared" si="1"/>
        <v>-0.1284596045272246</v>
      </c>
      <c r="G15" s="282">
        <v>53.695542357500003</v>
      </c>
      <c r="H15" s="244">
        <v>53.057950529999999</v>
      </c>
      <c r="I15" s="250">
        <f>IF(H15=0,"",G15/H15-1)</f>
        <v>1.201689513317139E-2</v>
      </c>
      <c r="J15" s="282">
        <v>30.590131572500006</v>
      </c>
      <c r="K15" s="250">
        <f t="shared" si="2"/>
        <v>0.73447931743118655</v>
      </c>
      <c r="L15" s="22"/>
    </row>
    <row r="16" spans="1:12" ht="11.25" customHeight="1">
      <c r="A16" s="141" t="s">
        <v>49</v>
      </c>
      <c r="B16" s="284">
        <v>7.7931528624999995</v>
      </c>
      <c r="C16" s="245">
        <v>7.1303577700000007</v>
      </c>
      <c r="D16" s="285">
        <v>8.0718139750000013</v>
      </c>
      <c r="E16" s="284">
        <v>4.7712980750000007</v>
      </c>
      <c r="F16" s="325">
        <f t="shared" si="1"/>
        <v>0.69174380810404523</v>
      </c>
      <c r="G16" s="284">
        <v>22.995324607499999</v>
      </c>
      <c r="H16" s="245">
        <v>14.836384625000001</v>
      </c>
      <c r="I16" s="325">
        <f t="shared" si="0"/>
        <v>0.54992777477282462</v>
      </c>
      <c r="J16" s="284">
        <v>17.826914409999997</v>
      </c>
      <c r="K16" s="325">
        <f t="shared" si="2"/>
        <v>-0.16775364015448802</v>
      </c>
      <c r="L16" s="22"/>
    </row>
    <row r="17" spans="1:12" ht="11.25" customHeight="1">
      <c r="A17" s="140" t="s">
        <v>30</v>
      </c>
      <c r="B17" s="282">
        <v>72.941591460000012</v>
      </c>
      <c r="C17" s="244">
        <v>63.761436839999995</v>
      </c>
      <c r="D17" s="283">
        <v>63.758781977499993</v>
      </c>
      <c r="E17" s="282">
        <v>60.122201322499997</v>
      </c>
      <c r="F17" s="250">
        <f t="shared" si="1"/>
        <v>6.0486485441427984E-2</v>
      </c>
      <c r="G17" s="282">
        <v>200.46181027750001</v>
      </c>
      <c r="H17" s="244">
        <v>172.06236039499998</v>
      </c>
      <c r="I17" s="250">
        <f>IF(H17=0,"",G17/H17-1)</f>
        <v>0.16505323893792911</v>
      </c>
      <c r="J17" s="282">
        <v>173.92783748999994</v>
      </c>
      <c r="K17" s="250">
        <f t="shared" si="2"/>
        <v>-1.0725580918622191E-2</v>
      </c>
      <c r="L17" s="22"/>
    </row>
    <row r="18" spans="1:12" ht="11.25" customHeight="1">
      <c r="A18" s="141" t="s">
        <v>29</v>
      </c>
      <c r="B18" s="284">
        <v>159.07100367750002</v>
      </c>
      <c r="C18" s="245">
        <v>114.05086832499998</v>
      </c>
      <c r="D18" s="285">
        <v>135.84444717</v>
      </c>
      <c r="E18" s="284">
        <v>130.312314775</v>
      </c>
      <c r="F18" s="325">
        <f t="shared" si="1"/>
        <v>4.245287488409577E-2</v>
      </c>
      <c r="G18" s="284">
        <v>408.96631917249999</v>
      </c>
      <c r="H18" s="245">
        <v>367.32796796000002</v>
      </c>
      <c r="I18" s="325">
        <f>IF(H18=0,"",G18/H18-1)</f>
        <v>0.11335469891863537</v>
      </c>
      <c r="J18" s="284">
        <v>355.23755224999996</v>
      </c>
      <c r="K18" s="325">
        <f t="shared" si="2"/>
        <v>3.4034734316295889E-2</v>
      </c>
      <c r="L18" s="22"/>
    </row>
    <row r="19" spans="1:12" ht="11.25" customHeight="1">
      <c r="A19" s="146" t="s">
        <v>42</v>
      </c>
      <c r="B19" s="286">
        <f>SUM(B6:B18)</f>
        <v>4557.4386049525019</v>
      </c>
      <c r="C19" s="287">
        <f>SUM(C6:C18)</f>
        <v>4154.3506701400011</v>
      </c>
      <c r="D19" s="583">
        <f>SUM(D6:D18)</f>
        <v>4619.3049310875003</v>
      </c>
      <c r="E19" s="286">
        <f>SUM(E6:E18)</f>
        <v>3999.0571485549999</v>
      </c>
      <c r="F19" s="326">
        <f>IF(E19=0,"",D19/E19-1)</f>
        <v>0.15509850434535988</v>
      </c>
      <c r="G19" s="286">
        <f>SUM(G6:G18)</f>
        <v>13331.09420618</v>
      </c>
      <c r="H19" s="287">
        <f>SUM(H6:H18)</f>
        <v>13000.666071844998</v>
      </c>
      <c r="I19" s="326">
        <f>IF(H19=0,"",G19/H19-1)</f>
        <v>2.5416246560673983E-2</v>
      </c>
      <c r="J19" s="286">
        <f>SUM(J6:J18)</f>
        <v>13227.175985970007</v>
      </c>
      <c r="K19" s="326">
        <f t="shared" si="2"/>
        <v>-1.7124586107062134E-2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0</v>
      </c>
      <c r="D21" s="305">
        <v>0</v>
      </c>
      <c r="E21" s="565">
        <v>0</v>
      </c>
      <c r="F21" s="120" t="str">
        <f>IF(E21=0,"",D21/E21-1)</f>
        <v/>
      </c>
      <c r="G21" s="232">
        <v>0</v>
      </c>
      <c r="H21" s="304">
        <v>0</v>
      </c>
      <c r="I21" s="123" t="str">
        <f>IF(H21=0,"",G21/H21-1)</f>
        <v/>
      </c>
      <c r="J21" s="232">
        <v>0</v>
      </c>
      <c r="K21" s="120" t="str">
        <f>IF(J21=0,"",H21/J21-1)</f>
        <v/>
      </c>
      <c r="L21" s="22"/>
    </row>
    <row r="22" spans="1:12" ht="11.25" customHeight="1">
      <c r="A22" s="143" t="s">
        <v>40</v>
      </c>
      <c r="B22" s="229">
        <v>0</v>
      </c>
      <c r="C22" s="230">
        <v>0</v>
      </c>
      <c r="D22" s="231">
        <v>0</v>
      </c>
      <c r="E22" s="566">
        <v>0</v>
      </c>
      <c r="F22" s="564" t="str">
        <f>IF(E22=0,"",D22/E22-1)</f>
        <v/>
      </c>
      <c r="G22" s="229">
        <v>0</v>
      </c>
      <c r="H22" s="230">
        <v>0</v>
      </c>
      <c r="I22" s="115" t="str">
        <f>IF(H22=0,"",G22/H22-1)</f>
        <v/>
      </c>
      <c r="J22" s="229">
        <v>0</v>
      </c>
      <c r="K22" s="121" t="str">
        <f>IF(J22=0,"",H22/J22-1)</f>
        <v/>
      </c>
      <c r="L22" s="22"/>
    </row>
    <row r="23" spans="1:12" ht="23.25" customHeight="1">
      <c r="A23" s="144" t="s">
        <v>41</v>
      </c>
      <c r="B23" s="242">
        <f>+B22-B21</f>
        <v>0</v>
      </c>
      <c r="C23" s="243">
        <f>+C22-C21</f>
        <v>0</v>
      </c>
      <c r="D23" s="327">
        <f>+D22-D21</f>
        <v>0</v>
      </c>
      <c r="E23" s="567">
        <f>+E22-E21</f>
        <v>0</v>
      </c>
      <c r="F23" s="243"/>
      <c r="G23" s="242">
        <f>+G22-G21</f>
        <v>0</v>
      </c>
      <c r="H23" s="243">
        <f>+H22-H21</f>
        <v>0</v>
      </c>
      <c r="I23" s="124"/>
      <c r="J23" s="242">
        <f>+J22-J21</f>
        <v>0</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marzo.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 Marzo 2021
INFSGI-MES-03-2021
13/04/2021
Versión: 01</oddHeader>
    <oddFooter>&amp;L&amp;7COES, 2021&amp;C4&amp;R&amp;7Dirección Ejecutiva
Sub Dirección de Gestión de Información</oddFooter>
  </headerFooter>
  <ignoredErrors>
    <ignoredError sqref="K19 G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workbookViewId="0">
      <selection activeCell="O61" sqref="O61"/>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50"/>
  </cols>
  <sheetData>
    <row r="1" spans="1:12" ht="11.25" customHeight="1"/>
    <row r="2" spans="1:12" ht="11.25" customHeight="1">
      <c r="A2" s="848" t="s">
        <v>228</v>
      </c>
      <c r="B2" s="848"/>
      <c r="C2" s="848"/>
      <c r="D2" s="848"/>
      <c r="E2" s="848"/>
      <c r="F2" s="848"/>
      <c r="G2" s="848"/>
      <c r="H2" s="848"/>
      <c r="I2" s="848"/>
      <c r="J2" s="848"/>
      <c r="K2" s="848"/>
      <c r="L2" s="451"/>
    </row>
    <row r="3" spans="1:12" ht="11.25" customHeight="1">
      <c r="A3" s="74"/>
      <c r="B3" s="73"/>
      <c r="C3" s="73"/>
      <c r="D3" s="73"/>
      <c r="E3" s="73"/>
      <c r="F3" s="73"/>
      <c r="G3" s="73"/>
      <c r="H3" s="73"/>
      <c r="I3" s="73"/>
      <c r="J3" s="73"/>
      <c r="K3" s="73"/>
      <c r="L3" s="451"/>
    </row>
    <row r="4" spans="1:12" ht="15.75" customHeight="1">
      <c r="A4" s="846" t="s">
        <v>224</v>
      </c>
      <c r="B4" s="843" t="s">
        <v>33</v>
      </c>
      <c r="C4" s="844"/>
      <c r="D4" s="844"/>
      <c r="E4" s="844" t="s">
        <v>34</v>
      </c>
      <c r="F4" s="844"/>
      <c r="G4" s="845" t="str">
        <f>+'4. Tipo Recurso'!G4:K4</f>
        <v>Generación Acumulada a marzo</v>
      </c>
      <c r="H4" s="845"/>
      <c r="I4" s="845"/>
      <c r="J4" s="845"/>
      <c r="K4" s="845"/>
      <c r="L4" s="452"/>
    </row>
    <row r="5" spans="1:12" ht="29.25" customHeight="1">
      <c r="A5" s="846"/>
      <c r="B5" s="372">
        <f>+'4. Tipo Recurso'!B5</f>
        <v>44198</v>
      </c>
      <c r="C5" s="372">
        <f>+'4. Tipo Recurso'!C5</f>
        <v>44228</v>
      </c>
      <c r="D5" s="372">
        <f>+'4. Tipo Recurso'!D5</f>
        <v>44256</v>
      </c>
      <c r="E5" s="372">
        <f>+'4. Tipo Recurso'!E5</f>
        <v>43891</v>
      </c>
      <c r="F5" s="372" t="s">
        <v>35</v>
      </c>
      <c r="G5" s="374">
        <v>2021</v>
      </c>
      <c r="H5" s="374">
        <v>2020</v>
      </c>
      <c r="I5" s="373" t="s">
        <v>576</v>
      </c>
      <c r="J5" s="374">
        <v>2019</v>
      </c>
      <c r="K5" s="373" t="s">
        <v>459</v>
      </c>
      <c r="L5" s="453"/>
    </row>
    <row r="6" spans="1:12" ht="11.25" customHeight="1">
      <c r="A6" s="139" t="s">
        <v>44</v>
      </c>
      <c r="B6" s="279">
        <v>253.52640172749997</v>
      </c>
      <c r="C6" s="280">
        <v>226.97389977500004</v>
      </c>
      <c r="D6" s="281">
        <v>260.14170828500005</v>
      </c>
      <c r="E6" s="279">
        <v>240.75035519750003</v>
      </c>
      <c r="F6" s="249">
        <f t="shared" ref="F6:F11" si="0">IF(E6=0,"",D6/E6-1)</f>
        <v>8.0545480697597593E-2</v>
      </c>
      <c r="G6" s="279">
        <v>740.6420097875</v>
      </c>
      <c r="H6" s="280">
        <v>689.72900171249989</v>
      </c>
      <c r="I6" s="253">
        <f t="shared" ref="I6:I11" si="1">IF(H6=0,"",G6/H6-1)</f>
        <v>7.3815959526988495E-2</v>
      </c>
      <c r="J6" s="279">
        <v>471.03825487000006</v>
      </c>
      <c r="K6" s="249">
        <f t="shared" ref="K6:K11" si="2">IF(J6=0,"",H6/J6-1)</f>
        <v>0.46427385585244108</v>
      </c>
      <c r="L6" s="454"/>
    </row>
    <row r="7" spans="1:12" ht="11.25" customHeight="1">
      <c r="A7" s="140" t="s">
        <v>38</v>
      </c>
      <c r="B7" s="282">
        <v>159.07100367750002</v>
      </c>
      <c r="C7" s="244">
        <v>114.05086832499998</v>
      </c>
      <c r="D7" s="283">
        <v>135.84444717</v>
      </c>
      <c r="E7" s="282">
        <v>130.312314775</v>
      </c>
      <c r="F7" s="250">
        <f t="shared" si="0"/>
        <v>4.245287488409577E-2</v>
      </c>
      <c r="G7" s="282">
        <v>408.96631917249999</v>
      </c>
      <c r="H7" s="244">
        <v>367.32796796000002</v>
      </c>
      <c r="I7" s="239">
        <f t="shared" si="1"/>
        <v>0.11335469891863537</v>
      </c>
      <c r="J7" s="282">
        <v>355.23755224999996</v>
      </c>
      <c r="K7" s="250">
        <f t="shared" si="2"/>
        <v>3.4034734316295889E-2</v>
      </c>
      <c r="L7" s="454"/>
    </row>
    <row r="8" spans="1:12" ht="11.25" customHeight="1">
      <c r="A8" s="247" t="s">
        <v>30</v>
      </c>
      <c r="B8" s="334">
        <v>72.941591460000012</v>
      </c>
      <c r="C8" s="288">
        <v>63.761436839999995</v>
      </c>
      <c r="D8" s="335">
        <v>63.758781977499993</v>
      </c>
      <c r="E8" s="334">
        <v>60.122201322499997</v>
      </c>
      <c r="F8" s="251">
        <f t="shared" si="0"/>
        <v>6.0486485441427984E-2</v>
      </c>
      <c r="G8" s="334">
        <v>200.46181027750001</v>
      </c>
      <c r="H8" s="288">
        <v>172.06236039499998</v>
      </c>
      <c r="I8" s="246">
        <f t="shared" si="1"/>
        <v>0.16505323893792911</v>
      </c>
      <c r="J8" s="334">
        <v>173.92783748999994</v>
      </c>
      <c r="K8" s="251">
        <f t="shared" si="2"/>
        <v>-1.0725580918622191E-2</v>
      </c>
      <c r="L8" s="454"/>
    </row>
    <row r="9" spans="1:12" ht="11.25" customHeight="1">
      <c r="A9" s="140" t="s">
        <v>48</v>
      </c>
      <c r="B9" s="282">
        <v>18.501906552499999</v>
      </c>
      <c r="C9" s="244">
        <v>19.122342814999996</v>
      </c>
      <c r="D9" s="283">
        <v>16.07129299</v>
      </c>
      <c r="E9" s="282">
        <v>18.440101082499996</v>
      </c>
      <c r="F9" s="250">
        <f t="shared" si="0"/>
        <v>-0.1284596045272246</v>
      </c>
      <c r="G9" s="282">
        <v>53.695542357500003</v>
      </c>
      <c r="H9" s="244">
        <v>53.057950529999999</v>
      </c>
      <c r="I9" s="239">
        <f t="shared" si="1"/>
        <v>1.201689513317139E-2</v>
      </c>
      <c r="J9" s="282">
        <v>30.590131572500006</v>
      </c>
      <c r="K9" s="250">
        <f t="shared" si="2"/>
        <v>0.73447931743118655</v>
      </c>
      <c r="L9" s="455"/>
    </row>
    <row r="10" spans="1:12" ht="11.25" customHeight="1">
      <c r="A10" s="248" t="s">
        <v>49</v>
      </c>
      <c r="B10" s="336">
        <v>7.7931528624999995</v>
      </c>
      <c r="C10" s="337">
        <v>7.1303577700000007</v>
      </c>
      <c r="D10" s="338">
        <v>8.0718139750000013</v>
      </c>
      <c r="E10" s="336">
        <v>4.7712980750000007</v>
      </c>
      <c r="F10" s="252">
        <f t="shared" si="0"/>
        <v>0.69174380810404523</v>
      </c>
      <c r="G10" s="336">
        <v>22.995324607499999</v>
      </c>
      <c r="H10" s="337">
        <v>14.836384625000001</v>
      </c>
      <c r="I10" s="254">
        <f t="shared" si="1"/>
        <v>0.54992777477282462</v>
      </c>
      <c r="J10" s="336">
        <v>17.826914409999997</v>
      </c>
      <c r="K10" s="252">
        <f t="shared" si="2"/>
        <v>-0.16775364015448802</v>
      </c>
      <c r="L10" s="454"/>
    </row>
    <row r="11" spans="1:12" ht="11.25" customHeight="1">
      <c r="A11" s="255" t="s">
        <v>221</v>
      </c>
      <c r="B11" s="317">
        <f>+B6+B7+B8+B9+B10</f>
        <v>511.83405628000003</v>
      </c>
      <c r="C11" s="318">
        <f t="shared" ref="C11:D11" si="3">+C6+C7+C8+C9+C10</f>
        <v>431.03890552499996</v>
      </c>
      <c r="D11" s="319">
        <f t="shared" si="3"/>
        <v>483.88804439750004</v>
      </c>
      <c r="E11" s="320">
        <f>+E6+E7+E8+E9+E10</f>
        <v>454.39627045250006</v>
      </c>
      <c r="F11" s="256">
        <f t="shared" si="0"/>
        <v>6.490320423543805E-2</v>
      </c>
      <c r="G11" s="332">
        <f>+G6+G7+G8+G9+G10</f>
        <v>1426.7610062025001</v>
      </c>
      <c r="H11" s="333">
        <f>+H6+H7+H8+H9+H10</f>
        <v>1297.0136652224999</v>
      </c>
      <c r="I11" s="257">
        <f t="shared" si="1"/>
        <v>0.10003544639426942</v>
      </c>
      <c r="J11" s="332">
        <f>+J6+J7+J8+J9+J10</f>
        <v>1048.6206905925001</v>
      </c>
      <c r="K11" s="256">
        <f t="shared" si="2"/>
        <v>0.23687590456531127</v>
      </c>
      <c r="L11" s="452"/>
    </row>
    <row r="12" spans="1:12" ht="24.75" customHeight="1">
      <c r="A12" s="258" t="s">
        <v>222</v>
      </c>
      <c r="B12" s="259">
        <f>B11/'4. Tipo Recurso'!B19</f>
        <v>0.11230739471153763</v>
      </c>
      <c r="C12" s="581">
        <f>C11/'4. Tipo Recurso'!C19</f>
        <v>0.1037560234438452</v>
      </c>
      <c r="D12" s="458">
        <f>D11/'4. Tipo Recurso'!D19</f>
        <v>0.10475343187261306</v>
      </c>
      <c r="E12" s="259">
        <f>E11/'4. Tipo Recurso'!E19</f>
        <v>0.11362585068750253</v>
      </c>
      <c r="F12" s="260"/>
      <c r="G12" s="259">
        <f>G11/'4. Tipo Recurso'!G19</f>
        <v>0.10702504866712931</v>
      </c>
      <c r="H12" s="257">
        <f>H11/'4. Tipo Recurso'!H19</f>
        <v>9.9765170342417178E-2</v>
      </c>
      <c r="I12" s="257"/>
      <c r="J12" s="259">
        <f>J11/'4. Tipo Recurso'!J19</f>
        <v>7.9277745431433455E-2</v>
      </c>
      <c r="K12" s="260"/>
      <c r="L12" s="452"/>
    </row>
    <row r="13" spans="1:12" ht="11.25" customHeight="1">
      <c r="A13" s="261" t="s">
        <v>223</v>
      </c>
      <c r="B13" s="134"/>
      <c r="C13" s="134"/>
      <c r="D13" s="134"/>
      <c r="E13" s="134"/>
      <c r="F13" s="134"/>
      <c r="G13" s="134"/>
      <c r="H13" s="134"/>
      <c r="I13" s="134"/>
      <c r="J13" s="134"/>
      <c r="K13" s="135"/>
      <c r="L13" s="452"/>
    </row>
    <row r="14" spans="1:12" ht="35.25" customHeight="1">
      <c r="A14" s="849" t="s">
        <v>453</v>
      </c>
      <c r="B14" s="849"/>
      <c r="C14" s="849"/>
      <c r="D14" s="849"/>
      <c r="E14" s="849"/>
      <c r="F14" s="849"/>
      <c r="G14" s="849"/>
      <c r="H14" s="849"/>
      <c r="I14" s="849"/>
      <c r="J14" s="849"/>
      <c r="K14" s="849"/>
      <c r="L14" s="452"/>
    </row>
    <row r="15" spans="1:12" ht="11.25" customHeight="1">
      <c r="A15" s="31"/>
      <c r="L15" s="452"/>
    </row>
    <row r="16" spans="1:12" ht="11.25" customHeight="1">
      <c r="A16" s="136"/>
      <c r="B16" s="147"/>
      <c r="C16" s="147"/>
      <c r="D16" s="147"/>
      <c r="E16" s="147"/>
      <c r="F16" s="147"/>
      <c r="G16" s="147"/>
      <c r="H16" s="147"/>
      <c r="I16" s="147"/>
      <c r="J16" s="147"/>
      <c r="K16" s="147"/>
      <c r="L16" s="452"/>
    </row>
    <row r="17" spans="1:12" ht="11.25" customHeight="1">
      <c r="A17" s="147"/>
      <c r="B17" s="147"/>
      <c r="C17" s="147"/>
      <c r="D17" s="147"/>
      <c r="E17" s="147"/>
      <c r="F17" s="147"/>
      <c r="G17" s="147"/>
      <c r="H17" s="147"/>
      <c r="I17" s="147"/>
      <c r="J17" s="147"/>
      <c r="K17" s="147"/>
      <c r="L17" s="452"/>
    </row>
    <row r="18" spans="1:12" ht="11.25" customHeight="1">
      <c r="A18" s="147"/>
      <c r="B18" s="147"/>
      <c r="C18" s="147"/>
      <c r="D18" s="147"/>
      <c r="E18" s="147"/>
      <c r="F18" s="147"/>
      <c r="G18" s="147"/>
      <c r="H18" s="147"/>
      <c r="I18" s="147"/>
      <c r="J18" s="147"/>
      <c r="K18" s="147"/>
      <c r="L18" s="456"/>
    </row>
    <row r="19" spans="1:12" ht="11.25" customHeight="1">
      <c r="A19" s="136"/>
      <c r="B19" s="138"/>
      <c r="C19" s="138"/>
      <c r="D19" s="138"/>
      <c r="E19" s="138"/>
      <c r="F19" s="138"/>
      <c r="G19" s="138"/>
      <c r="H19" s="138"/>
      <c r="I19" s="138"/>
      <c r="J19" s="138"/>
      <c r="K19" s="138"/>
      <c r="L19" s="452"/>
    </row>
    <row r="20" spans="1:12" ht="11.25" customHeight="1">
      <c r="A20" s="136"/>
      <c r="B20" s="138"/>
      <c r="C20" s="138"/>
      <c r="D20" s="138"/>
      <c r="E20" s="138"/>
      <c r="F20" s="138"/>
      <c r="G20" s="138"/>
      <c r="H20" s="138"/>
      <c r="I20" s="138"/>
      <c r="J20" s="138"/>
      <c r="K20" s="138"/>
      <c r="L20" s="452"/>
    </row>
    <row r="21" spans="1:12" ht="11.25" customHeight="1">
      <c r="A21" s="136"/>
      <c r="B21" s="138"/>
      <c r="C21" s="138"/>
      <c r="D21" s="138"/>
      <c r="E21" s="138"/>
      <c r="F21" s="138"/>
      <c r="G21" s="138"/>
      <c r="H21" s="138"/>
      <c r="I21" s="138"/>
      <c r="J21" s="138"/>
      <c r="K21" s="138"/>
      <c r="L21" s="452"/>
    </row>
    <row r="22" spans="1:12" ht="11.25" customHeight="1">
      <c r="A22" s="136"/>
      <c r="B22" s="138"/>
      <c r="C22" s="138"/>
      <c r="D22" s="138"/>
      <c r="E22" s="138"/>
      <c r="F22" s="138"/>
      <c r="G22" s="138"/>
      <c r="H22" s="138"/>
      <c r="I22" s="138"/>
      <c r="J22" s="138"/>
      <c r="K22" s="138"/>
      <c r="L22" s="456"/>
    </row>
    <row r="23" spans="1:12" ht="11.25" customHeight="1">
      <c r="A23" s="136"/>
      <c r="B23" s="138"/>
      <c r="C23" s="138"/>
      <c r="D23" s="138"/>
      <c r="E23" s="138"/>
      <c r="F23" s="138"/>
      <c r="G23" s="138"/>
      <c r="H23" s="138"/>
      <c r="I23" s="138"/>
      <c r="J23" s="138"/>
      <c r="K23" s="138"/>
      <c r="L23" s="452"/>
    </row>
    <row r="24" spans="1:12" ht="11.25" customHeight="1">
      <c r="A24" s="136"/>
      <c r="B24" s="138"/>
      <c r="C24" s="138"/>
      <c r="D24" s="138"/>
      <c r="E24" s="138"/>
      <c r="F24" s="138"/>
      <c r="G24" s="138"/>
      <c r="H24" s="138"/>
      <c r="I24" s="138"/>
      <c r="J24" s="138"/>
      <c r="K24" s="138"/>
      <c r="L24" s="452"/>
    </row>
    <row r="25" spans="1:12" ht="11.25" customHeight="1">
      <c r="A25" s="136"/>
      <c r="B25" s="138"/>
      <c r="C25" s="138"/>
      <c r="D25" s="138"/>
      <c r="E25" s="138"/>
      <c r="F25" s="138"/>
      <c r="G25" s="138"/>
      <c r="H25" s="138"/>
      <c r="I25" s="138"/>
      <c r="J25" s="138"/>
      <c r="K25" s="138"/>
      <c r="L25" s="452"/>
    </row>
    <row r="26" spans="1:12" ht="11.25" customHeight="1">
      <c r="A26" s="136"/>
      <c r="B26" s="138"/>
      <c r="C26" s="138"/>
      <c r="D26" s="138"/>
      <c r="E26" s="138"/>
      <c r="F26" s="138"/>
      <c r="G26" s="138"/>
      <c r="H26" s="138"/>
      <c r="I26" s="138"/>
      <c r="J26" s="138"/>
      <c r="K26" s="138"/>
      <c r="L26" s="452"/>
    </row>
    <row r="27" spans="1:12" ht="11.25" customHeight="1">
      <c r="A27" s="136"/>
      <c r="B27" s="138"/>
      <c r="C27" s="138"/>
      <c r="D27" s="138"/>
      <c r="E27" s="138"/>
      <c r="F27" s="138"/>
      <c r="G27" s="138"/>
      <c r="H27" s="138"/>
      <c r="I27" s="138"/>
      <c r="J27" s="138"/>
      <c r="K27" s="138"/>
      <c r="L27" s="452"/>
    </row>
    <row r="28" spans="1:12" ht="11.25" customHeight="1">
      <c r="A28" s="136"/>
      <c r="B28" s="138"/>
      <c r="C28" s="138"/>
      <c r="D28" s="138"/>
      <c r="E28" s="138"/>
      <c r="F28" s="138"/>
      <c r="G28" s="138"/>
      <c r="H28" s="138"/>
      <c r="I28" s="138"/>
      <c r="J28" s="138"/>
      <c r="K28" s="138"/>
      <c r="L28" s="452"/>
    </row>
    <row r="29" spans="1:12" ht="11.25" customHeight="1">
      <c r="A29" s="136"/>
      <c r="B29" s="138"/>
      <c r="C29" s="138"/>
      <c r="D29" s="138"/>
      <c r="E29" s="138"/>
      <c r="F29" s="138"/>
      <c r="G29" s="138"/>
      <c r="H29" s="138"/>
      <c r="I29" s="138"/>
      <c r="J29" s="138"/>
      <c r="K29" s="138"/>
      <c r="L29" s="452"/>
    </row>
    <row r="30" spans="1:12" ht="11.25" customHeight="1">
      <c r="A30" s="136"/>
      <c r="B30" s="138"/>
      <c r="C30" s="138"/>
      <c r="D30" s="138"/>
      <c r="E30" s="138"/>
      <c r="F30" s="138"/>
      <c r="G30" s="138"/>
      <c r="H30" s="138"/>
      <c r="I30" s="138"/>
      <c r="J30" s="138"/>
      <c r="K30" s="138"/>
      <c r="L30" s="452"/>
    </row>
    <row r="31" spans="1:12" ht="11.25" customHeight="1">
      <c r="A31" s="136"/>
      <c r="B31" s="138"/>
      <c r="C31" s="138"/>
      <c r="D31" s="138"/>
      <c r="E31" s="138"/>
      <c r="F31" s="138"/>
      <c r="G31" s="138"/>
      <c r="H31" s="138"/>
      <c r="I31" s="138"/>
      <c r="J31" s="138"/>
      <c r="K31" s="138"/>
      <c r="L31" s="452"/>
    </row>
    <row r="32" spans="1:12" ht="11.25" customHeight="1">
      <c r="A32" s="136"/>
      <c r="B32" s="138"/>
      <c r="C32" s="138"/>
      <c r="D32" s="138"/>
      <c r="E32" s="138"/>
      <c r="F32" s="138"/>
      <c r="G32" s="138"/>
      <c r="H32" s="138"/>
      <c r="I32" s="138"/>
      <c r="J32" s="138"/>
      <c r="K32" s="138"/>
      <c r="L32" s="452"/>
    </row>
    <row r="33" spans="1:16" ht="11.25" customHeight="1">
      <c r="A33" s="136"/>
      <c r="B33" s="138"/>
      <c r="C33" s="138"/>
      <c r="D33" s="138"/>
      <c r="E33" s="138"/>
      <c r="F33" s="138"/>
      <c r="G33" s="138"/>
      <c r="H33" s="138"/>
      <c r="I33" s="138"/>
      <c r="J33" s="138"/>
      <c r="K33" s="138"/>
      <c r="L33" s="452"/>
    </row>
    <row r="34" spans="1:16" ht="11.25" customHeight="1">
      <c r="A34" s="847" t="str">
        <f>"Gráfico N° 6: Comparación de la producción de energía eléctrica acumulada (GWh) con recursos energéticos renovables en "&amp;'1. Resumen'!Q4&amp;"."</f>
        <v>Gráfico N° 6: Comparación de la producción de energía eléctrica acumulada (GWh) con recursos energéticos renovables en marzo.</v>
      </c>
      <c r="B34" s="847"/>
      <c r="C34" s="847"/>
      <c r="D34" s="847"/>
      <c r="E34" s="847"/>
      <c r="F34" s="847"/>
      <c r="G34" s="847"/>
      <c r="H34" s="847"/>
      <c r="I34" s="847"/>
      <c r="J34" s="847"/>
      <c r="K34" s="847"/>
      <c r="L34" s="638"/>
      <c r="M34" s="278"/>
      <c r="N34" s="278"/>
      <c r="O34" s="278"/>
    </row>
    <row r="35" spans="1:16" ht="11.25" customHeight="1">
      <c r="L35" s="639"/>
      <c r="M35" s="278"/>
      <c r="N35" s="278"/>
      <c r="O35" s="278"/>
    </row>
    <row r="36" spans="1:16" ht="11.25" customHeight="1">
      <c r="A36" s="136"/>
      <c r="B36" s="138"/>
      <c r="C36" s="138"/>
      <c r="D36" s="138"/>
      <c r="E36" s="138"/>
      <c r="F36" s="138"/>
      <c r="G36" s="138"/>
      <c r="H36" s="138"/>
      <c r="I36" s="138"/>
      <c r="J36" s="138"/>
      <c r="K36" s="138"/>
      <c r="L36" s="638"/>
      <c r="M36" s="278"/>
      <c r="N36" s="278"/>
      <c r="O36" s="278"/>
    </row>
    <row r="37" spans="1:16" ht="11.25" customHeight="1">
      <c r="A37" s="136"/>
      <c r="B37" s="138"/>
      <c r="C37" s="138"/>
      <c r="D37" s="138"/>
      <c r="E37" s="138"/>
      <c r="F37" s="138"/>
      <c r="G37" s="138"/>
      <c r="H37" s="138"/>
      <c r="I37" s="138"/>
      <c r="J37" s="138"/>
      <c r="K37" s="138"/>
      <c r="L37" s="638"/>
      <c r="M37" s="278"/>
      <c r="N37" s="278"/>
      <c r="O37" s="278"/>
    </row>
    <row r="38" spans="1:16" ht="11.25" customHeight="1">
      <c r="A38" s="136"/>
      <c r="B38" s="138"/>
      <c r="C38" s="138"/>
      <c r="D38" s="138"/>
      <c r="E38" s="138"/>
      <c r="F38" s="138"/>
      <c r="G38" s="138"/>
      <c r="H38" s="138"/>
      <c r="I38" s="138"/>
      <c r="J38" s="138"/>
      <c r="K38" s="138"/>
      <c r="L38" s="638"/>
      <c r="M38" s="278"/>
      <c r="N38" s="278"/>
      <c r="O38" s="278"/>
    </row>
    <row r="39" spans="1:16" ht="11.25" customHeight="1">
      <c r="A39" s="136"/>
      <c r="B39" s="138"/>
      <c r="C39" s="262" t="s">
        <v>226</v>
      </c>
      <c r="D39" s="158"/>
      <c r="E39" s="158"/>
      <c r="F39" s="331">
        <f>+'4. Tipo Recurso'!D19</f>
        <v>4619.3049310875003</v>
      </c>
      <c r="G39" s="262" t="s">
        <v>225</v>
      </c>
      <c r="H39" s="138"/>
      <c r="I39" s="138"/>
      <c r="J39" s="138"/>
      <c r="K39" s="138"/>
      <c r="L39" s="638"/>
      <c r="M39" s="640">
        <f>+F39-F40</f>
        <v>4135.4149310875</v>
      </c>
      <c r="N39" s="278"/>
      <c r="O39" s="278"/>
      <c r="P39" s="457"/>
    </row>
    <row r="40" spans="1:16" ht="11.25" customHeight="1">
      <c r="A40" s="136"/>
      <c r="B40" s="138"/>
      <c r="C40" s="262" t="s">
        <v>227</v>
      </c>
      <c r="D40" s="158"/>
      <c r="E40" s="158"/>
      <c r="F40" s="331">
        <f>ROUND(D11,2)</f>
        <v>483.89</v>
      </c>
      <c r="G40" s="262" t="s">
        <v>225</v>
      </c>
      <c r="H40" s="138"/>
      <c r="I40" s="138"/>
      <c r="J40" s="138"/>
      <c r="K40" s="138"/>
      <c r="L40" s="638"/>
      <c r="M40" s="641"/>
      <c r="N40" s="278"/>
      <c r="O40" s="278"/>
      <c r="P40" s="457"/>
    </row>
    <row r="41" spans="1:16" ht="11.25" customHeight="1">
      <c r="A41" s="136"/>
      <c r="B41" s="138"/>
      <c r="C41" s="138"/>
      <c r="D41" s="138"/>
      <c r="E41" s="138"/>
      <c r="F41" s="138"/>
      <c r="G41" s="138"/>
      <c r="H41" s="138"/>
      <c r="I41" s="138"/>
      <c r="J41" s="138"/>
      <c r="K41" s="138"/>
      <c r="L41" s="638"/>
      <c r="M41" s="278"/>
      <c r="N41" s="278"/>
      <c r="O41" s="278"/>
      <c r="P41" s="457"/>
    </row>
    <row r="42" spans="1:16" ht="11.25" customHeight="1">
      <c r="A42" s="136"/>
      <c r="B42" s="138"/>
      <c r="C42" s="138"/>
      <c r="D42" s="138"/>
      <c r="E42" s="138"/>
      <c r="F42" s="138"/>
      <c r="G42" s="138"/>
      <c r="H42" s="138"/>
      <c r="I42" s="138"/>
      <c r="J42" s="138"/>
      <c r="K42" s="138"/>
      <c r="L42" s="638"/>
      <c r="M42" s="278"/>
      <c r="N42" s="278"/>
      <c r="O42" s="278"/>
      <c r="P42" s="457"/>
    </row>
    <row r="43" spans="1:16" ht="11.25" customHeight="1">
      <c r="A43" s="136"/>
      <c r="B43" s="138"/>
      <c r="C43" s="138"/>
      <c r="D43" s="138"/>
      <c r="E43" s="138"/>
      <c r="F43" s="138"/>
      <c r="G43" s="138"/>
      <c r="H43" s="138"/>
      <c r="I43" s="138"/>
      <c r="J43" s="138"/>
      <c r="K43" s="138"/>
      <c r="L43" s="452"/>
      <c r="P43" s="457"/>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marzo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topLeftCell="A10" zoomScale="115" zoomScaleNormal="100" zoomScaleSheetLayoutView="115" zoomScalePageLayoutView="95" workbookViewId="0">
      <selection activeCell="O61" sqref="O61"/>
    </sheetView>
  </sheetViews>
  <sheetFormatPr baseColWidth="10" defaultColWidth="9.28515625" defaultRowHeight="10.199999999999999"/>
  <cols>
    <col min="1" max="11" width="10.28515625" customWidth="1"/>
    <col min="12" max="12" width="21.140625" style="601" bestFit="1" customWidth="1"/>
    <col min="13" max="14" width="9.28515625" style="601"/>
    <col min="15" max="15" width="11.85546875" style="601" customWidth="1"/>
    <col min="16" max="19" width="9.28515625" style="601"/>
    <col min="20" max="20" width="15" style="601" customWidth="1"/>
    <col min="21" max="22" width="9.28515625" style="601"/>
    <col min="23" max="24" width="9.28515625" style="278"/>
    <col min="25" max="25" width="17.85546875" style="450" bestFit="1" customWidth="1"/>
  </cols>
  <sheetData>
    <row r="2" spans="1:25" ht="11.25" customHeight="1">
      <c r="A2" s="850" t="s">
        <v>232</v>
      </c>
      <c r="B2" s="850"/>
      <c r="C2" s="850"/>
      <c r="D2" s="850"/>
      <c r="E2" s="850"/>
      <c r="F2" s="850"/>
      <c r="G2" s="850"/>
      <c r="H2" s="850"/>
      <c r="I2" s="850"/>
      <c r="J2" s="850"/>
      <c r="K2" s="850"/>
    </row>
    <row r="3" spans="1:25" ht="11.25" customHeight="1"/>
    <row r="4" spans="1:25" ht="11.25" customHeight="1">
      <c r="L4" s="751" t="s">
        <v>54</v>
      </c>
      <c r="M4" s="752" t="s">
        <v>31</v>
      </c>
      <c r="N4" s="751"/>
      <c r="O4" s="753"/>
      <c r="P4" s="754"/>
      <c r="Q4" s="754"/>
    </row>
    <row r="5" spans="1:25" ht="10.5" customHeight="1">
      <c r="A5" s="149"/>
      <c r="B5" s="138"/>
      <c r="C5" s="138"/>
      <c r="D5" s="138"/>
      <c r="E5" s="138"/>
      <c r="F5" s="138"/>
      <c r="G5" s="138"/>
      <c r="H5" s="138"/>
      <c r="I5" s="138"/>
      <c r="J5" s="138"/>
      <c r="K5" s="138"/>
      <c r="L5" s="751"/>
      <c r="M5" s="752"/>
      <c r="N5" s="751"/>
      <c r="O5" s="751" t="s">
        <v>55</v>
      </c>
      <c r="P5" s="751" t="s">
        <v>56</v>
      </c>
      <c r="Q5" s="751"/>
      <c r="U5" s="601">
        <v>2021</v>
      </c>
      <c r="V5" s="755">
        <v>2020</v>
      </c>
      <c r="W5" s="755"/>
    </row>
    <row r="6" spans="1:25" ht="10.5" customHeight="1">
      <c r="A6" s="111"/>
      <c r="B6" s="138"/>
      <c r="C6" s="138"/>
      <c r="D6" s="138"/>
      <c r="E6" s="138"/>
      <c r="F6" s="138"/>
      <c r="G6" s="138"/>
      <c r="H6" s="138"/>
      <c r="I6" s="138"/>
      <c r="J6" s="138"/>
      <c r="K6" s="138"/>
      <c r="L6" s="756" t="s">
        <v>412</v>
      </c>
      <c r="M6" s="756" t="s">
        <v>58</v>
      </c>
      <c r="N6" s="757">
        <v>20.16</v>
      </c>
      <c r="O6" s="758">
        <v>15.047493467500001</v>
      </c>
      <c r="P6" s="758">
        <v>1</v>
      </c>
      <c r="Q6" s="758"/>
      <c r="S6" s="601" t="s">
        <v>445</v>
      </c>
      <c r="T6" s="601" t="s">
        <v>59</v>
      </c>
      <c r="U6" s="759">
        <v>1</v>
      </c>
      <c r="V6" s="760">
        <v>1</v>
      </c>
      <c r="W6" s="760"/>
      <c r="X6" s="601"/>
      <c r="Y6" s="779"/>
    </row>
    <row r="7" spans="1:25" ht="10.5" customHeight="1">
      <c r="A7" s="136"/>
      <c r="B7" s="138"/>
      <c r="C7" s="138"/>
      <c r="D7" s="138"/>
      <c r="E7" s="138"/>
      <c r="F7" s="138"/>
      <c r="G7" s="138"/>
      <c r="H7" s="138"/>
      <c r="I7" s="138"/>
      <c r="J7" s="138"/>
      <c r="K7" s="138"/>
      <c r="L7" s="756" t="s">
        <v>410</v>
      </c>
      <c r="M7" s="756" t="s">
        <v>58</v>
      </c>
      <c r="N7" s="757">
        <v>20.16</v>
      </c>
      <c r="O7" s="758">
        <v>15.042206632499999</v>
      </c>
      <c r="P7" s="758">
        <v>1</v>
      </c>
      <c r="Q7" s="758"/>
      <c r="T7" s="601" t="s">
        <v>57</v>
      </c>
      <c r="U7" s="759">
        <v>1</v>
      </c>
      <c r="V7" s="760">
        <v>0.99817283532646528</v>
      </c>
      <c r="W7" s="760"/>
      <c r="X7" s="601"/>
      <c r="Y7" s="779"/>
    </row>
    <row r="8" spans="1:25" ht="10.5" customHeight="1">
      <c r="A8" s="136"/>
      <c r="B8" s="138"/>
      <c r="C8" s="138"/>
      <c r="D8" s="138"/>
      <c r="E8" s="138"/>
      <c r="F8" s="138"/>
      <c r="G8" s="138"/>
      <c r="H8" s="138"/>
      <c r="I8" s="138"/>
      <c r="J8" s="138"/>
      <c r="K8" s="138"/>
      <c r="L8" s="756" t="s">
        <v>57</v>
      </c>
      <c r="M8" s="756" t="s">
        <v>58</v>
      </c>
      <c r="N8" s="757">
        <v>19.966000000000001</v>
      </c>
      <c r="O8" s="758">
        <v>14.952633835</v>
      </c>
      <c r="P8" s="758">
        <v>1</v>
      </c>
      <c r="Q8" s="758"/>
      <c r="T8" s="601" t="s">
        <v>403</v>
      </c>
      <c r="U8" s="759">
        <v>0.99894825789670083</v>
      </c>
      <c r="V8" s="760">
        <v>1</v>
      </c>
      <c r="W8" s="760"/>
      <c r="X8" s="601"/>
      <c r="Y8" s="779"/>
    </row>
    <row r="9" spans="1:25" ht="10.5" customHeight="1">
      <c r="A9" s="136"/>
      <c r="B9" s="138"/>
      <c r="C9" s="138"/>
      <c r="D9" s="138"/>
      <c r="E9" s="138"/>
      <c r="F9" s="138"/>
      <c r="G9" s="138"/>
      <c r="H9" s="138"/>
      <c r="I9" s="138"/>
      <c r="J9" s="138"/>
      <c r="K9" s="138"/>
      <c r="L9" s="756" t="s">
        <v>411</v>
      </c>
      <c r="M9" s="761" t="s">
        <v>58</v>
      </c>
      <c r="N9" s="757">
        <v>20.16</v>
      </c>
      <c r="O9" s="758">
        <v>14.877367492500001</v>
      </c>
      <c r="P9" s="758">
        <v>0.99188798033074121</v>
      </c>
      <c r="Q9" s="758"/>
      <c r="T9" s="601" t="s">
        <v>451</v>
      </c>
      <c r="U9" s="759">
        <v>0.98254712766203689</v>
      </c>
      <c r="V9" s="760">
        <v>0.93089897762133689</v>
      </c>
      <c r="W9" s="760"/>
      <c r="X9" s="601"/>
      <c r="Y9" s="779"/>
    </row>
    <row r="10" spans="1:25" ht="10.5" customHeight="1">
      <c r="A10" s="136"/>
      <c r="B10" s="138"/>
      <c r="C10" s="138"/>
      <c r="D10" s="138"/>
      <c r="E10" s="138"/>
      <c r="F10" s="138"/>
      <c r="G10" s="138"/>
      <c r="H10" s="138"/>
      <c r="I10" s="138"/>
      <c r="J10" s="138"/>
      <c r="K10" s="138"/>
      <c r="L10" s="756" t="s">
        <v>403</v>
      </c>
      <c r="M10" s="761" t="s">
        <v>58</v>
      </c>
      <c r="N10" s="757">
        <v>19.605</v>
      </c>
      <c r="O10" s="758">
        <v>14.6457768025</v>
      </c>
      <c r="P10" s="758">
        <v>1.0040899706364681</v>
      </c>
      <c r="Q10" s="758"/>
      <c r="T10" s="601" t="s">
        <v>412</v>
      </c>
      <c r="U10" s="759">
        <v>0.97714237064135057</v>
      </c>
      <c r="V10" s="760">
        <v>0.98483071099700559</v>
      </c>
      <c r="W10" s="760"/>
      <c r="X10" s="601"/>
      <c r="Y10" s="779"/>
    </row>
    <row r="11" spans="1:25" ht="10.5" customHeight="1">
      <c r="A11" s="136"/>
      <c r="B11" s="138"/>
      <c r="C11" s="138"/>
      <c r="D11" s="138"/>
      <c r="E11" s="138"/>
      <c r="F11" s="138"/>
      <c r="G11" s="138"/>
      <c r="H11" s="138"/>
      <c r="I11" s="138"/>
      <c r="J11" s="138"/>
      <c r="K11" s="138"/>
      <c r="L11" s="756" t="s">
        <v>63</v>
      </c>
      <c r="M11" s="761" t="s">
        <v>58</v>
      </c>
      <c r="N11" s="757">
        <v>19.899999999999999</v>
      </c>
      <c r="O11" s="758">
        <v>14.558775149999999</v>
      </c>
      <c r="P11" s="758">
        <v>0.98332895323391156</v>
      </c>
      <c r="Q11" s="758"/>
      <c r="T11" s="601" t="s">
        <v>410</v>
      </c>
      <c r="U11" s="759">
        <v>0.97392434356169155</v>
      </c>
      <c r="V11" s="760">
        <v>0.97432084912958228</v>
      </c>
      <c r="W11" s="760"/>
      <c r="X11" s="601"/>
      <c r="Y11" s="779"/>
    </row>
    <row r="12" spans="1:25" ht="10.5" customHeight="1">
      <c r="A12" s="136"/>
      <c r="B12" s="138"/>
      <c r="C12" s="138"/>
      <c r="D12" s="138"/>
      <c r="E12" s="138"/>
      <c r="F12" s="138"/>
      <c r="G12" s="138"/>
      <c r="H12" s="138"/>
      <c r="I12" s="138"/>
      <c r="J12" s="138"/>
      <c r="K12" s="138"/>
      <c r="L12" s="756" t="s">
        <v>451</v>
      </c>
      <c r="M12" s="756" t="s">
        <v>58</v>
      </c>
      <c r="N12" s="757">
        <v>20</v>
      </c>
      <c r="O12" s="758">
        <v>14.512724975000001</v>
      </c>
      <c r="P12" s="758">
        <v>0.97531753864247317</v>
      </c>
      <c r="Q12" s="758"/>
      <c r="T12" s="601" t="s">
        <v>452</v>
      </c>
      <c r="U12" s="759">
        <v>0.97118258663194446</v>
      </c>
      <c r="V12" s="760">
        <v>0.97247827936126374</v>
      </c>
      <c r="W12" s="760"/>
      <c r="X12" s="601"/>
      <c r="Y12" s="779"/>
    </row>
    <row r="13" spans="1:25" ht="10.5" customHeight="1">
      <c r="A13" s="136"/>
      <c r="B13" s="138"/>
      <c r="C13" s="138"/>
      <c r="D13" s="138"/>
      <c r="E13" s="138"/>
      <c r="F13" s="138"/>
      <c r="G13" s="138"/>
      <c r="H13" s="138"/>
      <c r="I13" s="138"/>
      <c r="J13" s="138"/>
      <c r="K13" s="138"/>
      <c r="L13" s="756" t="s">
        <v>452</v>
      </c>
      <c r="M13" s="756" t="s">
        <v>58</v>
      </c>
      <c r="N13" s="757">
        <v>20</v>
      </c>
      <c r="O13" s="758">
        <v>13.837525814999999</v>
      </c>
      <c r="P13" s="758">
        <v>0.92994125100806446</v>
      </c>
      <c r="Q13" s="758"/>
      <c r="T13" s="601" t="s">
        <v>62</v>
      </c>
      <c r="U13" s="759">
        <v>0.96528545935497745</v>
      </c>
      <c r="V13" s="760">
        <v>0.99054594504797366</v>
      </c>
      <c r="W13" s="760"/>
      <c r="X13" s="601"/>
      <c r="Y13" s="779"/>
    </row>
    <row r="14" spans="1:25" ht="10.5" customHeight="1">
      <c r="A14" s="136"/>
      <c r="B14" s="138"/>
      <c r="C14" s="138"/>
      <c r="D14" s="138"/>
      <c r="E14" s="138"/>
      <c r="F14" s="138"/>
      <c r="G14" s="138"/>
      <c r="H14" s="138"/>
      <c r="I14" s="138"/>
      <c r="J14" s="138"/>
      <c r="K14" s="138"/>
      <c r="L14" s="756" t="s">
        <v>60</v>
      </c>
      <c r="M14" s="756" t="s">
        <v>58</v>
      </c>
      <c r="N14" s="757">
        <v>19.966999999999999</v>
      </c>
      <c r="O14" s="758">
        <v>13.800057884999999</v>
      </c>
      <c r="P14" s="758">
        <v>0.928956022396632</v>
      </c>
      <c r="Q14" s="758"/>
      <c r="T14" s="601" t="s">
        <v>411</v>
      </c>
      <c r="U14" s="759">
        <v>0.95520928624246759</v>
      </c>
      <c r="V14" s="760">
        <v>0.95008853508016455</v>
      </c>
      <c r="W14" s="760"/>
      <c r="X14" s="601"/>
      <c r="Y14" s="779"/>
    </row>
    <row r="15" spans="1:25" ht="11.25" customHeight="1">
      <c r="A15" s="136"/>
      <c r="B15" s="138"/>
      <c r="C15" s="138"/>
      <c r="D15" s="138"/>
      <c r="E15" s="138"/>
      <c r="F15" s="138"/>
      <c r="G15" s="138"/>
      <c r="H15" s="138"/>
      <c r="I15" s="138"/>
      <c r="J15" s="138"/>
      <c r="K15" s="138"/>
      <c r="L15" s="756" t="s">
        <v>454</v>
      </c>
      <c r="M15" s="756" t="s">
        <v>58</v>
      </c>
      <c r="N15" s="757">
        <v>19</v>
      </c>
      <c r="O15" s="758">
        <v>13.528960179999999</v>
      </c>
      <c r="P15" s="758">
        <v>0.95705717176004512</v>
      </c>
      <c r="Q15" s="758"/>
      <c r="T15" s="601" t="s">
        <v>63</v>
      </c>
      <c r="U15" s="759">
        <v>0.94196715283593901</v>
      </c>
      <c r="V15" s="760">
        <v>0.9295104031489867</v>
      </c>
      <c r="W15" s="760"/>
      <c r="X15" s="601"/>
      <c r="Y15" s="779"/>
    </row>
    <row r="16" spans="1:25" ht="11.25" customHeight="1">
      <c r="A16" s="136"/>
      <c r="B16" s="138"/>
      <c r="C16" s="138"/>
      <c r="D16" s="138"/>
      <c r="E16" s="138"/>
      <c r="F16" s="138"/>
      <c r="G16" s="138"/>
      <c r="H16" s="138"/>
      <c r="I16" s="138"/>
      <c r="J16" s="138"/>
      <c r="K16" s="138"/>
      <c r="L16" s="756" t="s">
        <v>61</v>
      </c>
      <c r="M16" s="756" t="s">
        <v>58</v>
      </c>
      <c r="N16" s="757">
        <v>19.1995</v>
      </c>
      <c r="O16" s="758">
        <v>12.995249135000002</v>
      </c>
      <c r="P16" s="758">
        <v>0.90974935328176965</v>
      </c>
      <c r="Q16" s="758"/>
      <c r="T16" s="601" t="s">
        <v>66</v>
      </c>
      <c r="U16" s="759">
        <v>0.93644196733854579</v>
      </c>
      <c r="V16" s="760">
        <v>0.71617163974394449</v>
      </c>
      <c r="W16" s="760"/>
      <c r="X16" s="601"/>
      <c r="Y16" s="779"/>
    </row>
    <row r="17" spans="1:25" ht="11.25" customHeight="1">
      <c r="A17" s="136"/>
      <c r="B17" s="138"/>
      <c r="C17" s="138"/>
      <c r="D17" s="138"/>
      <c r="E17" s="138"/>
      <c r="F17" s="138"/>
      <c r="G17" s="138"/>
      <c r="H17" s="138"/>
      <c r="I17" s="138"/>
      <c r="J17" s="138"/>
      <c r="K17" s="138"/>
      <c r="L17" s="756" t="s">
        <v>417</v>
      </c>
      <c r="M17" s="756" t="s">
        <v>58</v>
      </c>
      <c r="N17" s="757">
        <v>20</v>
      </c>
      <c r="O17" s="758">
        <v>12.976194147499999</v>
      </c>
      <c r="P17" s="758">
        <v>0.8720560582997311</v>
      </c>
      <c r="Q17" s="758"/>
      <c r="T17" s="601" t="s">
        <v>71</v>
      </c>
      <c r="U17" s="759">
        <v>0.93574089465347199</v>
      </c>
      <c r="V17" s="760">
        <v>0.85150960852052116</v>
      </c>
      <c r="W17" s="760"/>
      <c r="X17" s="601"/>
      <c r="Y17" s="779"/>
    </row>
    <row r="18" spans="1:25">
      <c r="A18" s="136"/>
      <c r="B18" s="138"/>
      <c r="C18" s="138"/>
      <c r="D18" s="138"/>
      <c r="E18" s="138"/>
      <c r="F18" s="138"/>
      <c r="G18" s="138"/>
      <c r="H18" s="138"/>
      <c r="I18" s="138"/>
      <c r="J18" s="138"/>
      <c r="K18" s="138"/>
      <c r="L18" s="756" t="s">
        <v>59</v>
      </c>
      <c r="M18" s="756" t="s">
        <v>58</v>
      </c>
      <c r="N18" s="757">
        <v>15</v>
      </c>
      <c r="O18" s="758">
        <v>12.312758030000001</v>
      </c>
      <c r="P18" s="758">
        <v>1</v>
      </c>
      <c r="Q18" s="758"/>
      <c r="T18" s="601" t="s">
        <v>65</v>
      </c>
      <c r="U18" s="759">
        <v>0.93023891603214914</v>
      </c>
      <c r="V18" s="760">
        <v>0.95002187900931556</v>
      </c>
      <c r="W18" s="760"/>
      <c r="X18" s="601"/>
      <c r="Y18" s="779"/>
    </row>
    <row r="19" spans="1:25">
      <c r="A19" s="136"/>
      <c r="B19" s="138"/>
      <c r="C19" s="138"/>
      <c r="D19" s="138"/>
      <c r="E19" s="138"/>
      <c r="F19" s="138"/>
      <c r="G19" s="138"/>
      <c r="H19" s="138"/>
      <c r="I19" s="138"/>
      <c r="J19" s="138"/>
      <c r="K19" s="138"/>
      <c r="L19" s="756" t="s">
        <v>420</v>
      </c>
      <c r="M19" s="756" t="s">
        <v>58</v>
      </c>
      <c r="N19" s="757">
        <v>13.2</v>
      </c>
      <c r="O19" s="758">
        <v>9.3388908400000012</v>
      </c>
      <c r="P19" s="758">
        <v>0.95092974503095495</v>
      </c>
      <c r="Q19" s="758"/>
      <c r="T19" s="601" t="s">
        <v>450</v>
      </c>
      <c r="U19" s="759">
        <v>0.92870608327821857</v>
      </c>
      <c r="V19" s="760">
        <v>0.50824590964590965</v>
      </c>
      <c r="W19" s="760"/>
      <c r="X19" s="601"/>
      <c r="Y19" s="779"/>
    </row>
    <row r="20" spans="1:25">
      <c r="A20" s="136"/>
      <c r="B20" s="138"/>
      <c r="C20" s="138"/>
      <c r="D20" s="138"/>
      <c r="E20" s="138"/>
      <c r="F20" s="138"/>
      <c r="G20" s="138"/>
      <c r="H20" s="138"/>
      <c r="I20" s="138"/>
      <c r="J20" s="138"/>
      <c r="K20" s="138"/>
      <c r="L20" s="756" t="s">
        <v>64</v>
      </c>
      <c r="M20" s="756" t="s">
        <v>58</v>
      </c>
      <c r="N20" s="757">
        <v>10.222</v>
      </c>
      <c r="O20" s="758">
        <v>7.1483056200000004</v>
      </c>
      <c r="P20" s="758">
        <v>0.93992737833010398</v>
      </c>
      <c r="Q20" s="758"/>
      <c r="T20" s="601" t="s">
        <v>64</v>
      </c>
      <c r="U20" s="759">
        <v>0.9270625490273342</v>
      </c>
      <c r="V20" s="760">
        <v>0.94216851330857898</v>
      </c>
      <c r="W20" s="760"/>
      <c r="X20" s="601"/>
      <c r="Y20" s="779"/>
    </row>
    <row r="21" spans="1:25">
      <c r="A21" s="136"/>
      <c r="B21" s="138"/>
      <c r="C21" s="138"/>
      <c r="D21" s="138"/>
      <c r="E21" s="138"/>
      <c r="F21" s="138"/>
      <c r="G21" s="138"/>
      <c r="H21" s="138"/>
      <c r="I21" s="138"/>
      <c r="J21" s="138"/>
      <c r="K21" s="138"/>
      <c r="L21" s="756" t="s">
        <v>62</v>
      </c>
      <c r="M21" s="756" t="s">
        <v>58</v>
      </c>
      <c r="N21" s="757">
        <v>9.9830000000000005</v>
      </c>
      <c r="O21" s="758">
        <v>7.0750151925000004</v>
      </c>
      <c r="P21" s="758">
        <v>0.95256225805643779</v>
      </c>
      <c r="Q21" s="758"/>
      <c r="T21" s="601" t="s">
        <v>454</v>
      </c>
      <c r="U21" s="759">
        <v>0.90992863279727076</v>
      </c>
      <c r="V21" s="760">
        <v>0.68722433469491029</v>
      </c>
      <c r="W21" s="760"/>
      <c r="X21" s="601"/>
      <c r="Y21" s="779"/>
    </row>
    <row r="22" spans="1:25">
      <c r="A22" s="136"/>
      <c r="B22" s="138"/>
      <c r="C22" s="138"/>
      <c r="D22" s="138"/>
      <c r="E22" s="138"/>
      <c r="F22" s="138"/>
      <c r="G22" s="138"/>
      <c r="H22" s="138"/>
      <c r="I22" s="138"/>
      <c r="J22" s="138"/>
      <c r="K22" s="138"/>
      <c r="L22" s="756" t="s">
        <v>65</v>
      </c>
      <c r="M22" s="756" t="s">
        <v>58</v>
      </c>
      <c r="N22" s="757">
        <v>9.85</v>
      </c>
      <c r="O22" s="758">
        <v>6.9287397975000005</v>
      </c>
      <c r="P22" s="758">
        <v>0.94546419375307034</v>
      </c>
      <c r="Q22" s="758"/>
      <c r="T22" s="601" t="s">
        <v>73</v>
      </c>
      <c r="U22" s="759">
        <v>0.9075843243117615</v>
      </c>
      <c r="V22" s="760">
        <v>0.88836846132436131</v>
      </c>
      <c r="W22" s="760"/>
      <c r="X22" s="601"/>
      <c r="Y22" s="779"/>
    </row>
    <row r="23" spans="1:25">
      <c r="A23" s="136"/>
      <c r="B23" s="138"/>
      <c r="C23" s="138"/>
      <c r="D23" s="138"/>
      <c r="E23" s="138"/>
      <c r="F23" s="138"/>
      <c r="G23" s="138"/>
      <c r="H23" s="138"/>
      <c r="I23" s="138"/>
      <c r="J23" s="138"/>
      <c r="K23" s="138"/>
      <c r="L23" s="756" t="s">
        <v>450</v>
      </c>
      <c r="M23" s="756" t="s">
        <v>58</v>
      </c>
      <c r="N23" s="757">
        <v>8.4</v>
      </c>
      <c r="O23" s="758">
        <v>6.0981525625000002</v>
      </c>
      <c r="P23" s="758">
        <v>0.97576685907898109</v>
      </c>
      <c r="Q23" s="758"/>
      <c r="T23" s="601" t="s">
        <v>60</v>
      </c>
      <c r="U23" s="759">
        <v>0.89920131289544414</v>
      </c>
      <c r="V23" s="760">
        <v>0.87775984455166045</v>
      </c>
      <c r="W23" s="760"/>
      <c r="X23" s="601"/>
      <c r="Y23" s="779"/>
    </row>
    <row r="24" spans="1:25">
      <c r="A24" s="136"/>
      <c r="B24" s="138"/>
      <c r="C24" s="138"/>
      <c r="D24" s="138"/>
      <c r="E24" s="138"/>
      <c r="F24" s="138"/>
      <c r="G24" s="138"/>
      <c r="H24" s="138"/>
      <c r="I24" s="138"/>
      <c r="J24" s="138"/>
      <c r="K24" s="138"/>
      <c r="L24" s="756" t="s">
        <v>69</v>
      </c>
      <c r="M24" s="756" t="s">
        <v>58</v>
      </c>
      <c r="N24" s="757">
        <v>9.5660000000000007</v>
      </c>
      <c r="O24" s="758">
        <v>5.5848222299999994</v>
      </c>
      <c r="P24" s="758">
        <v>0.78470431653099348</v>
      </c>
      <c r="Q24" s="758"/>
      <c r="T24" s="601" t="s">
        <v>420</v>
      </c>
      <c r="U24" s="759">
        <v>0.89702404741863095</v>
      </c>
      <c r="V24" s="760">
        <v>0.71228634629259635</v>
      </c>
      <c r="W24" s="760"/>
      <c r="X24" s="601"/>
      <c r="Y24" s="779"/>
    </row>
    <row r="25" spans="1:25">
      <c r="A25" s="136"/>
      <c r="B25" s="138"/>
      <c r="C25" s="138"/>
      <c r="D25" s="138"/>
      <c r="E25" s="138"/>
      <c r="F25" s="138"/>
      <c r="G25" s="138"/>
      <c r="H25" s="138"/>
      <c r="I25" s="138"/>
      <c r="J25" s="138"/>
      <c r="K25" s="138"/>
      <c r="L25" s="756" t="s">
        <v>483</v>
      </c>
      <c r="M25" s="756" t="s">
        <v>58</v>
      </c>
      <c r="N25" s="757">
        <v>20</v>
      </c>
      <c r="O25" s="758">
        <v>5.2529412175000001</v>
      </c>
      <c r="P25" s="758">
        <v>0.35302024311155911</v>
      </c>
      <c r="Q25" s="758"/>
      <c r="T25" s="601" t="s">
        <v>61</v>
      </c>
      <c r="U25" s="759">
        <v>0.89323100385764298</v>
      </c>
      <c r="V25" s="760">
        <v>0.69783796596122438</v>
      </c>
      <c r="W25" s="760"/>
      <c r="X25" s="601"/>
      <c r="Y25" s="779"/>
    </row>
    <row r="26" spans="1:25">
      <c r="A26" s="136"/>
      <c r="B26" s="138"/>
      <c r="C26" s="138"/>
      <c r="D26" s="138"/>
      <c r="E26" s="138"/>
      <c r="F26" s="138"/>
      <c r="G26" s="138"/>
      <c r="H26" s="138"/>
      <c r="I26" s="138"/>
      <c r="J26" s="138"/>
      <c r="K26" s="138"/>
      <c r="L26" s="756" t="s">
        <v>66</v>
      </c>
      <c r="M26" s="756" t="s">
        <v>58</v>
      </c>
      <c r="N26" s="757">
        <v>7.7450000000000001</v>
      </c>
      <c r="O26" s="758">
        <v>5.2378778024999999</v>
      </c>
      <c r="P26" s="758">
        <v>0.90899397504112966</v>
      </c>
      <c r="Q26" s="758"/>
      <c r="T26" s="601" t="s">
        <v>68</v>
      </c>
      <c r="U26" s="759">
        <v>0.87002110430439772</v>
      </c>
      <c r="V26" s="760">
        <v>0.77630086741011217</v>
      </c>
      <c r="W26" s="760"/>
      <c r="X26" s="601"/>
      <c r="Y26" s="779"/>
    </row>
    <row r="27" spans="1:25">
      <c r="A27" s="136"/>
      <c r="B27" s="138"/>
      <c r="C27" s="138"/>
      <c r="D27" s="138"/>
      <c r="E27" s="138"/>
      <c r="F27" s="138"/>
      <c r="G27" s="138"/>
      <c r="H27" s="138"/>
      <c r="I27" s="138"/>
      <c r="J27" s="138"/>
      <c r="K27" s="138"/>
      <c r="L27" s="756" t="s">
        <v>67</v>
      </c>
      <c r="M27" s="756" t="s">
        <v>58</v>
      </c>
      <c r="N27" s="757">
        <v>7.4240000000000004</v>
      </c>
      <c r="O27" s="758">
        <v>4.8353589125000003</v>
      </c>
      <c r="P27" s="758">
        <v>0.87542272673123489</v>
      </c>
      <c r="Q27" s="758"/>
      <c r="T27" s="601" t="s">
        <v>67</v>
      </c>
      <c r="U27" s="759">
        <v>0.85958669190388515</v>
      </c>
      <c r="V27" s="760">
        <v>0.79963336890132575</v>
      </c>
      <c r="W27" s="760"/>
      <c r="X27" s="601"/>
      <c r="Y27" s="779"/>
    </row>
    <row r="28" spans="1:25">
      <c r="A28" s="136"/>
      <c r="B28" s="138"/>
      <c r="C28" s="138"/>
      <c r="D28" s="138"/>
      <c r="E28" s="138"/>
      <c r="F28" s="138"/>
      <c r="G28" s="138"/>
      <c r="H28" s="138"/>
      <c r="I28" s="138"/>
      <c r="J28" s="138"/>
      <c r="K28" s="138"/>
      <c r="L28" s="756" t="s">
        <v>68</v>
      </c>
      <c r="M28" s="756" t="s">
        <v>58</v>
      </c>
      <c r="N28" s="757">
        <v>6.9580000000000002</v>
      </c>
      <c r="O28" s="758">
        <v>4.5525688174999992</v>
      </c>
      <c r="P28" s="758">
        <v>0.87942571278284132</v>
      </c>
      <c r="Q28" s="758"/>
      <c r="T28" s="601" t="s">
        <v>74</v>
      </c>
      <c r="U28" s="759">
        <v>0.84935717756101203</v>
      </c>
      <c r="V28" s="760">
        <v>0.85334170538509602</v>
      </c>
      <c r="W28" s="760"/>
      <c r="X28" s="601"/>
      <c r="Y28" s="779"/>
    </row>
    <row r="29" spans="1:25">
      <c r="A29" s="136"/>
      <c r="B29" s="138"/>
      <c r="C29" s="138"/>
      <c r="D29" s="138"/>
      <c r="E29" s="138"/>
      <c r="F29" s="138"/>
      <c r="G29" s="138"/>
      <c r="H29" s="138"/>
      <c r="I29" s="138"/>
      <c r="J29" s="138"/>
      <c r="K29" s="138"/>
      <c r="L29" s="756" t="s">
        <v>71</v>
      </c>
      <c r="M29" s="756" t="s">
        <v>58</v>
      </c>
      <c r="N29" s="757">
        <v>5.67</v>
      </c>
      <c r="O29" s="758">
        <v>3.8630951850000002</v>
      </c>
      <c r="P29" s="758">
        <v>0.9157552447801105</v>
      </c>
      <c r="Q29" s="758"/>
      <c r="T29" s="601" t="s">
        <v>417</v>
      </c>
      <c r="U29" s="759">
        <v>0.82363646788194456</v>
      </c>
      <c r="V29" s="760">
        <v>0.68309133510760067</v>
      </c>
      <c r="W29" s="760"/>
      <c r="X29" s="601"/>
      <c r="Y29" s="779"/>
    </row>
    <row r="30" spans="1:25">
      <c r="A30" s="136"/>
      <c r="B30" s="138"/>
      <c r="C30" s="138"/>
      <c r="D30" s="138"/>
      <c r="E30" s="138"/>
      <c r="F30" s="138"/>
      <c r="G30" s="138"/>
      <c r="H30" s="138"/>
      <c r="I30" s="138"/>
      <c r="J30" s="138"/>
      <c r="K30" s="138"/>
      <c r="L30" s="601" t="s">
        <v>70</v>
      </c>
      <c r="M30" s="756" t="s">
        <v>58</v>
      </c>
      <c r="N30" s="757">
        <v>5.1890000000000001</v>
      </c>
      <c r="O30" s="758">
        <v>3.3593649599999997</v>
      </c>
      <c r="P30" s="758">
        <v>0.87016293772807241</v>
      </c>
      <c r="Q30" s="758"/>
      <c r="T30" s="601" t="s">
        <v>72</v>
      </c>
      <c r="U30" s="759">
        <v>0.74251900742337185</v>
      </c>
      <c r="V30" s="760">
        <v>0.77644119787061605</v>
      </c>
      <c r="W30" s="760"/>
      <c r="X30" s="601"/>
      <c r="Y30" s="779"/>
    </row>
    <row r="31" spans="1:25">
      <c r="A31" s="136"/>
      <c r="B31" s="138"/>
      <c r="C31" s="138"/>
      <c r="D31" s="138"/>
      <c r="E31" s="138"/>
      <c r="F31" s="138"/>
      <c r="G31" s="138"/>
      <c r="H31" s="138"/>
      <c r="I31" s="138"/>
      <c r="J31" s="138"/>
      <c r="K31" s="138"/>
      <c r="L31" s="756" t="s">
        <v>73</v>
      </c>
      <c r="M31" s="756" t="s">
        <v>58</v>
      </c>
      <c r="N31" s="757">
        <v>3.91621</v>
      </c>
      <c r="O31" s="758">
        <v>2.646348835</v>
      </c>
      <c r="P31" s="758">
        <v>0.90825580782198534</v>
      </c>
      <c r="Q31" s="758"/>
      <c r="T31" s="601" t="s">
        <v>70</v>
      </c>
      <c r="U31" s="759">
        <v>0.67197284185563488</v>
      </c>
      <c r="V31" s="760">
        <v>0.83490725286549383</v>
      </c>
      <c r="W31" s="760"/>
      <c r="X31" s="601"/>
      <c r="Y31" s="779"/>
    </row>
    <row r="32" spans="1:25">
      <c r="A32" s="136"/>
      <c r="B32" s="138"/>
      <c r="C32" s="138"/>
      <c r="D32" s="138"/>
      <c r="E32" s="138"/>
      <c r="F32" s="138"/>
      <c r="G32" s="138"/>
      <c r="H32" s="138"/>
      <c r="I32" s="138"/>
      <c r="J32" s="138"/>
      <c r="K32" s="138"/>
      <c r="L32" s="756" t="s">
        <v>74</v>
      </c>
      <c r="M32" s="756" t="s">
        <v>58</v>
      </c>
      <c r="N32" s="757">
        <v>3.964</v>
      </c>
      <c r="O32" s="758">
        <v>2.5939999999999999</v>
      </c>
      <c r="P32" s="758">
        <v>0.8795557870295021</v>
      </c>
      <c r="Q32" s="758"/>
      <c r="T32" s="601" t="s">
        <v>69</v>
      </c>
      <c r="U32" s="759">
        <v>0.60457609076513252</v>
      </c>
      <c r="V32" s="760">
        <v>0.6836195301449195</v>
      </c>
      <c r="W32" s="760"/>
      <c r="X32" s="601"/>
      <c r="Y32" s="779"/>
    </row>
    <row r="33" spans="1:25">
      <c r="A33" s="136"/>
      <c r="B33" s="138"/>
      <c r="C33" s="138"/>
      <c r="D33" s="138"/>
      <c r="E33" s="138"/>
      <c r="F33" s="138"/>
      <c r="G33" s="138"/>
      <c r="H33" s="138"/>
      <c r="I33" s="138"/>
      <c r="J33" s="138"/>
      <c r="K33" s="138"/>
      <c r="L33" s="756" t="s">
        <v>72</v>
      </c>
      <c r="M33" s="756" t="s">
        <v>58</v>
      </c>
      <c r="N33" s="757">
        <v>3.48</v>
      </c>
      <c r="O33" s="758">
        <v>1.921022775</v>
      </c>
      <c r="P33" s="758">
        <v>0.74195972956062295</v>
      </c>
      <c r="Q33" s="758"/>
      <c r="T33" s="601" t="s">
        <v>483</v>
      </c>
      <c r="U33" s="759">
        <v>0.43908491487268519</v>
      </c>
      <c r="V33" s="760"/>
      <c r="W33" s="760"/>
      <c r="X33" s="601"/>
      <c r="Y33" s="779"/>
    </row>
    <row r="34" spans="1:25">
      <c r="B34" s="138"/>
      <c r="C34" s="138"/>
      <c r="D34" s="138"/>
      <c r="E34" s="138"/>
      <c r="F34" s="138"/>
      <c r="G34" s="138"/>
      <c r="H34" s="138"/>
      <c r="I34" s="138"/>
      <c r="J34" s="138"/>
      <c r="K34" s="138"/>
      <c r="L34" s="756" t="s">
        <v>75</v>
      </c>
      <c r="M34" s="756" t="s">
        <v>58</v>
      </c>
      <c r="N34" s="757">
        <v>1.714</v>
      </c>
      <c r="O34" s="758">
        <v>0.41744592999999997</v>
      </c>
      <c r="P34" s="758">
        <v>0.32735311508011194</v>
      </c>
      <c r="Q34" s="758"/>
      <c r="T34" s="601" t="s">
        <v>413</v>
      </c>
      <c r="U34" s="759">
        <v>0.42695322585978845</v>
      </c>
      <c r="V34" s="760">
        <v>0.80594907607273691</v>
      </c>
      <c r="W34" s="760"/>
      <c r="X34" s="601"/>
      <c r="Y34" s="779"/>
    </row>
    <row r="35" spans="1:25">
      <c r="A35" s="136"/>
      <c r="B35" s="138"/>
      <c r="C35" s="138"/>
      <c r="D35" s="138"/>
      <c r="E35" s="138"/>
      <c r="F35" s="138"/>
      <c r="G35" s="138"/>
      <c r="H35" s="138"/>
      <c r="I35" s="138"/>
      <c r="J35" s="138"/>
      <c r="K35" s="138"/>
      <c r="L35" s="756" t="s">
        <v>413</v>
      </c>
      <c r="M35" s="756" t="s">
        <v>58</v>
      </c>
      <c r="N35" s="757">
        <v>0.7</v>
      </c>
      <c r="O35" s="758">
        <v>0.20003406000000001</v>
      </c>
      <c r="P35" s="758">
        <v>0.38408997695852543</v>
      </c>
      <c r="Q35" s="758"/>
      <c r="T35" s="601" t="s">
        <v>75</v>
      </c>
      <c r="U35" s="759">
        <v>0.23394775932948703</v>
      </c>
      <c r="V35" s="760">
        <v>0.37712138053991906</v>
      </c>
      <c r="W35" s="760"/>
      <c r="X35" s="601"/>
      <c r="Y35" s="779"/>
    </row>
    <row r="36" spans="1:25" ht="10.8" customHeight="1">
      <c r="A36" s="136"/>
      <c r="B36" s="138"/>
      <c r="C36" s="138"/>
      <c r="D36" s="138"/>
      <c r="E36" s="138"/>
      <c r="F36" s="138"/>
      <c r="G36" s="138"/>
      <c r="H36" s="138"/>
      <c r="I36" s="138"/>
      <c r="J36" s="138"/>
      <c r="K36" s="138"/>
      <c r="L36" s="756" t="s">
        <v>421</v>
      </c>
      <c r="M36" s="756" t="s">
        <v>215</v>
      </c>
      <c r="N36" s="757">
        <v>132.30000000000001</v>
      </c>
      <c r="O36" s="758">
        <v>46.866008530000002</v>
      </c>
      <c r="P36" s="758">
        <v>0.47612960656783615</v>
      </c>
      <c r="Q36" s="758"/>
      <c r="S36" s="601" t="s">
        <v>438</v>
      </c>
      <c r="T36" s="601" t="s">
        <v>78</v>
      </c>
      <c r="U36" s="759">
        <v>0.64417425900607639</v>
      </c>
      <c r="V36" s="760">
        <v>0.51350508449233057</v>
      </c>
      <c r="W36" s="760"/>
      <c r="X36" s="601"/>
      <c r="Y36" s="779"/>
    </row>
    <row r="37" spans="1:25">
      <c r="A37" s="136"/>
      <c r="B37" s="138"/>
      <c r="C37" s="138"/>
      <c r="D37" s="138"/>
      <c r="E37" s="138"/>
      <c r="F37" s="138"/>
      <c r="G37" s="138"/>
      <c r="H37" s="138"/>
      <c r="I37" s="138"/>
      <c r="J37" s="138"/>
      <c r="K37" s="138"/>
      <c r="L37" s="756" t="s">
        <v>76</v>
      </c>
      <c r="M37" s="756" t="s">
        <v>215</v>
      </c>
      <c r="N37" s="757">
        <v>97.15</v>
      </c>
      <c r="O37" s="758">
        <v>46.834456469999999</v>
      </c>
      <c r="P37" s="758">
        <v>0.64796230845217728</v>
      </c>
      <c r="Q37" s="758"/>
      <c r="T37" s="601" t="s">
        <v>76</v>
      </c>
      <c r="U37" s="759">
        <v>0.60828615877747272</v>
      </c>
      <c r="V37" s="760">
        <v>0.48234307902275275</v>
      </c>
      <c r="W37" s="760"/>
      <c r="X37" s="601"/>
      <c r="Y37" s="779"/>
    </row>
    <row r="38" spans="1:25" ht="11.25" customHeight="1">
      <c r="A38" s="136"/>
      <c r="B38" s="138"/>
      <c r="C38" s="138"/>
      <c r="D38" s="138"/>
      <c r="E38" s="138"/>
      <c r="F38" s="138"/>
      <c r="G38" s="138"/>
      <c r="H38" s="138"/>
      <c r="I38" s="138"/>
      <c r="J38" s="138"/>
      <c r="K38" s="138"/>
      <c r="L38" s="756" t="s">
        <v>77</v>
      </c>
      <c r="M38" s="756" t="s">
        <v>215</v>
      </c>
      <c r="N38" s="757">
        <v>83.15</v>
      </c>
      <c r="O38" s="758">
        <v>22.519486022500001</v>
      </c>
      <c r="P38" s="758">
        <v>0.36401835687706502</v>
      </c>
      <c r="Q38" s="762"/>
      <c r="T38" s="601" t="s">
        <v>421</v>
      </c>
      <c r="U38" s="759">
        <v>0.47963130445851182</v>
      </c>
      <c r="V38" s="760">
        <v>0.41934131825043819</v>
      </c>
      <c r="W38" s="760"/>
      <c r="X38" s="601"/>
      <c r="Y38" s="779"/>
    </row>
    <row r="39" spans="1:25">
      <c r="A39" s="136"/>
      <c r="B39" s="138"/>
      <c r="C39" s="138"/>
      <c r="D39" s="138"/>
      <c r="E39" s="138"/>
      <c r="F39" s="138"/>
      <c r="G39" s="138"/>
      <c r="H39" s="138"/>
      <c r="I39" s="138"/>
      <c r="J39" s="138"/>
      <c r="K39" s="138"/>
      <c r="L39" s="756" t="s">
        <v>78</v>
      </c>
      <c r="M39" s="756" t="s">
        <v>215</v>
      </c>
      <c r="N39" s="757">
        <v>32</v>
      </c>
      <c r="O39" s="758">
        <v>15.99853315</v>
      </c>
      <c r="P39" s="758">
        <v>0.67198139910954302</v>
      </c>
      <c r="T39" s="601" t="s">
        <v>77</v>
      </c>
      <c r="U39" s="759">
        <v>0.42502439832910183</v>
      </c>
      <c r="V39" s="760">
        <v>0.47059132635754708</v>
      </c>
      <c r="W39" s="760"/>
      <c r="X39" s="601"/>
      <c r="Y39" s="779"/>
    </row>
    <row r="40" spans="1:25">
      <c r="A40" s="136"/>
      <c r="B40" s="138"/>
      <c r="C40" s="138"/>
      <c r="D40" s="138"/>
      <c r="E40" s="138"/>
      <c r="F40" s="138"/>
      <c r="G40" s="138"/>
      <c r="H40" s="138"/>
      <c r="I40" s="138"/>
      <c r="J40" s="138"/>
      <c r="K40" s="138"/>
      <c r="L40" s="756" t="s">
        <v>79</v>
      </c>
      <c r="M40" s="756" t="s">
        <v>215</v>
      </c>
      <c r="N40" s="757">
        <v>30.86</v>
      </c>
      <c r="O40" s="758">
        <v>3.6259629974999998</v>
      </c>
      <c r="P40" s="758">
        <v>0.15792631819298392</v>
      </c>
      <c r="T40" s="601" t="s">
        <v>79</v>
      </c>
      <c r="U40" s="759">
        <v>0.31834813003318452</v>
      </c>
      <c r="V40" s="760">
        <v>0.3334459979963868</v>
      </c>
      <c r="W40" s="760"/>
      <c r="X40" s="601"/>
      <c r="Y40" s="779"/>
    </row>
    <row r="41" spans="1:25">
      <c r="A41" s="136"/>
      <c r="B41" s="138"/>
      <c r="C41" s="138"/>
      <c r="D41" s="138"/>
      <c r="E41" s="138"/>
      <c r="F41" s="138"/>
      <c r="G41" s="138"/>
      <c r="H41" s="138"/>
      <c r="I41" s="138"/>
      <c r="J41" s="138"/>
      <c r="K41" s="138"/>
      <c r="L41" s="601" t="s">
        <v>610</v>
      </c>
      <c r="M41" s="756" t="s">
        <v>215</v>
      </c>
      <c r="N41" s="757">
        <v>18.37</v>
      </c>
      <c r="O41" s="758">
        <v>0</v>
      </c>
      <c r="P41" s="758">
        <v>0</v>
      </c>
      <c r="S41" s="601" t="s">
        <v>430</v>
      </c>
      <c r="T41" s="601" t="s">
        <v>229</v>
      </c>
      <c r="U41" s="759">
        <v>0.3698442901041667</v>
      </c>
      <c r="V41" s="760">
        <v>0.2686925200320513</v>
      </c>
      <c r="W41" s="760"/>
      <c r="X41" s="601"/>
      <c r="Y41" s="779"/>
    </row>
    <row r="42" spans="1:25">
      <c r="A42" s="136"/>
      <c r="B42" s="138"/>
      <c r="C42" s="138"/>
      <c r="D42" s="138"/>
      <c r="E42" s="138"/>
      <c r="F42" s="138"/>
      <c r="G42" s="138"/>
      <c r="H42" s="138"/>
      <c r="I42" s="138"/>
      <c r="J42" s="138"/>
      <c r="K42" s="138"/>
      <c r="L42" s="601" t="s">
        <v>611</v>
      </c>
      <c r="M42" s="756" t="s">
        <v>215</v>
      </c>
      <c r="N42" s="757">
        <v>18.37</v>
      </c>
      <c r="O42" s="758">
        <v>0</v>
      </c>
      <c r="P42" s="758">
        <v>0</v>
      </c>
      <c r="T42" s="601" t="s">
        <v>81</v>
      </c>
      <c r="U42" s="759">
        <v>0.36532361118344908</v>
      </c>
      <c r="V42" s="760">
        <v>0.30957137741815477</v>
      </c>
      <c r="W42" s="760"/>
      <c r="X42" s="601"/>
      <c r="Y42" s="779"/>
    </row>
    <row r="43" spans="1:25" ht="36" customHeight="1">
      <c r="A43" s="847"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marzo 2021.
Nota: Son consideradas las centrales con operación comercial</v>
      </c>
      <c r="B43" s="847"/>
      <c r="C43" s="847"/>
      <c r="D43" s="847"/>
      <c r="E43" s="847"/>
      <c r="F43" s="847"/>
      <c r="G43" s="847"/>
      <c r="H43" s="847"/>
      <c r="I43" s="847"/>
      <c r="J43" s="847"/>
      <c r="K43" s="847"/>
      <c r="L43" s="756" t="s">
        <v>422</v>
      </c>
      <c r="M43" s="756" t="s">
        <v>80</v>
      </c>
      <c r="N43" s="757">
        <v>144.47999999999999</v>
      </c>
      <c r="O43" s="758">
        <v>34.162453659999997</v>
      </c>
      <c r="P43" s="758">
        <v>0.31781060648346615</v>
      </c>
      <c r="T43" s="601" t="s">
        <v>230</v>
      </c>
      <c r="U43" s="759">
        <v>0.35663453524305555</v>
      </c>
      <c r="V43" s="760">
        <v>0.26910556112637363</v>
      </c>
      <c r="W43" s="760"/>
      <c r="X43" s="601"/>
      <c r="Y43" s="779"/>
    </row>
    <row r="44" spans="1:25" ht="18" customHeight="1">
      <c r="A44" s="136"/>
      <c r="B44" s="138"/>
      <c r="C44" s="138"/>
      <c r="D44" s="138"/>
      <c r="E44" s="138"/>
      <c r="F44" s="138"/>
      <c r="G44" s="138"/>
      <c r="H44" s="138"/>
      <c r="I44" s="138"/>
      <c r="J44" s="138"/>
      <c r="K44" s="138"/>
      <c r="L44" s="756" t="s">
        <v>423</v>
      </c>
      <c r="M44" s="756" t="s">
        <v>80</v>
      </c>
      <c r="N44" s="757">
        <v>44.54</v>
      </c>
      <c r="O44" s="758">
        <v>8.0263996674999998</v>
      </c>
      <c r="P44" s="758">
        <v>0.24221310274140434</v>
      </c>
      <c r="T44" s="601" t="s">
        <v>422</v>
      </c>
      <c r="U44" s="759">
        <v>0.35385167503640141</v>
      </c>
      <c r="V44" s="760">
        <v>0.30344883408137407</v>
      </c>
      <c r="W44" s="760"/>
      <c r="X44" s="601"/>
      <c r="Y44" s="779"/>
    </row>
    <row r="45" spans="1:25" ht="12">
      <c r="A45" s="136"/>
      <c r="B45" s="138"/>
      <c r="C45" s="851" t="str">
        <f>"Factor de planta de las centrales RER  Acumulado al "&amp;'1. Resumen'!Q7&amp;" de "&amp;'1. Resumen'!Q4</f>
        <v>Factor de planta de las centrales RER  Acumulado al 31 de marzo</v>
      </c>
      <c r="D45" s="851"/>
      <c r="E45" s="851"/>
      <c r="F45" s="851"/>
      <c r="G45" s="851"/>
      <c r="H45" s="851"/>
      <c r="I45" s="851"/>
      <c r="J45" s="138"/>
      <c r="K45" s="138"/>
      <c r="L45" s="756" t="s">
        <v>229</v>
      </c>
      <c r="M45" s="756" t="s">
        <v>80</v>
      </c>
      <c r="N45" s="757">
        <v>20</v>
      </c>
      <c r="O45" s="758">
        <v>5.3466748125000008</v>
      </c>
      <c r="P45" s="758">
        <v>0.3593195438508065</v>
      </c>
      <c r="T45" s="601" t="s">
        <v>423</v>
      </c>
      <c r="U45" s="759">
        <v>0.26738224988150472</v>
      </c>
      <c r="V45" s="760">
        <v>0.22788130827786193</v>
      </c>
      <c r="W45" s="760"/>
      <c r="X45" s="601"/>
      <c r="Y45" s="779"/>
    </row>
    <row r="46" spans="1:25" ht="9.75" customHeight="1">
      <c r="A46" s="136"/>
      <c r="B46" s="138"/>
      <c r="C46" s="138"/>
      <c r="D46" s="138"/>
      <c r="E46" s="138"/>
      <c r="F46" s="138"/>
      <c r="G46" s="138"/>
      <c r="H46" s="138"/>
      <c r="I46" s="138"/>
      <c r="J46" s="138"/>
      <c r="K46" s="138"/>
      <c r="L46" s="756" t="s">
        <v>230</v>
      </c>
      <c r="M46" s="756" t="s">
        <v>80</v>
      </c>
      <c r="N46" s="757">
        <v>20</v>
      </c>
      <c r="O46" s="758">
        <v>5.0347205949999996</v>
      </c>
      <c r="P46" s="758">
        <v>0.33835487869623654</v>
      </c>
      <c r="T46" s="601" t="s">
        <v>82</v>
      </c>
      <c r="U46" s="759">
        <v>0.23515312997685184</v>
      </c>
      <c r="V46" s="760">
        <v>0.21979934964514652</v>
      </c>
      <c r="W46" s="760"/>
      <c r="X46" s="601"/>
      <c r="Y46" s="779"/>
    </row>
    <row r="47" spans="1:25" ht="9.75" customHeight="1">
      <c r="A47" s="136"/>
      <c r="B47" s="138"/>
      <c r="C47" s="138"/>
      <c r="D47" s="138"/>
      <c r="E47" s="138"/>
      <c r="F47" s="138"/>
      <c r="G47" s="138"/>
      <c r="H47" s="138"/>
      <c r="I47" s="138"/>
      <c r="J47" s="138"/>
      <c r="K47" s="138"/>
      <c r="L47" s="756" t="s">
        <v>81</v>
      </c>
      <c r="M47" s="756" t="s">
        <v>80</v>
      </c>
      <c r="N47" s="757">
        <v>16</v>
      </c>
      <c r="O47" s="758">
        <v>4.0455423274999998</v>
      </c>
      <c r="P47" s="758">
        <v>0.33984730573756716</v>
      </c>
      <c r="T47" s="601" t="s">
        <v>231</v>
      </c>
      <c r="U47" s="759">
        <v>0.23474406712962961</v>
      </c>
      <c r="V47" s="760">
        <v>0.23429601877289377</v>
      </c>
      <c r="X47" s="601"/>
      <c r="Y47" s="779"/>
    </row>
    <row r="48" spans="1:25" ht="9.75" customHeight="1">
      <c r="A48" s="136"/>
      <c r="B48" s="138"/>
      <c r="C48" s="138"/>
      <c r="D48" s="138"/>
      <c r="E48" s="138"/>
      <c r="F48" s="138"/>
      <c r="G48" s="138"/>
      <c r="H48" s="138"/>
      <c r="I48" s="138"/>
      <c r="J48" s="138"/>
      <c r="K48" s="138"/>
      <c r="L48" s="756" t="s">
        <v>82</v>
      </c>
      <c r="M48" s="756" t="s">
        <v>80</v>
      </c>
      <c r="N48" s="757">
        <v>20</v>
      </c>
      <c r="O48" s="758">
        <v>3.5955658150000001</v>
      </c>
      <c r="P48" s="758">
        <v>0.2416374875672043</v>
      </c>
      <c r="S48" s="601" t="s">
        <v>431</v>
      </c>
      <c r="T48" s="601" t="s">
        <v>84</v>
      </c>
      <c r="U48" s="759">
        <v>0.98689489491691096</v>
      </c>
      <c r="V48" s="760">
        <v>0.70418884072916321</v>
      </c>
      <c r="X48" s="601"/>
      <c r="Y48" s="779"/>
    </row>
    <row r="49" spans="1:25" ht="9.75" customHeight="1">
      <c r="A49" s="136"/>
      <c r="B49" s="138"/>
      <c r="C49" s="138"/>
      <c r="D49" s="138"/>
      <c r="E49" s="138"/>
      <c r="F49" s="138"/>
      <c r="G49" s="138"/>
      <c r="H49" s="138"/>
      <c r="I49" s="138"/>
      <c r="J49" s="138"/>
      <c r="K49" s="138"/>
      <c r="L49" s="756" t="s">
        <v>231</v>
      </c>
      <c r="M49" s="756" t="s">
        <v>80</v>
      </c>
      <c r="N49" s="757">
        <v>20</v>
      </c>
      <c r="O49" s="758">
        <v>3.5474250999999999</v>
      </c>
      <c r="P49" s="758">
        <v>0.23840222446236559</v>
      </c>
      <c r="T49" s="601" t="s">
        <v>83</v>
      </c>
      <c r="U49" s="759">
        <v>0.98051727414465373</v>
      </c>
      <c r="V49" s="760">
        <v>0.6841700061688063</v>
      </c>
      <c r="X49" s="601"/>
      <c r="Y49" s="779"/>
    </row>
    <row r="50" spans="1:25" ht="9.75" customHeight="1">
      <c r="A50" s="136"/>
      <c r="B50" s="138"/>
      <c r="C50" s="138"/>
      <c r="D50" s="138"/>
      <c r="E50" s="138"/>
      <c r="F50" s="138"/>
      <c r="G50" s="138"/>
      <c r="H50" s="138"/>
      <c r="I50" s="138"/>
      <c r="J50" s="138"/>
      <c r="K50" s="138"/>
      <c r="L50" s="756" t="s">
        <v>83</v>
      </c>
      <c r="M50" s="756" t="s">
        <v>400</v>
      </c>
      <c r="N50" s="757">
        <v>12.74105</v>
      </c>
      <c r="O50" s="758">
        <v>9.5538229499999989</v>
      </c>
      <c r="P50" s="758">
        <v>1.0078572707141296</v>
      </c>
      <c r="T50" s="601" t="s">
        <v>85</v>
      </c>
      <c r="U50" s="759">
        <v>0.92574281676215253</v>
      </c>
      <c r="V50" s="760">
        <v>0.61505681131172041</v>
      </c>
      <c r="Y50" s="520"/>
    </row>
    <row r="51" spans="1:25" ht="20.25" customHeight="1">
      <c r="A51" s="136"/>
      <c r="B51" s="138"/>
      <c r="C51" s="138"/>
      <c r="D51" s="138"/>
      <c r="E51" s="138"/>
      <c r="F51" s="138"/>
      <c r="G51" s="138"/>
      <c r="H51" s="138"/>
      <c r="I51" s="138"/>
      <c r="J51" s="138"/>
      <c r="K51" s="138"/>
      <c r="L51" s="756" t="s">
        <v>84</v>
      </c>
      <c r="M51" s="756" t="s">
        <v>400</v>
      </c>
      <c r="N51" s="757">
        <v>4.2625000000000002</v>
      </c>
      <c r="O51" s="758">
        <v>3.2844440000000001</v>
      </c>
      <c r="P51" s="758">
        <v>1.0356774824204584</v>
      </c>
      <c r="T51" s="600" t="s">
        <v>424</v>
      </c>
      <c r="U51" s="759">
        <v>0.82929633632330269</v>
      </c>
      <c r="V51" s="760">
        <v>0.8228825692536631</v>
      </c>
    </row>
    <row r="52" spans="1:25" ht="9.75" customHeight="1">
      <c r="A52" s="136"/>
      <c r="B52" s="138"/>
      <c r="C52" s="138"/>
      <c r="D52" s="138"/>
      <c r="E52" s="138"/>
      <c r="F52" s="138"/>
      <c r="G52" s="138"/>
      <c r="H52" s="138"/>
      <c r="I52" s="138"/>
      <c r="J52" s="138"/>
      <c r="K52" s="138"/>
      <c r="L52" s="756" t="s">
        <v>85</v>
      </c>
      <c r="M52" s="756" t="s">
        <v>400</v>
      </c>
      <c r="N52" s="757">
        <v>2.9537</v>
      </c>
      <c r="O52" s="758">
        <v>1.9902840749999999</v>
      </c>
      <c r="P52" s="758">
        <v>0.90568202729872982</v>
      </c>
      <c r="T52" s="601" t="s">
        <v>476</v>
      </c>
      <c r="U52" s="759">
        <v>0.71444431664737673</v>
      </c>
      <c r="V52" s="760"/>
    </row>
    <row r="53" spans="1:25" ht="9.75" customHeight="1">
      <c r="B53" s="138"/>
      <c r="C53" s="138"/>
      <c r="D53" s="138"/>
      <c r="E53" s="138"/>
      <c r="F53" s="138"/>
      <c r="G53" s="138"/>
      <c r="H53" s="138"/>
      <c r="I53" s="138"/>
      <c r="J53" s="138"/>
      <c r="K53" s="138"/>
      <c r="L53" s="756" t="s">
        <v>424</v>
      </c>
      <c r="M53" s="756" t="s">
        <v>400</v>
      </c>
      <c r="N53" s="757">
        <v>2.4</v>
      </c>
      <c r="O53" s="758">
        <v>1.5725116000000001</v>
      </c>
      <c r="P53" s="758">
        <v>0.88066285842293912</v>
      </c>
    </row>
    <row r="54" spans="1:25" ht="30.75" customHeight="1">
      <c r="L54" s="601" t="s">
        <v>476</v>
      </c>
      <c r="M54" s="756" t="s">
        <v>400</v>
      </c>
      <c r="N54" s="757">
        <v>2.4</v>
      </c>
      <c r="O54" s="758">
        <v>1.2245743</v>
      </c>
      <c r="P54" s="758">
        <v>0.68580549955197134</v>
      </c>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47"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marzo.
Nota: Son consideradas las centrales con operación comercial</v>
      </c>
      <c r="B64" s="847"/>
      <c r="C64" s="847"/>
      <c r="D64" s="847"/>
      <c r="E64" s="847"/>
      <c r="F64" s="847"/>
      <c r="G64" s="847"/>
      <c r="H64" s="847"/>
      <c r="I64" s="847"/>
      <c r="J64" s="847"/>
      <c r="K64" s="847"/>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69"/>
  <sheetViews>
    <sheetView showGridLines="0" view="pageBreakPreview" zoomScaleNormal="100" zoomScaleSheetLayoutView="100" zoomScalePageLayoutView="115" workbookViewId="0">
      <selection activeCell="O61" sqref="O61"/>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278" customWidth="1"/>
    <col min="12" max="12" width="19.140625" style="278" customWidth="1"/>
    <col min="13" max="13" width="10.42578125" style="278" bestFit="1" customWidth="1"/>
    <col min="14" max="14" width="9.5703125" style="278" bestFit="1" customWidth="1"/>
    <col min="15" max="15" width="9.28515625" style="278"/>
    <col min="16" max="17" width="9.28515625" style="520"/>
  </cols>
  <sheetData>
    <row r="1" spans="1:14" ht="11.25" customHeight="1">
      <c r="A1" s="848" t="s">
        <v>233</v>
      </c>
      <c r="B1" s="848"/>
      <c r="C1" s="848"/>
      <c r="D1" s="848"/>
      <c r="E1" s="848"/>
      <c r="F1" s="848"/>
      <c r="G1" s="848"/>
      <c r="H1" s="848"/>
      <c r="I1" s="848"/>
      <c r="J1" s="17"/>
    </row>
    <row r="2" spans="1:14" ht="6" customHeight="1">
      <c r="A2" s="17"/>
      <c r="B2" s="17"/>
      <c r="C2" s="17"/>
      <c r="D2" s="17"/>
      <c r="E2" s="17"/>
      <c r="F2" s="17"/>
      <c r="G2" s="17"/>
      <c r="H2" s="17"/>
      <c r="I2" s="17"/>
      <c r="J2" s="17"/>
      <c r="K2" s="719"/>
      <c r="L2" s="719"/>
    </row>
    <row r="3" spans="1:14" ht="11.25" customHeight="1">
      <c r="A3" s="854" t="s">
        <v>243</v>
      </c>
      <c r="B3" s="855" t="str">
        <f>+'1. Resumen'!Q4</f>
        <v>marzo</v>
      </c>
      <c r="C3" s="856"/>
      <c r="D3" s="856"/>
      <c r="E3" s="138"/>
      <c r="F3" s="138"/>
      <c r="G3" s="857" t="s">
        <v>578</v>
      </c>
      <c r="H3" s="857"/>
      <c r="I3" s="857"/>
      <c r="J3" s="138"/>
      <c r="L3" s="720"/>
      <c r="M3" s="721">
        <v>2021</v>
      </c>
      <c r="N3" s="721">
        <v>2020</v>
      </c>
    </row>
    <row r="4" spans="1:14" ht="11.25" customHeight="1">
      <c r="A4" s="854"/>
      <c r="B4" s="375">
        <f>+'1. Resumen'!Q5</f>
        <v>2021</v>
      </c>
      <c r="C4" s="376">
        <f>+B4-1</f>
        <v>2020</v>
      </c>
      <c r="D4" s="376" t="s">
        <v>35</v>
      </c>
      <c r="E4" s="138"/>
      <c r="F4" s="138"/>
      <c r="G4" s="138"/>
      <c r="H4" s="138"/>
      <c r="I4" s="138"/>
      <c r="J4" s="138"/>
      <c r="K4" s="803"/>
      <c r="L4" s="722" t="s">
        <v>119</v>
      </c>
      <c r="M4" s="723">
        <v>0</v>
      </c>
      <c r="N4" s="723">
        <v>0</v>
      </c>
    </row>
    <row r="5" spans="1:14" ht="10.5" customHeight="1">
      <c r="A5" s="666" t="s">
        <v>407</v>
      </c>
      <c r="B5" s="667">
        <v>796.98538450749993</v>
      </c>
      <c r="C5" s="668">
        <v>405.7590323325</v>
      </c>
      <c r="D5" s="669">
        <f>IF(C5=0,"",B5/C5-1)</f>
        <v>0.96418396388132344</v>
      </c>
      <c r="E5" s="138"/>
      <c r="F5" s="138"/>
      <c r="G5" s="138"/>
      <c r="H5" s="138"/>
      <c r="I5" s="138"/>
      <c r="J5" s="138"/>
      <c r="K5" s="804"/>
      <c r="L5" s="722" t="s">
        <v>102</v>
      </c>
      <c r="M5" s="723">
        <v>0</v>
      </c>
      <c r="N5" s="723">
        <v>10.081287702499999</v>
      </c>
    </row>
    <row r="6" spans="1:14" ht="10.5" customHeight="1">
      <c r="A6" s="670" t="s">
        <v>89</v>
      </c>
      <c r="B6" s="671">
        <v>625.62542880000001</v>
      </c>
      <c r="C6" s="671">
        <v>578.28590052000015</v>
      </c>
      <c r="D6" s="672">
        <f t="shared" ref="D6:D63" si="0">IF(C6=0,"",B6/C6-1)</f>
        <v>8.1861806136777071E-2</v>
      </c>
      <c r="E6" s="324"/>
      <c r="F6" s="138"/>
      <c r="G6" s="138"/>
      <c r="H6" s="138"/>
      <c r="I6" s="138"/>
      <c r="J6" s="138"/>
      <c r="L6" s="723" t="s">
        <v>234</v>
      </c>
      <c r="M6" s="723">
        <v>1.5000000000000002E-8</v>
      </c>
      <c r="N6" s="723">
        <v>0</v>
      </c>
    </row>
    <row r="7" spans="1:14" ht="10.5" customHeight="1">
      <c r="A7" s="666" t="s">
        <v>88</v>
      </c>
      <c r="B7" s="668">
        <v>518.13616181999998</v>
      </c>
      <c r="C7" s="668">
        <v>501.10765055000007</v>
      </c>
      <c r="D7" s="669">
        <f t="shared" si="0"/>
        <v>3.3981742747910548E-2</v>
      </c>
      <c r="E7" s="138"/>
      <c r="F7" s="138"/>
      <c r="G7" s="138"/>
      <c r="H7" s="138"/>
      <c r="I7" s="138"/>
      <c r="J7" s="138"/>
      <c r="L7" s="722" t="s">
        <v>241</v>
      </c>
      <c r="M7" s="723">
        <v>2.3044125000000002E-3</v>
      </c>
      <c r="N7" s="723">
        <v>0.58010283249999994</v>
      </c>
    </row>
    <row r="8" spans="1:14" ht="10.5" customHeight="1">
      <c r="A8" s="670" t="s">
        <v>87</v>
      </c>
      <c r="B8" s="671">
        <v>359.97753164250003</v>
      </c>
      <c r="C8" s="671">
        <v>390.99026932750002</v>
      </c>
      <c r="D8" s="672">
        <f t="shared" si="0"/>
        <v>-7.9318438636188149E-2</v>
      </c>
      <c r="E8" s="138"/>
      <c r="F8" s="138"/>
      <c r="G8" s="138"/>
      <c r="H8" s="138"/>
      <c r="I8" s="138"/>
      <c r="J8" s="138"/>
      <c r="L8" s="722" t="s">
        <v>409</v>
      </c>
      <c r="M8" s="723">
        <v>5.8848999999999999E-2</v>
      </c>
      <c r="N8" s="723">
        <v>0.19839899999999999</v>
      </c>
    </row>
    <row r="9" spans="1:14" ht="10.5" customHeight="1">
      <c r="A9" s="666" t="s">
        <v>235</v>
      </c>
      <c r="B9" s="668">
        <v>281.66128747250002</v>
      </c>
      <c r="C9" s="668">
        <v>258.05347482249999</v>
      </c>
      <c r="D9" s="669">
        <f t="shared" si="0"/>
        <v>9.1484188175487535E-2</v>
      </c>
      <c r="E9" s="138"/>
      <c r="F9" s="138"/>
      <c r="G9" s="138"/>
      <c r="H9" s="138"/>
      <c r="I9" s="138"/>
      <c r="J9" s="138"/>
      <c r="K9" s="803"/>
      <c r="L9" s="723" t="s">
        <v>116</v>
      </c>
      <c r="M9" s="723">
        <v>0.27153445249999997</v>
      </c>
      <c r="N9" s="723">
        <v>0.38917514249999996</v>
      </c>
    </row>
    <row r="10" spans="1:14" ht="10.5" customHeight="1">
      <c r="A10" s="670" t="s">
        <v>90</v>
      </c>
      <c r="B10" s="671">
        <v>269.04544222249996</v>
      </c>
      <c r="C10" s="671">
        <v>261.68172815000003</v>
      </c>
      <c r="D10" s="672">
        <f t="shared" si="0"/>
        <v>2.8139962711798194E-2</v>
      </c>
      <c r="E10" s="138"/>
      <c r="F10" s="138"/>
      <c r="G10" s="138"/>
      <c r="H10" s="138"/>
      <c r="I10" s="138"/>
      <c r="J10" s="138"/>
      <c r="K10" s="804"/>
      <c r="L10" s="723" t="s">
        <v>242</v>
      </c>
      <c r="M10" s="723">
        <v>0.40364883500000004</v>
      </c>
      <c r="N10" s="723">
        <v>0</v>
      </c>
    </row>
    <row r="11" spans="1:14" ht="10.5" customHeight="1">
      <c r="A11" s="666" t="s">
        <v>239</v>
      </c>
      <c r="B11" s="668">
        <v>248.65869023499999</v>
      </c>
      <c r="C11" s="668">
        <v>257.81253351750001</v>
      </c>
      <c r="D11" s="669">
        <f t="shared" si="0"/>
        <v>-3.5505811752471139E-2</v>
      </c>
      <c r="E11" s="138"/>
      <c r="F11" s="138"/>
      <c r="G11" s="138"/>
      <c r="H11" s="138"/>
      <c r="I11" s="138"/>
      <c r="J11" s="138"/>
      <c r="K11" s="804"/>
      <c r="L11" s="723" t="s">
        <v>561</v>
      </c>
      <c r="M11" s="723">
        <v>0.41744592999999997</v>
      </c>
      <c r="N11" s="723">
        <v>0.61246642750000002</v>
      </c>
    </row>
    <row r="12" spans="1:14" ht="10.5" customHeight="1">
      <c r="A12" s="670" t="s">
        <v>237</v>
      </c>
      <c r="B12" s="671">
        <v>239.70373735750002</v>
      </c>
      <c r="C12" s="671">
        <v>106.9974427825</v>
      </c>
      <c r="D12" s="673">
        <f t="shared" si="0"/>
        <v>1.2402753853170108</v>
      </c>
      <c r="E12" s="138"/>
      <c r="F12" s="138"/>
      <c r="G12" s="138"/>
      <c r="H12" s="138"/>
      <c r="I12" s="138"/>
      <c r="J12" s="138"/>
      <c r="K12" s="804"/>
      <c r="L12" s="722" t="s">
        <v>117</v>
      </c>
      <c r="M12" s="723">
        <v>0.4831453275</v>
      </c>
      <c r="N12" s="723">
        <v>0.83815456749999995</v>
      </c>
    </row>
    <row r="13" spans="1:14" ht="10.5" customHeight="1">
      <c r="A13" s="666" t="s">
        <v>94</v>
      </c>
      <c r="B13" s="668">
        <v>127.48413155</v>
      </c>
      <c r="C13" s="668">
        <v>148.91854442749997</v>
      </c>
      <c r="D13" s="669">
        <f t="shared" si="0"/>
        <v>-0.14393380596017824</v>
      </c>
      <c r="E13" s="138"/>
      <c r="F13" s="138"/>
      <c r="G13" s="138"/>
      <c r="H13" s="138"/>
      <c r="I13" s="138"/>
      <c r="J13" s="138"/>
      <c r="K13" s="804"/>
      <c r="L13" s="722" t="s">
        <v>115</v>
      </c>
      <c r="M13" s="723">
        <v>1.921022775</v>
      </c>
      <c r="N13" s="723">
        <v>1.9293764824999999</v>
      </c>
    </row>
    <row r="14" spans="1:14" ht="10.5" customHeight="1">
      <c r="A14" s="670" t="s">
        <v>93</v>
      </c>
      <c r="B14" s="671">
        <v>127.28978615999999</v>
      </c>
      <c r="C14" s="671">
        <v>121.23679420000001</v>
      </c>
      <c r="D14" s="672">
        <f t="shared" si="0"/>
        <v>4.9927020917549081E-2</v>
      </c>
      <c r="E14" s="138"/>
      <c r="F14" s="138"/>
      <c r="G14" s="138"/>
      <c r="H14" s="138"/>
      <c r="I14" s="138"/>
      <c r="J14" s="138"/>
      <c r="K14" s="804"/>
      <c r="L14" s="723" t="s">
        <v>448</v>
      </c>
      <c r="M14" s="723">
        <v>2.1964843774999996</v>
      </c>
      <c r="N14" s="723">
        <v>6.0877739999999996</v>
      </c>
    </row>
    <row r="15" spans="1:14" ht="10.5" customHeight="1">
      <c r="A15" s="666" t="s">
        <v>92</v>
      </c>
      <c r="B15" s="668">
        <v>121.28759959250002</v>
      </c>
      <c r="C15" s="668">
        <v>92.068668492499995</v>
      </c>
      <c r="D15" s="669">
        <f t="shared" si="0"/>
        <v>0.31736020058094172</v>
      </c>
      <c r="E15" s="138"/>
      <c r="F15" s="138"/>
      <c r="G15" s="138"/>
      <c r="H15" s="138"/>
      <c r="I15" s="138"/>
      <c r="J15" s="138" t="s">
        <v>8</v>
      </c>
      <c r="K15" s="804"/>
      <c r="L15" s="723" t="s">
        <v>114</v>
      </c>
      <c r="M15" s="723">
        <v>2.5939999999999999</v>
      </c>
      <c r="N15" s="723">
        <v>2.5821000000000001</v>
      </c>
    </row>
    <row r="16" spans="1:14" ht="10.5" customHeight="1">
      <c r="A16" s="670" t="s">
        <v>98</v>
      </c>
      <c r="B16" s="671">
        <v>81.028462189999999</v>
      </c>
      <c r="C16" s="671">
        <v>76.706314362499995</v>
      </c>
      <c r="D16" s="672">
        <f t="shared" si="0"/>
        <v>5.6346701877427297E-2</v>
      </c>
      <c r="E16" s="138"/>
      <c r="F16" s="138"/>
      <c r="G16" s="138"/>
      <c r="H16" s="138"/>
      <c r="I16" s="138"/>
      <c r="J16" s="138"/>
      <c r="K16" s="804"/>
      <c r="L16" s="723" t="s">
        <v>113</v>
      </c>
      <c r="M16" s="723">
        <v>2.646348835</v>
      </c>
      <c r="N16" s="723">
        <v>2.6403305499999998</v>
      </c>
    </row>
    <row r="17" spans="1:14" ht="10.5" customHeight="1">
      <c r="A17" s="666" t="s">
        <v>95</v>
      </c>
      <c r="B17" s="668">
        <v>78.365052807500007</v>
      </c>
      <c r="C17" s="668">
        <v>66.232919159999994</v>
      </c>
      <c r="D17" s="669">
        <f t="shared" si="0"/>
        <v>0.18317377221728992</v>
      </c>
      <c r="E17" s="138"/>
      <c r="F17" s="138"/>
      <c r="G17" s="138"/>
      <c r="H17" s="138"/>
      <c r="I17" s="138"/>
      <c r="J17" s="138"/>
      <c r="K17" s="805"/>
      <c r="L17" s="723" t="s">
        <v>112</v>
      </c>
      <c r="M17" s="723">
        <v>3.3593649599999997</v>
      </c>
      <c r="N17" s="723">
        <v>3.5931083225</v>
      </c>
    </row>
    <row r="18" spans="1:14" ht="10.5" customHeight="1">
      <c r="A18" s="670" t="s">
        <v>91</v>
      </c>
      <c r="B18" s="671">
        <v>77.474070157499995</v>
      </c>
      <c r="C18" s="671">
        <v>126.77993473749996</v>
      </c>
      <c r="D18" s="672">
        <f t="shared" si="0"/>
        <v>-0.38890905474978044</v>
      </c>
      <c r="E18" s="138"/>
      <c r="F18" s="138"/>
      <c r="G18" s="138"/>
      <c r="H18" s="138"/>
      <c r="I18" s="138"/>
      <c r="J18" s="138"/>
      <c r="K18" s="804"/>
      <c r="L18" s="722" t="s">
        <v>553</v>
      </c>
      <c r="M18" s="723">
        <v>3.5474250999999999</v>
      </c>
      <c r="N18" s="723">
        <v>3.7421603000000001</v>
      </c>
    </row>
    <row r="19" spans="1:14" ht="10.5" customHeight="1">
      <c r="A19" s="666" t="s">
        <v>100</v>
      </c>
      <c r="B19" s="668">
        <v>69.546611862499987</v>
      </c>
      <c r="C19" s="668">
        <v>83.499016690000005</v>
      </c>
      <c r="D19" s="669">
        <f t="shared" si="0"/>
        <v>-0.1670966363508205</v>
      </c>
      <c r="E19" s="138"/>
      <c r="F19" s="138"/>
      <c r="G19" s="138"/>
      <c r="H19" s="138"/>
      <c r="I19" s="138"/>
      <c r="J19" s="138"/>
      <c r="K19" s="804"/>
      <c r="L19" s="723" t="s">
        <v>554</v>
      </c>
      <c r="M19" s="723">
        <v>3.5955658150000001</v>
      </c>
      <c r="N19" s="723">
        <v>3.4606206225</v>
      </c>
    </row>
    <row r="20" spans="1:14" ht="10.5" customHeight="1">
      <c r="A20" s="670" t="s">
        <v>425</v>
      </c>
      <c r="B20" s="671">
        <v>66.281201049999993</v>
      </c>
      <c r="C20" s="671">
        <v>51.470511979999998</v>
      </c>
      <c r="D20" s="672">
        <f t="shared" si="0"/>
        <v>0.28775095681494323</v>
      </c>
      <c r="E20" s="138"/>
      <c r="F20" s="138"/>
      <c r="G20" s="138"/>
      <c r="H20" s="138"/>
      <c r="I20" s="138"/>
      <c r="J20" s="138"/>
      <c r="K20" s="804"/>
      <c r="L20" s="722" t="s">
        <v>110</v>
      </c>
      <c r="M20" s="723">
        <v>4.0455423274999998</v>
      </c>
      <c r="N20" s="723">
        <v>3.6113244249999998</v>
      </c>
    </row>
    <row r="21" spans="1:14" ht="10.5" customHeight="1">
      <c r="A21" s="666" t="s">
        <v>562</v>
      </c>
      <c r="B21" s="668">
        <v>52.217664867500005</v>
      </c>
      <c r="C21" s="668">
        <v>50.153221312500001</v>
      </c>
      <c r="D21" s="669">
        <f t="shared" si="0"/>
        <v>4.1162730946765036E-2</v>
      </c>
      <c r="E21" s="138"/>
      <c r="F21" s="138"/>
      <c r="G21" s="138"/>
      <c r="H21" s="138"/>
      <c r="I21" s="138"/>
      <c r="J21" s="138"/>
      <c r="K21" s="805"/>
      <c r="L21" s="723" t="s">
        <v>426</v>
      </c>
      <c r="M21" s="723">
        <v>4.3209856625</v>
      </c>
      <c r="N21" s="723">
        <v>5.7953986249999998</v>
      </c>
    </row>
    <row r="22" spans="1:14" ht="10.5" customHeight="1">
      <c r="A22" s="670" t="s">
        <v>96</v>
      </c>
      <c r="B22" s="671">
        <v>52.003107345000004</v>
      </c>
      <c r="C22" s="671">
        <v>28.289728122500001</v>
      </c>
      <c r="D22" s="672">
        <f t="shared" si="0"/>
        <v>0.83823284267054388</v>
      </c>
      <c r="E22" s="138"/>
      <c r="F22" s="138"/>
      <c r="G22" s="138"/>
      <c r="H22" s="138"/>
      <c r="I22" s="138"/>
      <c r="J22" s="138"/>
      <c r="K22" s="804"/>
      <c r="L22" s="722" t="s">
        <v>107</v>
      </c>
      <c r="M22" s="723">
        <v>5.0347205949999996</v>
      </c>
      <c r="N22" s="723">
        <v>4.0166999925000004</v>
      </c>
    </row>
    <row r="23" spans="1:14" ht="10.5" customHeight="1">
      <c r="A23" s="666" t="s">
        <v>108</v>
      </c>
      <c r="B23" s="668">
        <v>50.204945395000003</v>
      </c>
      <c r="C23" s="668">
        <v>46.415177182500003</v>
      </c>
      <c r="D23" s="669">
        <f t="shared" si="0"/>
        <v>8.1649332019115173E-2</v>
      </c>
      <c r="E23" s="138"/>
      <c r="F23" s="138"/>
      <c r="G23" s="138"/>
      <c r="H23" s="138"/>
      <c r="I23" s="138"/>
      <c r="J23" s="138"/>
      <c r="K23" s="804"/>
      <c r="L23" s="722" t="s">
        <v>463</v>
      </c>
      <c r="M23" s="723">
        <v>5.2529412175000001</v>
      </c>
      <c r="N23" s="723">
        <v>2.5413475275000001</v>
      </c>
    </row>
    <row r="24" spans="1:14" ht="10.5" customHeight="1">
      <c r="A24" s="670" t="s">
        <v>99</v>
      </c>
      <c r="B24" s="671">
        <v>46.834456469999999</v>
      </c>
      <c r="C24" s="671">
        <v>40.093562445000003</v>
      </c>
      <c r="D24" s="672">
        <f t="shared" si="0"/>
        <v>0.16812908641498492</v>
      </c>
      <c r="E24" s="138"/>
      <c r="F24" s="138"/>
      <c r="G24" s="138"/>
      <c r="H24" s="138"/>
      <c r="I24" s="138"/>
      <c r="J24" s="138"/>
      <c r="K24" s="804"/>
      <c r="L24" s="722" t="s">
        <v>109</v>
      </c>
      <c r="M24" s="723">
        <v>5.3466748125000008</v>
      </c>
      <c r="N24" s="723">
        <v>3.9183697999999998</v>
      </c>
    </row>
    <row r="25" spans="1:14" ht="10.5" customHeight="1">
      <c r="A25" s="666" t="s">
        <v>236</v>
      </c>
      <c r="B25" s="668">
        <v>40.450577530000004</v>
      </c>
      <c r="C25" s="668">
        <v>33.63841386</v>
      </c>
      <c r="D25" s="669">
        <f t="shared" si="0"/>
        <v>0.2025114411860085</v>
      </c>
      <c r="E25" s="138"/>
      <c r="F25" s="138"/>
      <c r="G25" s="138"/>
      <c r="H25" s="138"/>
      <c r="I25" s="138"/>
      <c r="J25" s="138"/>
      <c r="K25" s="804"/>
      <c r="L25" s="723" t="s">
        <v>408</v>
      </c>
      <c r="M25" s="723">
        <v>8.0718139749999995</v>
      </c>
      <c r="N25" s="723">
        <v>4.7712980749999998</v>
      </c>
    </row>
    <row r="26" spans="1:14" ht="10.5" customHeight="1">
      <c r="A26" s="670" t="s">
        <v>97</v>
      </c>
      <c r="B26" s="671">
        <v>26.145449020000001</v>
      </c>
      <c r="C26" s="671">
        <v>33.458428797499998</v>
      </c>
      <c r="D26" s="672">
        <f t="shared" si="0"/>
        <v>-0.21856913311023196</v>
      </c>
      <c r="E26" s="138"/>
      <c r="F26" s="138"/>
      <c r="G26" s="138"/>
      <c r="H26" s="138"/>
      <c r="I26" s="138"/>
      <c r="J26" s="138"/>
      <c r="K26" s="804"/>
      <c r="L26" s="722" t="s">
        <v>418</v>
      </c>
      <c r="M26" s="723">
        <v>9.3388908400000012</v>
      </c>
      <c r="N26" s="723">
        <v>7.2299754350000001</v>
      </c>
    </row>
    <row r="27" spans="1:14" ht="10.5" customHeight="1">
      <c r="A27" s="674" t="s">
        <v>449</v>
      </c>
      <c r="B27" s="668">
        <v>19.6271127425</v>
      </c>
      <c r="C27" s="668">
        <v>11.37651507</v>
      </c>
      <c r="D27" s="669">
        <f t="shared" si="0"/>
        <v>0.72523067228706273</v>
      </c>
      <c r="E27" s="138"/>
      <c r="F27" s="138"/>
      <c r="G27" s="138"/>
      <c r="H27" s="138"/>
      <c r="I27" s="138"/>
      <c r="J27" s="138"/>
      <c r="K27" s="804"/>
      <c r="L27" s="722" t="s">
        <v>106</v>
      </c>
      <c r="M27" s="723">
        <v>9.5538229499999989</v>
      </c>
      <c r="N27" s="723">
        <v>6.5569284574999998</v>
      </c>
    </row>
    <row r="28" spans="1:14" ht="10.5" customHeight="1">
      <c r="A28" s="675" t="s">
        <v>111</v>
      </c>
      <c r="B28" s="671">
        <v>19.422348045</v>
      </c>
      <c r="C28" s="671">
        <v>21.279247067500002</v>
      </c>
      <c r="D28" s="672">
        <f t="shared" si="0"/>
        <v>-8.7263379978141375E-2</v>
      </c>
      <c r="E28" s="138"/>
      <c r="F28" s="138"/>
      <c r="G28" s="138"/>
      <c r="H28" s="138"/>
      <c r="I28" s="138"/>
      <c r="J28" s="138"/>
      <c r="K28" s="804"/>
      <c r="L28" s="722" t="s">
        <v>238</v>
      </c>
      <c r="M28" s="723">
        <v>12.312758030000001</v>
      </c>
      <c r="N28" s="723">
        <v>11.4904932525</v>
      </c>
    </row>
    <row r="29" spans="1:14" ht="10.5" customHeight="1">
      <c r="A29" s="676" t="s">
        <v>240</v>
      </c>
      <c r="B29" s="668">
        <v>15.99853315</v>
      </c>
      <c r="C29" s="668">
        <v>13.8185211275</v>
      </c>
      <c r="D29" s="669">
        <f t="shared" si="0"/>
        <v>0.15776015409938449</v>
      </c>
      <c r="E29" s="138"/>
      <c r="F29" s="138"/>
      <c r="G29" s="138"/>
      <c r="H29" s="138"/>
      <c r="I29" s="138"/>
      <c r="J29" s="138"/>
      <c r="K29" s="804"/>
      <c r="L29" s="723" t="s">
        <v>101</v>
      </c>
      <c r="M29" s="723">
        <v>12.569723262500002</v>
      </c>
      <c r="N29" s="723">
        <v>10.436583175000001</v>
      </c>
    </row>
    <row r="30" spans="1:14" ht="10.5" customHeight="1">
      <c r="A30" s="675" t="s">
        <v>399</v>
      </c>
      <c r="B30" s="671">
        <v>14.6457768025</v>
      </c>
      <c r="C30" s="671">
        <v>14.935345385</v>
      </c>
      <c r="D30" s="672">
        <f t="shared" si="0"/>
        <v>-1.9388141019545557E-2</v>
      </c>
      <c r="E30" s="138"/>
      <c r="F30" s="138"/>
      <c r="G30" s="138"/>
      <c r="H30" s="138"/>
      <c r="I30" s="138"/>
      <c r="J30" s="138"/>
      <c r="K30" s="804"/>
      <c r="L30" s="723" t="s">
        <v>415</v>
      </c>
      <c r="M30" s="723">
        <v>12.976194147499999</v>
      </c>
      <c r="N30" s="723">
        <v>11.0699511325</v>
      </c>
    </row>
    <row r="31" spans="1:14" ht="14.25" customHeight="1">
      <c r="A31" s="676" t="s">
        <v>118</v>
      </c>
      <c r="B31" s="668">
        <v>14.558775149999999</v>
      </c>
      <c r="C31" s="668">
        <v>14.2234413475</v>
      </c>
      <c r="D31" s="669">
        <f t="shared" si="0"/>
        <v>2.3576137047799595E-2</v>
      </c>
      <c r="E31" s="138"/>
      <c r="F31" s="138"/>
      <c r="G31" s="138"/>
      <c r="H31" s="138"/>
      <c r="I31" s="138"/>
      <c r="J31" s="138"/>
      <c r="K31" s="804"/>
      <c r="L31" s="723" t="s">
        <v>104</v>
      </c>
      <c r="M31" s="723">
        <v>12.995249135000002</v>
      </c>
      <c r="N31" s="723">
        <v>12.3340041675</v>
      </c>
    </row>
    <row r="32" spans="1:14">
      <c r="A32" s="677" t="s">
        <v>439</v>
      </c>
      <c r="B32" s="671">
        <v>14.512724975000001</v>
      </c>
      <c r="C32" s="671">
        <v>14.7821646225</v>
      </c>
      <c r="D32" s="672">
        <f t="shared" si="0"/>
        <v>-1.8227347237757319E-2</v>
      </c>
      <c r="E32" s="138"/>
      <c r="F32" s="138"/>
      <c r="G32" s="138"/>
      <c r="H32" s="138"/>
      <c r="I32" s="138"/>
      <c r="J32" s="138"/>
      <c r="K32" s="804"/>
      <c r="L32" s="722" t="s">
        <v>105</v>
      </c>
      <c r="M32" s="723">
        <v>13.329999002499999</v>
      </c>
      <c r="N32" s="723">
        <v>0</v>
      </c>
    </row>
    <row r="33" spans="1:14">
      <c r="A33" s="678" t="s">
        <v>103</v>
      </c>
      <c r="B33" s="668">
        <v>13.9184373175</v>
      </c>
      <c r="C33" s="668">
        <v>14.4516282425</v>
      </c>
      <c r="D33" s="669">
        <f>IF(C33=0,"",B33/C33-1)</f>
        <v>-3.6894868595634622E-2</v>
      </c>
      <c r="E33" s="138"/>
      <c r="F33" s="138"/>
      <c r="G33" s="138"/>
      <c r="H33" s="138"/>
      <c r="I33" s="138"/>
      <c r="J33" s="138"/>
      <c r="K33" s="806"/>
      <c r="L33" s="722" t="s">
        <v>564</v>
      </c>
      <c r="M33" s="723">
        <v>13.5679870575</v>
      </c>
      <c r="N33" s="723">
        <v>14.033587905000001</v>
      </c>
    </row>
    <row r="34" spans="1:14">
      <c r="A34" s="677" t="s">
        <v>564</v>
      </c>
      <c r="B34" s="671">
        <v>13.5679870575</v>
      </c>
      <c r="C34" s="671">
        <v>14.033587905000001</v>
      </c>
      <c r="D34" s="672">
        <f t="shared" si="0"/>
        <v>-3.317760580201401E-2</v>
      </c>
      <c r="E34" s="138"/>
      <c r="F34" s="138"/>
      <c r="G34" s="138"/>
      <c r="H34" s="138"/>
      <c r="I34" s="138"/>
      <c r="J34" s="138"/>
      <c r="K34" s="806"/>
      <c r="L34" s="722" t="s">
        <v>103</v>
      </c>
      <c r="M34" s="723">
        <v>13.9184373175</v>
      </c>
      <c r="N34" s="723">
        <v>14.4516282425</v>
      </c>
    </row>
    <row r="35" spans="1:14" ht="12.6" customHeight="1">
      <c r="A35" s="678" t="s">
        <v>105</v>
      </c>
      <c r="B35" s="668">
        <v>13.329999002499999</v>
      </c>
      <c r="C35" s="668">
        <v>0</v>
      </c>
      <c r="D35" s="669" t="str">
        <f t="shared" si="0"/>
        <v/>
      </c>
      <c r="E35" s="138"/>
      <c r="F35" s="138"/>
      <c r="G35" s="138"/>
      <c r="H35" s="138"/>
      <c r="I35" s="138"/>
      <c r="J35" s="138"/>
      <c r="K35" s="805"/>
      <c r="L35" s="722" t="s">
        <v>439</v>
      </c>
      <c r="M35" s="723">
        <v>14.512724975000001</v>
      </c>
      <c r="N35" s="723">
        <v>14.7821646225</v>
      </c>
    </row>
    <row r="36" spans="1:14" ht="13.95" customHeight="1">
      <c r="A36" s="677" t="s">
        <v>104</v>
      </c>
      <c r="B36" s="671">
        <v>12.995249135000002</v>
      </c>
      <c r="C36" s="671">
        <v>12.3340041675</v>
      </c>
      <c r="D36" s="672">
        <f t="shared" si="0"/>
        <v>5.3611540787571466E-2</v>
      </c>
      <c r="E36" s="138"/>
      <c r="F36" s="138"/>
      <c r="G36" s="138"/>
      <c r="H36" s="138"/>
      <c r="I36" s="138"/>
      <c r="J36" s="138"/>
      <c r="K36" s="805"/>
      <c r="L36" s="723" t="s">
        <v>118</v>
      </c>
      <c r="M36" s="723">
        <v>14.558775149999999</v>
      </c>
      <c r="N36" s="723">
        <v>14.2234413475</v>
      </c>
    </row>
    <row r="37" spans="1:14" ht="10.5" customHeight="1">
      <c r="A37" s="678" t="s">
        <v>415</v>
      </c>
      <c r="B37" s="668">
        <v>12.976194147499999</v>
      </c>
      <c r="C37" s="668">
        <v>11.0699511325</v>
      </c>
      <c r="D37" s="669">
        <f t="shared" si="0"/>
        <v>0.17219976783849633</v>
      </c>
      <c r="E37" s="138"/>
      <c r="F37" s="138"/>
      <c r="G37" s="138"/>
      <c r="H37" s="138"/>
      <c r="I37" s="138"/>
      <c r="J37" s="138"/>
      <c r="K37" s="805"/>
      <c r="L37" s="722" t="s">
        <v>399</v>
      </c>
      <c r="M37" s="723">
        <v>14.6457768025</v>
      </c>
      <c r="N37" s="723">
        <v>14.935345385</v>
      </c>
    </row>
    <row r="38" spans="1:14" ht="10.5" customHeight="1">
      <c r="A38" s="677" t="s">
        <v>101</v>
      </c>
      <c r="B38" s="671">
        <v>12.569723262500002</v>
      </c>
      <c r="C38" s="671">
        <v>10.436583175000001</v>
      </c>
      <c r="D38" s="672">
        <f t="shared" si="0"/>
        <v>0.20439065657137356</v>
      </c>
      <c r="E38" s="138"/>
      <c r="F38" s="138"/>
      <c r="G38" s="138"/>
      <c r="H38" s="138"/>
      <c r="I38" s="138"/>
      <c r="J38" s="138"/>
      <c r="K38" s="806"/>
      <c r="L38" s="723" t="s">
        <v>240</v>
      </c>
      <c r="M38" s="723">
        <v>15.99853315</v>
      </c>
      <c r="N38" s="723">
        <v>13.8185211275</v>
      </c>
    </row>
    <row r="39" spans="1:14" ht="10.5" customHeight="1">
      <c r="A39" s="678" t="s">
        <v>238</v>
      </c>
      <c r="B39" s="668">
        <v>12.312758030000001</v>
      </c>
      <c r="C39" s="668">
        <v>11.4904932525</v>
      </c>
      <c r="D39" s="669">
        <f t="shared" si="0"/>
        <v>7.156044213516255E-2</v>
      </c>
      <c r="E39" s="138"/>
      <c r="F39" s="138"/>
      <c r="G39" s="138"/>
      <c r="H39" s="138"/>
      <c r="I39" s="138"/>
      <c r="J39" s="138"/>
      <c r="K39" s="806"/>
      <c r="L39" s="722" t="s">
        <v>111</v>
      </c>
      <c r="M39" s="723">
        <v>19.422348045</v>
      </c>
      <c r="N39" s="723">
        <v>21.279247067500002</v>
      </c>
    </row>
    <row r="40" spans="1:14" ht="10.5" customHeight="1">
      <c r="A40" s="675" t="s">
        <v>106</v>
      </c>
      <c r="B40" s="671">
        <v>9.5538229499999989</v>
      </c>
      <c r="C40" s="671">
        <v>6.5569284574999998</v>
      </c>
      <c r="D40" s="672">
        <f t="shared" si="0"/>
        <v>0.45705767752766424</v>
      </c>
      <c r="E40" s="138"/>
      <c r="F40" s="138"/>
      <c r="G40" s="138"/>
      <c r="H40" s="138"/>
      <c r="I40" s="138"/>
      <c r="J40" s="138"/>
      <c r="K40" s="806"/>
      <c r="L40" s="723" t="s">
        <v>449</v>
      </c>
      <c r="M40" s="723">
        <v>19.6271127425</v>
      </c>
      <c r="N40" s="723">
        <v>11.37651507</v>
      </c>
    </row>
    <row r="41" spans="1:14" ht="10.5" customHeight="1">
      <c r="A41" s="676" t="s">
        <v>418</v>
      </c>
      <c r="B41" s="668">
        <v>9.3388908400000012</v>
      </c>
      <c r="C41" s="668">
        <v>7.2299754350000001</v>
      </c>
      <c r="D41" s="669">
        <f t="shared" si="0"/>
        <v>0.29169053532199185</v>
      </c>
      <c r="E41" s="138"/>
      <c r="F41" s="138"/>
      <c r="G41" s="138"/>
      <c r="H41" s="138"/>
      <c r="I41" s="138"/>
      <c r="J41" s="138"/>
      <c r="L41" s="722" t="s">
        <v>97</v>
      </c>
      <c r="M41" s="723">
        <v>26.145449020000001</v>
      </c>
      <c r="N41" s="723">
        <v>33.458428797499998</v>
      </c>
    </row>
    <row r="42" spans="1:14" ht="10.5" customHeight="1">
      <c r="A42" s="675" t="s">
        <v>408</v>
      </c>
      <c r="B42" s="671">
        <v>8.0718139749999995</v>
      </c>
      <c r="C42" s="671">
        <v>4.7712980749999998</v>
      </c>
      <c r="D42" s="672">
        <f t="shared" si="0"/>
        <v>0.69174380810404501</v>
      </c>
      <c r="E42" s="138"/>
      <c r="F42" s="138"/>
      <c r="G42" s="138"/>
      <c r="H42" s="138"/>
      <c r="I42" s="138"/>
      <c r="J42" s="138"/>
      <c r="L42" s="722" t="s">
        <v>236</v>
      </c>
      <c r="M42" s="723">
        <v>40.450577530000004</v>
      </c>
      <c r="N42" s="723">
        <v>33.63841386</v>
      </c>
    </row>
    <row r="43" spans="1:14" ht="10.5" customHeight="1">
      <c r="A43" s="676" t="s">
        <v>109</v>
      </c>
      <c r="B43" s="668">
        <v>5.3466748125000008</v>
      </c>
      <c r="C43" s="668">
        <v>3.9183697999999998</v>
      </c>
      <c r="D43" s="669">
        <f t="shared" si="0"/>
        <v>0.36451511353012189</v>
      </c>
      <c r="E43" s="138"/>
      <c r="F43" s="138"/>
      <c r="G43" s="138"/>
      <c r="H43" s="138"/>
      <c r="I43" s="138"/>
      <c r="J43" s="138"/>
      <c r="L43" s="724" t="s">
        <v>99</v>
      </c>
      <c r="M43" s="723">
        <v>46.834456469999999</v>
      </c>
      <c r="N43" s="723">
        <v>40.093562445000003</v>
      </c>
    </row>
    <row r="44" spans="1:14" ht="10.5" customHeight="1">
      <c r="A44" s="675" t="s">
        <v>463</v>
      </c>
      <c r="B44" s="671">
        <v>5.2529412175000001</v>
      </c>
      <c r="C44" s="671">
        <v>2.5413475275000001</v>
      </c>
      <c r="D44" s="672">
        <f t="shared" si="0"/>
        <v>1.066990508247204</v>
      </c>
      <c r="E44" s="138"/>
      <c r="F44" s="138"/>
      <c r="G44" s="138"/>
      <c r="H44" s="138"/>
      <c r="I44" s="138"/>
      <c r="J44" s="138"/>
      <c r="L44" s="722" t="s">
        <v>108</v>
      </c>
      <c r="M44" s="723">
        <v>50.204945395000003</v>
      </c>
      <c r="N44" s="723">
        <v>46.415177182500003</v>
      </c>
    </row>
    <row r="45" spans="1:14" ht="10.5" customHeight="1">
      <c r="A45" s="676" t="s">
        <v>107</v>
      </c>
      <c r="B45" s="668">
        <v>5.0347205949999996</v>
      </c>
      <c r="C45" s="668">
        <v>4.0166999925000004</v>
      </c>
      <c r="D45" s="669">
        <f t="shared" si="0"/>
        <v>0.25344700983415525</v>
      </c>
      <c r="E45" s="138"/>
      <c r="F45" s="138"/>
      <c r="G45" s="138"/>
      <c r="H45" s="138"/>
      <c r="I45" s="138"/>
      <c r="J45" s="138"/>
      <c r="L45" s="722" t="s">
        <v>96</v>
      </c>
      <c r="M45" s="723">
        <v>52.003107345000004</v>
      </c>
      <c r="N45" s="723">
        <v>28.289728122500001</v>
      </c>
    </row>
    <row r="46" spans="1:14" ht="10.5" customHeight="1">
      <c r="A46" s="675" t="s">
        <v>426</v>
      </c>
      <c r="B46" s="671">
        <v>4.3209856625</v>
      </c>
      <c r="C46" s="671">
        <v>5.7953986249999998</v>
      </c>
      <c r="D46" s="672">
        <f t="shared" si="0"/>
        <v>-0.25441096599286983</v>
      </c>
      <c r="E46" s="138"/>
      <c r="F46" s="138"/>
      <c r="G46" s="138"/>
      <c r="H46" s="138"/>
      <c r="I46" s="138"/>
      <c r="J46" s="138"/>
      <c r="L46" s="722" t="s">
        <v>562</v>
      </c>
      <c r="M46" s="723">
        <v>52.217664867500005</v>
      </c>
      <c r="N46" s="723">
        <v>50.153221312500001</v>
      </c>
    </row>
    <row r="47" spans="1:14" ht="13.95" customHeight="1">
      <c r="A47" s="678" t="s">
        <v>110</v>
      </c>
      <c r="B47" s="668">
        <v>4.0455423274999998</v>
      </c>
      <c r="C47" s="668">
        <v>3.6113244249999998</v>
      </c>
      <c r="D47" s="669">
        <f t="shared" si="0"/>
        <v>0.12023785498030959</v>
      </c>
      <c r="E47" s="138"/>
      <c r="F47" s="138"/>
      <c r="G47" s="138"/>
      <c r="H47" s="138"/>
      <c r="I47" s="138"/>
      <c r="J47" s="138"/>
      <c r="L47" s="723" t="s">
        <v>425</v>
      </c>
      <c r="M47" s="723">
        <v>66.281201049999993</v>
      </c>
      <c r="N47" s="723">
        <v>51.470511979999998</v>
      </c>
    </row>
    <row r="48" spans="1:14" ht="10.5" customHeight="1">
      <c r="A48" s="675" t="s">
        <v>554</v>
      </c>
      <c r="B48" s="671">
        <v>3.5955658150000001</v>
      </c>
      <c r="C48" s="671">
        <v>3.4606206225</v>
      </c>
      <c r="D48" s="672">
        <f t="shared" si="0"/>
        <v>3.8994506252035821E-2</v>
      </c>
      <c r="E48" s="138"/>
      <c r="F48" s="138"/>
      <c r="G48" s="138"/>
      <c r="H48" s="138"/>
      <c r="I48" s="138"/>
      <c r="J48" s="138"/>
      <c r="L48" s="725" t="s">
        <v>100</v>
      </c>
      <c r="M48" s="723">
        <v>69.546611862499987</v>
      </c>
      <c r="N48" s="723">
        <v>83.499016690000005</v>
      </c>
    </row>
    <row r="49" spans="1:17" ht="10.5" customHeight="1">
      <c r="A49" s="676" t="s">
        <v>553</v>
      </c>
      <c r="B49" s="668">
        <v>3.5474250999999999</v>
      </c>
      <c r="C49" s="668">
        <v>3.7421603000000001</v>
      </c>
      <c r="D49" s="669">
        <f t="shared" si="0"/>
        <v>-5.2038176985630513E-2</v>
      </c>
      <c r="E49" s="138"/>
      <c r="F49" s="138"/>
      <c r="G49" s="138"/>
      <c r="H49" s="138"/>
      <c r="I49" s="138"/>
      <c r="J49" s="138"/>
      <c r="L49" s="722" t="s">
        <v>91</v>
      </c>
      <c r="M49" s="723">
        <v>77.474070157499995</v>
      </c>
      <c r="N49" s="723">
        <v>126.77993473749996</v>
      </c>
    </row>
    <row r="50" spans="1:17" ht="12" customHeight="1">
      <c r="A50" s="677" t="s">
        <v>112</v>
      </c>
      <c r="B50" s="671">
        <v>3.3593649599999997</v>
      </c>
      <c r="C50" s="671">
        <v>3.5931083225</v>
      </c>
      <c r="D50" s="672">
        <f t="shared" si="0"/>
        <v>-6.5053246804807507E-2</v>
      </c>
      <c r="E50" s="138"/>
      <c r="F50" s="138"/>
      <c r="G50" s="138"/>
      <c r="H50" s="138"/>
      <c r="I50" s="138"/>
      <c r="J50" s="138"/>
      <c r="L50" s="722" t="s">
        <v>95</v>
      </c>
      <c r="M50" s="723">
        <v>78.365052807500007</v>
      </c>
      <c r="N50" s="723">
        <v>66.232919159999994</v>
      </c>
    </row>
    <row r="51" spans="1:17" ht="10.5" customHeight="1">
      <c r="A51" s="676" t="s">
        <v>113</v>
      </c>
      <c r="B51" s="668">
        <v>2.646348835</v>
      </c>
      <c r="C51" s="668">
        <v>2.6403305499999998</v>
      </c>
      <c r="D51" s="669">
        <f t="shared" si="0"/>
        <v>2.2793680132209282E-3</v>
      </c>
      <c r="E51" s="138"/>
      <c r="F51" s="138"/>
      <c r="G51" s="138"/>
      <c r="H51" s="138"/>
      <c r="I51" s="138"/>
      <c r="J51" s="138"/>
      <c r="L51" s="722" t="s">
        <v>98</v>
      </c>
      <c r="M51" s="723">
        <v>81.028462189999999</v>
      </c>
      <c r="N51" s="723">
        <v>76.706314362499995</v>
      </c>
    </row>
    <row r="52" spans="1:17" ht="10.5" customHeight="1">
      <c r="A52" s="675" t="s">
        <v>114</v>
      </c>
      <c r="B52" s="671">
        <v>2.5939999999999999</v>
      </c>
      <c r="C52" s="671">
        <v>2.5821000000000001</v>
      </c>
      <c r="D52" s="672">
        <f t="shared" si="0"/>
        <v>4.6086518725068082E-3</v>
      </c>
      <c r="E52" s="138"/>
      <c r="F52" s="138"/>
      <c r="G52" s="138"/>
      <c r="H52" s="138"/>
      <c r="I52" s="138"/>
      <c r="J52" s="138"/>
      <c r="L52" s="722" t="s">
        <v>92</v>
      </c>
      <c r="M52" s="723">
        <v>121.28759959250002</v>
      </c>
      <c r="N52" s="723">
        <v>92.068668492499995</v>
      </c>
    </row>
    <row r="53" spans="1:17" ht="10.5" customHeight="1">
      <c r="A53" s="676" t="s">
        <v>448</v>
      </c>
      <c r="B53" s="668">
        <v>2.1964843774999996</v>
      </c>
      <c r="C53" s="668">
        <v>6.0877739999999996</v>
      </c>
      <c r="D53" s="669">
        <f t="shared" si="0"/>
        <v>-0.63919745090734326</v>
      </c>
      <c r="E53" s="138"/>
      <c r="F53" s="138"/>
      <c r="G53" s="138"/>
      <c r="H53" s="138"/>
      <c r="I53" s="138"/>
      <c r="J53" s="138"/>
      <c r="L53" s="722" t="s">
        <v>93</v>
      </c>
      <c r="M53" s="723">
        <v>127.28978615999999</v>
      </c>
      <c r="N53" s="723">
        <v>121.23679420000001</v>
      </c>
    </row>
    <row r="54" spans="1:17" ht="10.5" customHeight="1">
      <c r="A54" s="675" t="s">
        <v>115</v>
      </c>
      <c r="B54" s="671">
        <v>1.921022775</v>
      </c>
      <c r="C54" s="671">
        <v>1.9293764824999999</v>
      </c>
      <c r="D54" s="672">
        <f t="shared" si="0"/>
        <v>-4.3297446484761304E-3</v>
      </c>
      <c r="E54" s="138"/>
      <c r="F54" s="138"/>
      <c r="G54" s="138"/>
      <c r="H54" s="138"/>
      <c r="I54" s="138"/>
      <c r="J54" s="138"/>
      <c r="L54" s="722" t="s">
        <v>94</v>
      </c>
      <c r="M54" s="723">
        <v>127.48413155</v>
      </c>
      <c r="N54" s="723">
        <v>148.91854442749997</v>
      </c>
    </row>
    <row r="55" spans="1:17" ht="10.5" customHeight="1">
      <c r="A55" s="678" t="s">
        <v>117</v>
      </c>
      <c r="B55" s="668">
        <v>0.4831453275</v>
      </c>
      <c r="C55" s="668">
        <v>0.83815456749999995</v>
      </c>
      <c r="D55" s="669">
        <f t="shared" si="0"/>
        <v>-0.42356058627575277</v>
      </c>
      <c r="E55" s="138"/>
      <c r="F55" s="138"/>
      <c r="G55" s="138"/>
      <c r="H55" s="138"/>
      <c r="I55" s="138"/>
      <c r="J55" s="138"/>
      <c r="L55" s="723" t="s">
        <v>237</v>
      </c>
      <c r="M55" s="723">
        <v>239.70373735750002</v>
      </c>
      <c r="N55" s="723">
        <v>106.9974427825</v>
      </c>
    </row>
    <row r="56" spans="1:17" ht="10.5" customHeight="1">
      <c r="A56" s="675" t="s">
        <v>561</v>
      </c>
      <c r="B56" s="671">
        <v>0.41744592999999997</v>
      </c>
      <c r="C56" s="671">
        <v>0.61246642750000002</v>
      </c>
      <c r="D56" s="672">
        <f t="shared" si="0"/>
        <v>-0.31841826546484464</v>
      </c>
      <c r="E56" s="138"/>
      <c r="F56" s="138"/>
      <c r="G56" s="138"/>
      <c r="H56" s="138"/>
      <c r="I56" s="138"/>
      <c r="J56" s="138"/>
      <c r="L56" s="722" t="s">
        <v>239</v>
      </c>
      <c r="M56" s="723">
        <v>248.65869023499999</v>
      </c>
      <c r="N56" s="723">
        <v>257.81253351750001</v>
      </c>
    </row>
    <row r="57" spans="1:17" ht="10.5" customHeight="1">
      <c r="A57" s="676" t="s">
        <v>242</v>
      </c>
      <c r="B57" s="668">
        <v>0.40364883500000004</v>
      </c>
      <c r="C57" s="668">
        <v>0</v>
      </c>
      <c r="D57" s="669" t="str">
        <f>IF(C57=0,"",B57/C57-1)</f>
        <v/>
      </c>
      <c r="E57" s="138"/>
      <c r="F57" s="138"/>
      <c r="G57" s="138"/>
      <c r="H57" s="138"/>
      <c r="I57" s="138"/>
      <c r="J57" s="138"/>
      <c r="L57" s="722" t="s">
        <v>90</v>
      </c>
      <c r="M57" s="723">
        <v>269.04544222249996</v>
      </c>
      <c r="N57" s="723">
        <v>261.68172815000003</v>
      </c>
    </row>
    <row r="58" spans="1:17" ht="10.5" customHeight="1">
      <c r="A58" s="675" t="s">
        <v>116</v>
      </c>
      <c r="B58" s="671">
        <v>0.27153445249999997</v>
      </c>
      <c r="C58" s="671">
        <v>0.38917514249999996</v>
      </c>
      <c r="D58" s="672">
        <f t="shared" si="0"/>
        <v>-0.30228212738433058</v>
      </c>
      <c r="E58" s="138"/>
      <c r="F58" s="138"/>
      <c r="G58" s="138"/>
      <c r="H58" s="138"/>
      <c r="I58" s="138"/>
      <c r="J58" s="138"/>
      <c r="L58" s="723" t="s">
        <v>235</v>
      </c>
      <c r="M58" s="723">
        <v>281.66128747250002</v>
      </c>
      <c r="N58" s="723">
        <v>258.05347482249999</v>
      </c>
    </row>
    <row r="59" spans="1:17" ht="10.5" customHeight="1">
      <c r="A59" s="676" t="s">
        <v>409</v>
      </c>
      <c r="B59" s="679">
        <v>5.8848999999999999E-2</v>
      </c>
      <c r="C59" s="679">
        <v>0.19839899999999999</v>
      </c>
      <c r="D59" s="680">
        <f t="shared" si="0"/>
        <v>-0.70338056139395866</v>
      </c>
      <c r="E59" s="138"/>
      <c r="F59" s="138"/>
      <c r="G59" s="138"/>
      <c r="H59" s="138"/>
      <c r="I59" s="138"/>
      <c r="J59" s="138"/>
      <c r="L59" s="722" t="s">
        <v>87</v>
      </c>
      <c r="M59" s="723">
        <v>359.97753164250003</v>
      </c>
      <c r="N59" s="723">
        <v>390.99026932750002</v>
      </c>
    </row>
    <row r="60" spans="1:17" ht="10.5" customHeight="1">
      <c r="A60" s="681" t="s">
        <v>241</v>
      </c>
      <c r="B60" s="671">
        <v>2.3044125000000002E-3</v>
      </c>
      <c r="C60" s="671">
        <v>0.58010283249999994</v>
      </c>
      <c r="D60" s="672">
        <f t="shared" si="0"/>
        <v>-0.99602757929991659</v>
      </c>
      <c r="E60" s="138"/>
      <c r="F60" s="138"/>
      <c r="G60" s="138"/>
      <c r="H60" s="138"/>
      <c r="I60" s="138"/>
      <c r="J60" s="138"/>
      <c r="L60" s="722" t="s">
        <v>88</v>
      </c>
      <c r="M60" s="723">
        <v>518.13616181999998</v>
      </c>
      <c r="N60" s="723">
        <v>501.10765055000007</v>
      </c>
    </row>
    <row r="61" spans="1:17" s="582" customFormat="1" ht="10.5" customHeight="1">
      <c r="A61" s="676" t="s">
        <v>234</v>
      </c>
      <c r="B61" s="679">
        <v>1.5000000000000002E-8</v>
      </c>
      <c r="C61" s="679">
        <v>0</v>
      </c>
      <c r="D61" s="680" t="str">
        <f t="shared" si="0"/>
        <v/>
      </c>
      <c r="E61" s="138"/>
      <c r="F61" s="138"/>
      <c r="G61" s="138"/>
      <c r="H61" s="138"/>
      <c r="I61" s="138"/>
      <c r="J61" s="138"/>
      <c r="K61" s="278"/>
      <c r="L61" s="722" t="s">
        <v>89</v>
      </c>
      <c r="M61" s="723">
        <v>625.62542880000001</v>
      </c>
      <c r="N61" s="723">
        <v>578.28590052000015</v>
      </c>
      <c r="O61" s="278"/>
      <c r="P61" s="520"/>
      <c r="Q61" s="520"/>
    </row>
    <row r="62" spans="1:17" s="582" customFormat="1" ht="10.5" customHeight="1">
      <c r="A62" s="681" t="s">
        <v>102</v>
      </c>
      <c r="B62" s="671">
        <v>0</v>
      </c>
      <c r="C62" s="671">
        <v>10.081287702499999</v>
      </c>
      <c r="D62" s="672"/>
      <c r="E62" s="138"/>
      <c r="F62" s="138"/>
      <c r="G62" s="138"/>
      <c r="H62" s="138"/>
      <c r="I62" s="138"/>
      <c r="J62" s="138"/>
      <c r="K62" s="278"/>
      <c r="L62" s="722" t="s">
        <v>407</v>
      </c>
      <c r="M62" s="723">
        <v>796.98538450749993</v>
      </c>
      <c r="N62" s="723">
        <v>405.7590323325</v>
      </c>
      <c r="O62" s="278"/>
      <c r="P62" s="520"/>
      <c r="Q62" s="520"/>
    </row>
    <row r="63" spans="1:17" s="582" customFormat="1" ht="10.5" customHeight="1">
      <c r="A63" s="682" t="s">
        <v>119</v>
      </c>
      <c r="B63" s="683">
        <v>0</v>
      </c>
      <c r="C63" s="683">
        <v>0</v>
      </c>
      <c r="D63" s="684" t="str">
        <f t="shared" si="0"/>
        <v/>
      </c>
      <c r="E63" s="138"/>
      <c r="F63" s="138"/>
      <c r="G63" s="138"/>
      <c r="H63" s="138"/>
      <c r="I63" s="138"/>
      <c r="J63" s="138"/>
      <c r="K63" s="278"/>
      <c r="L63" s="722"/>
      <c r="M63" s="723"/>
      <c r="N63" s="723"/>
      <c r="O63" s="278"/>
      <c r="P63" s="520"/>
      <c r="Q63" s="520"/>
    </row>
    <row r="64" spans="1:17" ht="10.5" customHeight="1">
      <c r="A64" s="685" t="s">
        <v>42</v>
      </c>
      <c r="B64" s="686">
        <f>+SUM(B5:B63)</f>
        <v>4619.3049310875022</v>
      </c>
      <c r="C64" s="686">
        <f>+SUM(C5:C63)</f>
        <v>3999.0571485550004</v>
      </c>
      <c r="D64" s="687">
        <f>IF(C64=0,"",B64/C64-1)</f>
        <v>0.15509850434536032</v>
      </c>
      <c r="E64" s="138"/>
      <c r="F64" s="138"/>
      <c r="G64" s="138"/>
      <c r="H64" s="138"/>
      <c r="I64" s="138"/>
      <c r="J64" s="138"/>
      <c r="L64" s="722"/>
      <c r="M64" s="723"/>
      <c r="N64" s="723"/>
    </row>
    <row r="65" spans="1:10" ht="40.5" customHeight="1">
      <c r="A65" s="859" t="str">
        <f>"Cuadro N° 6: Participación de las empresas generadoras del COES en la producción de energía eléctrica (GWh) en "&amp;'1. Resumen'!Q4</f>
        <v>Cuadro N° 6: Participación de las empresas generadoras del COES en la producción de energía eléctrica (GWh) en marzo</v>
      </c>
      <c r="B65" s="859"/>
      <c r="C65" s="859"/>
      <c r="D65" s="424"/>
      <c r="E65" s="858" t="str">
        <f>"Gráfico N° 10: Comparación de producción energética (GWh) de las empresas generadoras del COES en "&amp;'1. Resumen'!Q4</f>
        <v>Gráfico N° 10: Comparación de producción energética (GWh) de las empresas generadoras del COES en marzo</v>
      </c>
      <c r="F65" s="858"/>
      <c r="G65" s="858"/>
      <c r="H65" s="858"/>
      <c r="I65" s="858"/>
      <c r="J65" s="858"/>
    </row>
    <row r="66" spans="1:10">
      <c r="A66" s="852"/>
      <c r="B66" s="852"/>
      <c r="C66" s="852"/>
      <c r="D66" s="852"/>
      <c r="E66" s="852"/>
      <c r="F66" s="852"/>
      <c r="G66" s="852"/>
      <c r="H66" s="852"/>
      <c r="I66" s="852"/>
      <c r="J66" s="852"/>
    </row>
    <row r="67" spans="1:10">
      <c r="A67" s="853"/>
      <c r="B67" s="853"/>
      <c r="C67" s="853"/>
      <c r="D67" s="853"/>
      <c r="E67" s="853"/>
      <c r="F67" s="853"/>
      <c r="G67" s="853"/>
      <c r="H67" s="853"/>
      <c r="I67" s="853"/>
      <c r="J67" s="853"/>
    </row>
    <row r="68" spans="1:10">
      <c r="A68" s="852"/>
      <c r="B68" s="852"/>
      <c r="C68" s="852"/>
      <c r="D68" s="852"/>
      <c r="E68" s="852"/>
      <c r="F68" s="852"/>
      <c r="G68" s="852"/>
      <c r="H68" s="852"/>
      <c r="I68" s="852"/>
      <c r="J68" s="852"/>
    </row>
    <row r="69" spans="1:10">
      <c r="A69" s="853"/>
      <c r="B69" s="853"/>
      <c r="C69" s="853"/>
      <c r="D69" s="853"/>
      <c r="E69" s="853"/>
      <c r="F69" s="853"/>
      <c r="G69" s="853"/>
      <c r="H69" s="853"/>
      <c r="I69" s="853"/>
      <c r="J69" s="853"/>
    </row>
  </sheetData>
  <mergeCells count="10">
    <mergeCell ref="A66:J66"/>
    <mergeCell ref="A67:J67"/>
    <mergeCell ref="A68:J68"/>
    <mergeCell ref="A69:J69"/>
    <mergeCell ref="A1:I1"/>
    <mergeCell ref="A3:A4"/>
    <mergeCell ref="B3:D3"/>
    <mergeCell ref="G3:I3"/>
    <mergeCell ref="E65:J65"/>
    <mergeCell ref="A65:C65"/>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Marzo 2021
INFSGI-MES-03-2021
13/04/2021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USER</cp:lastModifiedBy>
  <cp:lastPrinted>2021-04-13T19:53:54Z</cp:lastPrinted>
  <dcterms:created xsi:type="dcterms:W3CDTF">2018-02-13T14:18:17Z</dcterms:created>
  <dcterms:modified xsi:type="dcterms:W3CDTF">2021-04-13T19:54:37Z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