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xml"/>
  <Override PartName="/xl/charts/chart27.xml" ContentType="application/vnd.openxmlformats-officedocument.drawingml.chart+xml"/>
  <Override PartName="/xl/charts/style7.xml" ContentType="application/vnd.ms-office.chartstyle+xml"/>
  <Override PartName="/xl/charts/colors7.xml" ContentType="application/vnd.ms-office.chartcolorstyle+xml"/>
  <Override PartName="/xl/charts/chart28.xml" ContentType="application/vnd.openxmlformats-officedocument.drawingml.chart+xml"/>
  <Override PartName="/xl/charts/chart2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3\2. FEBRERO\"/>
    </mc:Choice>
  </mc:AlternateContent>
  <xr:revisionPtr revIDLastSave="0" documentId="13_ncr:1_{97A54DBD-3A6B-4E7D-8128-507B6E5C8C4A}" xr6:coauthVersionLast="47" xr6:coauthVersionMax="47" xr10:uidLastSave="{00000000-0000-0000-0000-000000000000}"/>
  <bookViews>
    <workbookView xWindow="-108" yWindow="-108" windowWidth="23256" windowHeight="12576" tabRatio="851"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29.ANEXO III-5" sheetId="67" r:id="rId31"/>
    <sheet name="30.ANEXO III-6" sheetId="68" r:id="rId32"/>
    <sheet name="Contraportada" sheetId="59" r:id="rId33"/>
  </sheets>
  <definedNames>
    <definedName name="_xlnm._FilterDatabase" localSheetId="7" hidden="1">'6. FP RER'!$U$52:$W$53</definedName>
    <definedName name="_xlnm._FilterDatabase" localSheetId="8" hidden="1">'7. Generacion empresa'!$M$3:$O$66</definedName>
    <definedName name="_xlnm._FilterDatabase" localSheetId="10" hidden="1">'9. Pot. Empresa'!$M$6:$O$60</definedName>
    <definedName name="_xlnm.Print_Area" localSheetId="2">'1. Resumen'!$A$1:$M$51</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generación'!$A$1:$J$58</definedName>
    <definedName name="_xlnm.Print_Area" localSheetId="21">'20. ANEXOI-3'!$A$1:$G$50</definedName>
    <definedName name="_xlnm.Print_Area" localSheetId="22">'21. ANEXOII-1'!$A$1:$F$80</definedName>
    <definedName name="_xlnm.Print_Area" localSheetId="24">'23. ANEXOII-3'!$A$1:$F$66</definedName>
    <definedName name="_xlnm.Print_Area" localSheetId="26">'25.ANEXO III -1'!$A$1:$F$14</definedName>
    <definedName name="_xlnm.Print_Area" localSheetId="27">'26.ANEXO III-2'!$A$1:$F$14</definedName>
    <definedName name="_xlnm.Print_Area" localSheetId="28">'27.ANEXO III-3'!$A$1:$F$13</definedName>
    <definedName name="_xlnm.Print_Area" localSheetId="29">'28.ANEXO III-4'!$A$1:$F$15</definedName>
    <definedName name="_xlnm.Print_Area" localSheetId="30">'29.ANEXO III-5'!$A$1:$F$14</definedName>
    <definedName name="_xlnm.Print_Area" localSheetId="31">'30.ANEXO III-6'!$A$1:$F$11</definedName>
    <definedName name="_xlnm.Print_Area" localSheetId="6">'5. RER'!$A$1:$K$63</definedName>
    <definedName name="_xlnm.Print_Area" localSheetId="7">'6. FP RER'!$A$1:$L$64</definedName>
    <definedName name="_xlnm.Print_Area" localSheetId="8">'7. Generacion empresa'!$A$1:$K$70</definedName>
    <definedName name="_xlnm.Print_Area" localSheetId="9">'8. Max Potencia'!$A$1:$K$62</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22" l="1"/>
  <c r="D14" i="22"/>
  <c r="E14" i="22"/>
  <c r="F14" i="22"/>
  <c r="G14" i="22"/>
  <c r="H14" i="22"/>
  <c r="B14" i="22"/>
  <c r="G12" i="21"/>
  <c r="H12" i="21"/>
  <c r="G13" i="21"/>
  <c r="H13" i="21"/>
  <c r="G14" i="21"/>
  <c r="H14" i="21"/>
  <c r="G15" i="21"/>
  <c r="G16" i="21"/>
  <c r="H16" i="21"/>
  <c r="H17" i="21"/>
  <c r="H18" i="21"/>
  <c r="G20" i="21"/>
  <c r="H21" i="21"/>
  <c r="G7" i="21"/>
  <c r="G10" i="21"/>
  <c r="J14" i="22" l="1"/>
  <c r="I8" i="22"/>
  <c r="I9" i="22"/>
  <c r="I10" i="22"/>
  <c r="I11" i="22"/>
  <c r="I12" i="22"/>
  <c r="I13" i="22"/>
  <c r="I8" i="6" l="1"/>
  <c r="H8" i="6"/>
  <c r="C32" i="16" l="1"/>
  <c r="F31" i="16" l="1"/>
  <c r="C68" i="11" l="1"/>
  <c r="B68" i="11"/>
  <c r="B26" i="6" l="1"/>
  <c r="G42" i="38" l="1"/>
  <c r="F42" i="38"/>
  <c r="C70" i="13" l="1"/>
  <c r="B70" i="13"/>
  <c r="D69" i="13"/>
  <c r="D68" i="13"/>
  <c r="D67" i="13"/>
  <c r="D66" i="13"/>
  <c r="F18" i="16" l="1"/>
  <c r="G41" i="38" l="1"/>
  <c r="F72" i="13" l="1"/>
  <c r="A72" i="13"/>
  <c r="A57" i="7"/>
  <c r="J12" i="7" l="1"/>
  <c r="F41" i="38" l="1"/>
  <c r="G18" i="8" l="1"/>
  <c r="J14" i="12" l="1"/>
  <c r="D22" i="21" l="1"/>
  <c r="E22" i="21"/>
  <c r="F22" i="21"/>
  <c r="D7" i="13" l="1"/>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9" i="13"/>
  <c r="D50" i="13"/>
  <c r="D51" i="13"/>
  <c r="D52" i="13"/>
  <c r="D53" i="13"/>
  <c r="D54" i="13"/>
  <c r="D55" i="13"/>
  <c r="D56" i="13"/>
  <c r="D57" i="13"/>
  <c r="D58" i="13"/>
  <c r="D59" i="13"/>
  <c r="D60" i="13"/>
  <c r="D61" i="13"/>
  <c r="D62" i="13"/>
  <c r="D63" i="13"/>
  <c r="D64" i="13"/>
  <c r="D65" i="13"/>
  <c r="E25" i="6" l="1"/>
  <c r="D25" i="6"/>
  <c r="A43" i="10" l="1"/>
  <c r="F14" i="7"/>
  <c r="B11" i="9" l="1"/>
  <c r="C11" i="9"/>
  <c r="D11" i="9"/>
  <c r="E11" i="9"/>
  <c r="A64" i="10" l="1"/>
  <c r="F54" i="46" l="1"/>
  <c r="F53" i="46"/>
  <c r="F52" i="46"/>
  <c r="F51" i="46"/>
  <c r="F50" i="46"/>
  <c r="F49" i="46"/>
  <c r="F48" i="46"/>
  <c r="F47" i="46"/>
  <c r="F46" i="46"/>
  <c r="F45" i="46"/>
  <c r="F44" i="46"/>
  <c r="F43" i="46"/>
  <c r="F42" i="46"/>
  <c r="F41" i="46"/>
  <c r="F40" i="46"/>
  <c r="F39" i="46"/>
  <c r="F38" i="46"/>
  <c r="F37" i="46"/>
  <c r="F36" i="46"/>
  <c r="F35" i="46"/>
  <c r="F34" i="46"/>
  <c r="F33" i="46"/>
  <c r="F32" i="46"/>
  <c r="F31" i="46"/>
  <c r="F30" i="46"/>
  <c r="F29" i="46"/>
  <c r="F28" i="46"/>
  <c r="F27" i="46"/>
  <c r="F26" i="46"/>
  <c r="F25" i="46"/>
  <c r="F24" i="46"/>
  <c r="F22" i="46"/>
  <c r="F21" i="46"/>
  <c r="F20" i="46"/>
  <c r="F19" i="46"/>
  <c r="F18" i="46"/>
  <c r="F17" i="46"/>
  <c r="F16" i="46"/>
  <c r="F15" i="46"/>
  <c r="F14" i="46"/>
  <c r="F13" i="46"/>
  <c r="F12" i="46"/>
  <c r="F11" i="46"/>
  <c r="F10" i="46"/>
  <c r="F9" i="46"/>
  <c r="F8" i="46"/>
  <c r="F7" i="46"/>
  <c r="F6" i="46"/>
  <c r="D67" i="11" l="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H18" i="8" l="1"/>
  <c r="B18" i="8" l="1"/>
  <c r="D16" i="7" l="1"/>
  <c r="A58" i="12" l="1"/>
  <c r="F71" i="45" l="1"/>
  <c r="F70" i="45"/>
  <c r="F69" i="45"/>
  <c r="F67" i="45"/>
  <c r="F66" i="45"/>
  <c r="G12" i="7" l="1"/>
  <c r="E12" i="7"/>
  <c r="D20" i="6" l="1"/>
  <c r="F77" i="36" l="1"/>
  <c r="F76" i="36"/>
  <c r="F75" i="36"/>
  <c r="F74" i="36"/>
  <c r="F72" i="36"/>
  <c r="F71" i="36"/>
  <c r="E58" i="46" l="1"/>
  <c r="F5" i="45" l="1"/>
  <c r="F6" i="45"/>
  <c r="F7" i="45"/>
  <c r="F8" i="45"/>
  <c r="F9" i="45"/>
  <c r="F10" i="45"/>
  <c r="F11" i="45"/>
  <c r="F12" i="45"/>
  <c r="F13" i="45"/>
  <c r="F14" i="45"/>
  <c r="F15" i="45"/>
  <c r="F16" i="45"/>
  <c r="F17" i="45"/>
  <c r="F18" i="45"/>
  <c r="F20"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5" i="45"/>
  <c r="F68" i="45"/>
  <c r="I7" i="22" l="1"/>
  <c r="I14" i="22" s="1"/>
  <c r="B16" i="7" l="1"/>
  <c r="C16" i="7"/>
  <c r="E16" i="7"/>
  <c r="E5" i="36" l="1"/>
  <c r="E4" i="36"/>
  <c r="D12" i="7" l="1"/>
  <c r="F55" i="46" l="1"/>
  <c r="D5" i="11"/>
  <c r="D2" i="46" l="1"/>
  <c r="C2" i="46"/>
  <c r="D2" i="45"/>
  <c r="C2" i="45"/>
  <c r="C56" i="46" l="1"/>
  <c r="C58" i="46" s="1"/>
  <c r="D56" i="46"/>
  <c r="D58" i="46" s="1"/>
  <c r="F73"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5" i="46" l="1"/>
  <c r="D6" i="11" l="1"/>
  <c r="K12" i="12" l="1"/>
  <c r="K11" i="12"/>
  <c r="F58" i="46" l="1"/>
  <c r="E4" i="45" l="1"/>
  <c r="E4" i="46" s="1"/>
  <c r="B14" i="12" l="1"/>
  <c r="F13" i="8"/>
  <c r="N14" i="18" l="1"/>
  <c r="J11" i="9" l="1"/>
  <c r="H11" i="9"/>
  <c r="G11" i="9"/>
  <c r="D6" i="16" l="1"/>
  <c r="C28" i="14" l="1"/>
  <c r="A39" i="22" l="1"/>
  <c r="F6" i="36" l="1"/>
  <c r="A70" i="11" l="1"/>
  <c r="F21" i="8" l="1"/>
  <c r="C18" i="8"/>
  <c r="D18" i="8"/>
  <c r="E18" i="8"/>
  <c r="E12" i="9" s="1"/>
  <c r="H12" i="7"/>
  <c r="C12" i="7"/>
  <c r="B12" i="7"/>
  <c r="F18" i="8" l="1"/>
  <c r="I18" i="12"/>
  <c r="F18" i="12"/>
  <c r="H14" i="12"/>
  <c r="G14" i="12"/>
  <c r="E14" i="12"/>
  <c r="D14" i="12"/>
  <c r="C14" i="12"/>
  <c r="F14" i="12" l="1"/>
  <c r="I14" i="12"/>
  <c r="K14" i="12"/>
  <c r="I14" i="7" l="1"/>
  <c r="K14" i="7"/>
  <c r="F15" i="7"/>
  <c r="I15" i="7"/>
  <c r="K15" i="7"/>
  <c r="C3" i="4"/>
  <c r="F7" i="16" l="1"/>
  <c r="F8" i="16"/>
  <c r="F9" i="16"/>
  <c r="F10" i="16"/>
  <c r="F11" i="16"/>
  <c r="F12" i="16"/>
  <c r="F13" i="16"/>
  <c r="F14" i="16"/>
  <c r="F15" i="16"/>
  <c r="F16" i="16"/>
  <c r="F17" i="16"/>
  <c r="F19" i="16"/>
  <c r="F20" i="16"/>
  <c r="F21" i="16"/>
  <c r="F22" i="16"/>
  <c r="F23" i="16"/>
  <c r="F24" i="16"/>
  <c r="F25" i="16"/>
  <c r="F26" i="16"/>
  <c r="F27" i="16"/>
  <c r="F28" i="16"/>
  <c r="F29" i="16"/>
  <c r="F30" i="16"/>
  <c r="F10" i="7"/>
  <c r="F12" i="7"/>
  <c r="D12" i="9" l="1"/>
  <c r="B47" i="4" l="1"/>
  <c r="A9" i="4"/>
  <c r="A52" i="21" l="1"/>
  <c r="A63" i="9" l="1"/>
  <c r="A35" i="9"/>
  <c r="A63" i="8"/>
  <c r="B49" i="4" l="1"/>
  <c r="F2" i="38" l="1"/>
  <c r="N29" i="18" l="1"/>
  <c r="N28" i="18"/>
  <c r="N27" i="18"/>
  <c r="N26" i="18"/>
  <c r="N25" i="18"/>
  <c r="N24" i="18"/>
  <c r="N23" i="18"/>
  <c r="N20" i="18"/>
  <c r="N19" i="18"/>
  <c r="N18" i="18"/>
  <c r="N17" i="18"/>
  <c r="N16" i="18"/>
  <c r="N15" i="18"/>
  <c r="N12" i="18"/>
  <c r="N11" i="18"/>
  <c r="N10" i="18"/>
  <c r="N9" i="18"/>
  <c r="H47" i="4" l="1"/>
  <c r="A54" i="22" l="1"/>
  <c r="B58" i="18"/>
  <c r="B40" i="18"/>
  <c r="B21" i="18"/>
  <c r="B18" i="12" l="1"/>
  <c r="B20" i="12" s="1"/>
  <c r="C18" i="12"/>
  <c r="D18" i="12"/>
  <c r="D20" i="12" s="1"/>
  <c r="E18" i="12"/>
  <c r="E20" i="12" s="1"/>
  <c r="G18" i="12"/>
  <c r="G20" i="12" s="1"/>
  <c r="H18" i="12"/>
  <c r="H20" i="12" s="1"/>
  <c r="J20" i="12"/>
  <c r="F22" i="6" l="1"/>
  <c r="F24" i="6"/>
  <c r="F11" i="14" l="1"/>
  <c r="F23" i="6" l="1"/>
  <c r="F21" i="6"/>
  <c r="E20" i="6" l="1"/>
  <c r="E70" i="11" l="1"/>
  <c r="C45" i="10"/>
  <c r="D3" i="36" l="1"/>
  <c r="C3" i="36"/>
  <c r="F2" i="37"/>
  <c r="F3" i="23"/>
  <c r="C2" i="23"/>
  <c r="C1" i="37" s="1"/>
  <c r="C1" i="38" s="1"/>
  <c r="E18" i="22"/>
  <c r="A18" i="22"/>
  <c r="A15" i="22"/>
  <c r="A23" i="21"/>
  <c r="F6" i="21"/>
  <c r="E6" i="21"/>
  <c r="D6" i="21"/>
  <c r="B47" i="18"/>
  <c r="B28" i="18"/>
  <c r="B10" i="18"/>
  <c r="E6" i="16"/>
  <c r="B3" i="13"/>
  <c r="B4" i="11"/>
  <c r="C4" i="11" s="1"/>
  <c r="B3" i="11"/>
  <c r="G6" i="7"/>
  <c r="G4" i="8" s="1"/>
  <c r="G4" i="9" s="1"/>
  <c r="D7" i="7"/>
  <c r="E7" i="7" s="1"/>
  <c r="A58" i="6"/>
  <c r="D5" i="8" l="1"/>
  <c r="C7" i="7"/>
  <c r="B7" i="7" s="1"/>
  <c r="B5" i="8" s="1"/>
  <c r="D4" i="46"/>
  <c r="C4" i="46"/>
  <c r="D4" i="45"/>
  <c r="C4" i="45"/>
  <c r="D4" i="36"/>
  <c r="D5" i="36"/>
  <c r="C5" i="36"/>
  <c r="C4" i="36"/>
  <c r="D3" i="45" l="1"/>
  <c r="D3" i="46"/>
  <c r="C3" i="46"/>
  <c r="C3" i="45"/>
  <c r="C6" i="13"/>
  <c r="B6" i="13"/>
  <c r="C5" i="13"/>
  <c r="B5" i="13"/>
  <c r="C5" i="8" l="1"/>
  <c r="D5" i="9"/>
  <c r="B5" i="9"/>
  <c r="J22" i="8"/>
  <c r="E22" i="8"/>
  <c r="D22" i="8"/>
  <c r="C22" i="8"/>
  <c r="B22" i="8"/>
  <c r="K21" i="8"/>
  <c r="K20" i="8"/>
  <c r="I20" i="8"/>
  <c r="F20" i="8"/>
  <c r="F8" i="8"/>
  <c r="A2" i="8"/>
  <c r="A4" i="7"/>
  <c r="C5" i="9" l="1"/>
  <c r="F40" i="9"/>
  <c r="F25" i="6"/>
  <c r="B12" i="9"/>
  <c r="G22" i="8"/>
  <c r="H22" i="8"/>
  <c r="I21"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F7" i="8"/>
  <c r="J18" i="8"/>
  <c r="I12" i="7"/>
  <c r="E5" i="8"/>
  <c r="I18" i="8" l="1"/>
  <c r="E5" i="9"/>
  <c r="I20" i="12"/>
  <c r="K20" i="12"/>
  <c r="F41" i="9"/>
  <c r="M40" i="9" s="1"/>
  <c r="F20" i="12"/>
  <c r="K18" i="8"/>
  <c r="J12" i="9"/>
  <c r="G12" i="9"/>
  <c r="K12" i="7"/>
  <c r="I11" i="9"/>
  <c r="H12" i="9"/>
  <c r="F11" i="9"/>
  <c r="K11" i="9"/>
  <c r="D68" i="11" l="1"/>
  <c r="D70" i="13"/>
</calcChain>
</file>

<file path=xl/sharedStrings.xml><?xml version="1.0" encoding="utf-8"?>
<sst xmlns="http://schemas.openxmlformats.org/spreadsheetml/2006/main" count="1746" uniqueCount="805">
  <si>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</si>
  <si>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</si>
  <si>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</si>
  <si>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</si>
  <si>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</si>
  <si>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</si>
  <si>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</si>
  <si>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</si>
  <si>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</si>
  <si>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</si>
  <si>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</si>
  <si>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</si>
  <si>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</si>
  <si>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</si>
  <si>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</si>
  <si>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</si>
  <si>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</si>
  <si>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</si>
  <si>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</si>
  <si>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</si>
  <si>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</si>
  <si>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</si>
  <si>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</si>
  <si>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</si>
  <si>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</si>
  <si>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</si>
  <si>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</si>
  <si>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</si>
  <si>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</si>
  <si>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</si>
  <si>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</si>
  <si>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</si>
  <si>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</si>
  <si>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</si>
  <si>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</si>
  <si>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</si>
  <si>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</si>
  <si>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</si>
  <si>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</si>
  <si>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</si>
  <si>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</si>
  <si>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</si>
  <si>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</si>
  <si>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</si>
  <si>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</si>
  <si>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</si>
  <si>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</si>
  <si>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</si>
  <si>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</si>
  <si>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</si>
  <si>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</si>
  <si>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</si>
  <si>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</si>
  <si>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</si>
  <si>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</si>
  <si>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</si>
  <si>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</si>
  <si>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</si>
  <si>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</si>
  <si>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</si>
  <si>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</si>
  <si>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</si>
  <si>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</si>
  <si>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</si>
  <si>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</si>
  <si>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</si>
  <si>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</si>
  <si>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</si>
  <si>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</si>
  <si>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</si>
  <si>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</si>
  <si>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</si>
  <si>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</si>
  <si>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</si>
  <si>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</si>
  <si>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</si>
  <si>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</si>
  <si>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</si>
  <si>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</si>
  <si>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</si>
  <si>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</si>
  <si>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</si>
  <si>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</si>
  <si>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</si>
  <si>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</si>
  <si>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</si>
  <si>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</si>
  <si>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</si>
  <si>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</si>
  <si>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</si>
  <si>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</si>
  <si>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</si>
  <si>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</si>
  <si>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</si>
  <si>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</si>
  <si>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</si>
  <si>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</si>
  <si>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</si>
  <si>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</si>
  <si>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</si>
  <si>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</si>
  <si>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</si>
  <si>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</si>
  <si>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</si>
  <si>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</si>
  <si>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</si>
  <si>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</si>
  <si>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</si>
  <si>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</si>
  <si>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</si>
  <si>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</si>
  <si>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</si>
  <si>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</si>
  <si>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</si>
  <si>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</si>
  <si>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</si>
  <si>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</si>
  <si>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</si>
  <si>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</si>
  <si>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</si>
  <si>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</si>
  <si>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</si>
  <si>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</si>
  <si>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</si>
  <si>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</si>
  <si>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</si>
  <si>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</si>
  <si>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</si>
  <si>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</si>
  <si>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</si>
  <si>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</si>
  <si>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</si>
  <si>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</si>
  <si>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</si>
  <si>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</si>
  <si>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</si>
  <si>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</si>
  <si>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</si>
  <si>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</si>
  <si>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</si>
  <si>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</si>
  <si>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</si>
  <si>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</si>
  <si>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</si>
  <si>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</si>
  <si>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</si>
  <si>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</si>
  <si>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</si>
  <si>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</si>
  <si>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Tulumayo</t>
  </si>
  <si>
    <t>Descarga Lagunas STATKRAFT</t>
  </si>
  <si>
    <t>Descarga Lagunas ENEL</t>
  </si>
  <si>
    <t>Descargado Viconga</t>
  </si>
  <si>
    <t>Ingreso Toma Cahua (Pativilca)</t>
  </si>
  <si>
    <t>Descargado Pomacocha</t>
  </si>
  <si>
    <t>Natural Santa</t>
  </si>
  <si>
    <t>Natural Chancay</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</si>
  <si>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</si>
  <si>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</si>
  <si>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</si>
  <si>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</si>
  <si>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</si>
  <si>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</si>
  <si>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</si>
  <si>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</si>
  <si>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</si>
  <si>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</si>
  <si>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</si>
  <si>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</si>
  <si>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</si>
  <si>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</si>
  <si>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</si>
  <si>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</si>
  <si>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</si>
  <si>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</si>
  <si>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</si>
  <si>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</si>
  <si>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</si>
  <si>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</si>
  <si>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</si>
  <si>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</si>
  <si>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</si>
  <si>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</si>
  <si>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</si>
  <si>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</si>
  <si>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</si>
  <si>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</si>
  <si>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</si>
  <si>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</si>
  <si>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</si>
  <si>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</si>
  <si>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</si>
  <si>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</si>
  <si>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</si>
  <si>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</si>
  <si>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</si>
  <si>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</si>
  <si>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</si>
  <si>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</si>
  <si>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</si>
  <si>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</si>
  <si>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</si>
  <si>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</si>
  <si>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</si>
  <si>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</si>
  <si>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</si>
  <si>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</si>
  <si>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</si>
  <si>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</si>
  <si>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</si>
  <si>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</si>
  <si>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</si>
  <si>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</si>
  <si>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</si>
  <si>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</si>
  <si>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</si>
  <si>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</si>
  <si>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</si>
  <si>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</si>
  <si>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</si>
  <si>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</si>
  <si>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</si>
  <si>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</si>
  <si>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</si>
  <si>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</si>
  <si>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</si>
  <si>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</si>
  <si>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</si>
  <si>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</si>
  <si>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</si>
  <si>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</si>
  <si>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</si>
  <si>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</si>
  <si>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</si>
  <si>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</si>
  <si>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</si>
  <si>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</si>
  <si>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</si>
  <si>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</si>
  <si>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</si>
  <si>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</si>
  <si>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</si>
  <si>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</si>
  <si>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</si>
  <si>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</si>
  <si>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</si>
  <si>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</si>
  <si>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</si>
  <si>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</si>
  <si>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</si>
  <si>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</si>
  <si>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</si>
  <si>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</si>
  <si>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</si>
  <si>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</si>
  <si>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</si>
  <si>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</si>
  <si>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</si>
  <si>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</si>
  <si>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MANTARO</t>
  </si>
  <si>
    <t>TULUMAYO</t>
  </si>
  <si>
    <t>TARMA</t>
  </si>
  <si>
    <t>TURBINADO CHARCANI V</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</si>
  <si>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</si>
  <si>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</si>
  <si>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</si>
  <si>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</si>
  <si>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</si>
  <si>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</si>
  <si>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</si>
  <si>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</si>
  <si>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</si>
  <si>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</si>
  <si>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</si>
  <si>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</si>
  <si>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</si>
  <si>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</si>
  <si>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</si>
  <si>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</si>
  <si>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</si>
  <si>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</si>
  <si>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</si>
  <si>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</si>
  <si>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C.H. ARICOTA II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</si>
  <si>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</si>
  <si>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</si>
  <si>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</si>
  <si>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</si>
  <si>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</si>
  <si>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</si>
  <si>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</si>
  <si>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</si>
  <si>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</si>
  <si>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</si>
  <si>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</si>
  <si>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</si>
  <si>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</si>
  <si>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</si>
  <si>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</si>
  <si>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</si>
  <si>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</si>
  <si>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</si>
  <si>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</si>
  <si>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</si>
  <si>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</si>
  <si>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</si>
  <si>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</si>
  <si>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</si>
  <si>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</si>
  <si>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</si>
  <si>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</si>
  <si>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</si>
  <si>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</si>
  <si>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</si>
  <si>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</si>
  <si>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</si>
  <si>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</si>
  <si>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</si>
  <si>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</si>
  <si>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</si>
  <si>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</si>
  <si>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</si>
  <si>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</si>
  <si>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</si>
  <si>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</si>
  <si>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</si>
  <si>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</si>
  <si>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</si>
  <si>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</si>
  <si>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</si>
  <si>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</si>
  <si>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</si>
  <si>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</si>
  <si>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</si>
  <si>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</si>
  <si>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</si>
  <si>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</si>
  <si>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</si>
  <si>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</si>
  <si>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</si>
  <si>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</si>
  <si>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</si>
  <si>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</si>
  <si>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</si>
  <si>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</si>
  <si>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</si>
  <si>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</si>
  <si>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</si>
  <si>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</si>
  <si>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</si>
  <si>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</si>
  <si>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</si>
  <si>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</si>
  <si>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</si>
  <si>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</si>
  <si>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</si>
  <si>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</si>
  <si>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</si>
  <si>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</si>
  <si>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</si>
  <si>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</si>
  <si>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</si>
  <si>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</si>
  <si>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</si>
  <si>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</si>
  <si>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</si>
  <si>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</si>
  <si>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</si>
  <si>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</si>
  <si>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</si>
  <si>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</si>
  <si>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</si>
  <si>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</si>
  <si>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</si>
  <si>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</si>
  <si>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</si>
  <si>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</si>
  <si>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</si>
  <si>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</si>
  <si>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</si>
  <si>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</si>
  <si>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</si>
  <si>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</si>
  <si>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</si>
  <si>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</si>
  <si>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</si>
  <si>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</si>
  <si>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</si>
  <si>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</si>
  <si>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</si>
  <si>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</si>
  <si>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</si>
  <si>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</si>
  <si>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</si>
  <si>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</si>
  <si>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</si>
  <si>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</si>
  <si>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</si>
  <si>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</si>
  <si>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</si>
  <si>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</si>
  <si>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</si>
  <si>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</si>
  <si>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</si>
  <si>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</si>
  <si>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</si>
  <si>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</si>
  <si>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</si>
  <si>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</si>
  <si>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</si>
  <si>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</si>
  <si>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</si>
  <si>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</si>
  <si>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</si>
  <si>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</si>
  <si>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</si>
  <si>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</si>
  <si>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</si>
  <si>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</si>
  <si>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</si>
  <si>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</si>
  <si>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</si>
  <si>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</si>
  <si>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</si>
  <si>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</si>
  <si>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</si>
  <si>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</si>
  <si>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</si>
  <si>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</si>
  <si>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</si>
  <si>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</si>
  <si>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</si>
  <si>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</si>
  <si>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</si>
  <si>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</si>
  <si>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</si>
  <si>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</si>
  <si>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</si>
  <si>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</si>
  <si>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</si>
  <si>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</si>
  <si>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</si>
  <si>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</si>
  <si>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</si>
  <si>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</si>
  <si>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</si>
  <si>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</si>
  <si>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</si>
  <si>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</si>
  <si>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</si>
  <si>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</si>
  <si>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</si>
  <si>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</si>
  <si>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</si>
  <si>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</si>
  <si>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</si>
  <si>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</si>
  <si>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</si>
  <si>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</si>
  <si>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</si>
  <si>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</si>
  <si>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</si>
  <si>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</si>
  <si>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</si>
  <si>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</si>
  <si>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</si>
  <si>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</si>
  <si>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</si>
  <si>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</si>
  <si>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</si>
  <si>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</si>
  <si>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</si>
  <si>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</si>
  <si>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</si>
  <si>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</si>
  <si>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</si>
  <si>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</si>
  <si>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</si>
  <si>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</si>
  <si>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</si>
  <si>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</si>
  <si>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</si>
  <si>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</si>
  <si>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</si>
  <si>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</si>
  <si>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</si>
  <si>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</si>
  <si>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</si>
  <si>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</si>
  <si>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</si>
  <si>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</si>
  <si>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</si>
  <si>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</si>
  <si>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</si>
  <si>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</si>
  <si>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</si>
  <si>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</si>
  <si>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</si>
  <si>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</si>
  <si>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</si>
  <si>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</si>
  <si>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</si>
  <si>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</si>
  <si>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</si>
  <si>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</si>
  <si>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</si>
  <si>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</si>
  <si>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</si>
  <si>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</si>
  <si>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</si>
  <si>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</si>
  <si>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</si>
  <si>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</si>
  <si>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</si>
  <si>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</si>
  <si>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</si>
  <si>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</si>
  <si>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</si>
  <si>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</si>
  <si>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</si>
  <si>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 así como la central solar C.S. Yarucaya.</t>
  </si>
  <si>
    <t>CENTRALES SANTA ROSA</t>
  </si>
  <si>
    <t>COLCA SOLAR</t>
  </si>
  <si>
    <t>Total CENTRALES SANTA ROSA</t>
  </si>
  <si>
    <t>Total COLCA SOLAR</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</si>
  <si>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 solar C.S. Yarucaya.</t>
  </si>
  <si>
    <t>Var (%)
2022/2021</t>
  </si>
  <si>
    <t>Var. (2022/2021)</t>
  </si>
  <si>
    <t>2. MODIFICACIÓN DE LA OFERTA DE GENERACIÓN ELÉCTRICA DEL SEIN EN EL 2022</t>
  </si>
  <si>
    <t>C.H. SANTA ROSA I</t>
  </si>
  <si>
    <t>C.H. SANTA ROSA II</t>
  </si>
  <si>
    <t>C.S. YARUCAYA</t>
  </si>
  <si>
    <t>C.H. LA VIRGEN</t>
  </si>
  <si>
    <t>ELECTRONOROESTE S.A.</t>
  </si>
  <si>
    <t>MARCONA</t>
  </si>
  <si>
    <t>STATKRAFT S.A</t>
  </si>
  <si>
    <t>20:45</t>
  </si>
  <si>
    <t>20:00</t>
  </si>
  <si>
    <t>ELECTRO PUNO</t>
  </si>
  <si>
    <t>T62-161  T6-261</t>
  </si>
  <si>
    <t>INDEPENDENCIA</t>
  </si>
  <si>
    <t>15:00</t>
  </si>
  <si>
    <t>ELECTROCENTRO</t>
  </si>
  <si>
    <t>L. AZÁNGARO - PUTINA - LINEA L-6024</t>
  </si>
  <si>
    <t>LINEA DE TRANSMISION</t>
  </si>
  <si>
    <t>T-30  T3-261  T4-261</t>
  </si>
  <si>
    <t>L. MOROCOCHA - CARLOS FRANCISCO - LINEA L-6533</t>
  </si>
  <si>
    <t>TRANSMANTARO</t>
  </si>
  <si>
    <t>L. AZÁNGARO - ANTAUTA - LINEA L-6021</t>
  </si>
  <si>
    <t>L. PUNO - POMATA - ILAVE - LINEA L-6027</t>
  </si>
  <si>
    <t>L-2222  L-2223</t>
  </si>
  <si>
    <t>PACHACHACA - CALLAHUANCA (REP)</t>
  </si>
  <si>
    <t>SUR</t>
  </si>
  <si>
    <t>Natural Tarma</t>
  </si>
  <si>
    <t>Descargado Yuracmayo</t>
  </si>
  <si>
    <t>TAMBORAQUE (RÍMAC)</t>
  </si>
  <si>
    <t>SHEQUE (SANTA EULALIA)</t>
  </si>
  <si>
    <t>Ingreso Toma Sheque (Santa Eulalia)</t>
  </si>
  <si>
    <t>Ingreso Toma Tamboraque (Rímac)</t>
  </si>
  <si>
    <t>NATURAL ARICOTA</t>
  </si>
  <si>
    <t>NATURAL VILCANOTA</t>
  </si>
  <si>
    <t>NATURAL SAN GABÁN</t>
  </si>
  <si>
    <t>Máximas demandas mensuales (Hora Punta y Hora Fuera de Punta)</t>
  </si>
  <si>
    <t>15:45</t>
  </si>
  <si>
    <t>20:30</t>
  </si>
  <si>
    <t>21:15</t>
  </si>
  <si>
    <t>12:30</t>
  </si>
  <si>
    <t>ELECTRO SUR ESTE</t>
  </si>
  <si>
    <t>L. SAN GABÁN II - MAZUCO - LINEA L-1014</t>
  </si>
  <si>
    <t>CONENHUA</t>
  </si>
  <si>
    <t>MINERA ARUNTANI</t>
  </si>
  <si>
    <t>L. PUNO - TUCARI - LINEA L-6007</t>
  </si>
  <si>
    <t>Diesel2/Residual500</t>
  </si>
  <si>
    <t>Var (%)
2023/2022</t>
  </si>
  <si>
    <t>NORTE</t>
  </si>
  <si>
    <t>L-2240</t>
  </si>
  <si>
    <t>CARHUAQUERO - CHICLAYO OESTE</t>
  </si>
  <si>
    <t>L-2259</t>
  </si>
  <si>
    <t>CARHUAMAYO - OROYA NUEVA</t>
  </si>
  <si>
    <t>L-2110</t>
  </si>
  <si>
    <t>HUANZA-CARABAYLLO</t>
  </si>
  <si>
    <t>L-1010</t>
  </si>
  <si>
    <t>AZÁNGARO - SAN GABÁN II</t>
  </si>
  <si>
    <t>C.H. PATAPO</t>
  </si>
  <si>
    <t>C.E. PUNTA LOMITAS (1)</t>
  </si>
  <si>
    <t>M.C.H. TUPURI</t>
  </si>
  <si>
    <t>(1) Operación por pruebas de la C.E. Punta Lomitas propiedad de ENGIE.</t>
  </si>
  <si>
    <t xml:space="preserve">C.T. ILO 2  </t>
  </si>
  <si>
    <t>C.T. LAS FLORES</t>
  </si>
  <si>
    <t>2023 / 2022</t>
  </si>
  <si>
    <t>00:15</t>
  </si>
  <si>
    <t>21:00</t>
  </si>
  <si>
    <t>20:15</t>
  </si>
  <si>
    <t>ISA PERU</t>
  </si>
  <si>
    <t>L. NEPEÑA - CASMA - LINEA L-1113</t>
  </si>
  <si>
    <t xml:space="preserve">ELECTRO DUNAS </t>
  </si>
  <si>
    <t>RED DE ENERGIA DEL PERU S.A.</t>
  </si>
  <si>
    <t>L. TRUJILLO NORTE - CHIMBOTE 1 - LINEA L-2233</t>
  </si>
  <si>
    <t>L. MARCONA - NAZCA - LINEA L-6630</t>
  </si>
  <si>
    <t>L. PARAMONGA N. - 09 DE OCTUBRE - LINEA L-6655</t>
  </si>
  <si>
    <t>L. AGUAYTÍA - TINGO MARÍA - LINEA L-2251</t>
  </si>
  <si>
    <t>Gráfico N°13: Evolución semanal del volumen de las lagunas de ENEL durante los años 2020 - 2023</t>
  </si>
  <si>
    <t>Gráfico N°14: Evolución semanal del volumen del lago JUNÍN durante los años 2020 - 2023</t>
  </si>
  <si>
    <t>Gráfico N°15: Evolución semanal del volumen de los embalses de EGASA durante los años 2020 - 2023</t>
  </si>
  <si>
    <t>Gráfico N°16: Evolución del promedio semanal de caudales de los ríos SANTA, CHANCAY y PATIVILCA en los años 2020 - 2023.</t>
  </si>
  <si>
    <t>Gráfico N°19: Evolución del promedio semanal de caudales de las cuencas CHILI, ARICOTA, VILCANOTA Y SAN GABÁN en los años 2020 - 2023.</t>
  </si>
  <si>
    <t>Gráfico N°18: Evolución del promedio semanal de caudales de los ríos MANTARO, TULUMAYO y TARMA  en los años 2020 - 2023.</t>
  </si>
  <si>
    <t>Gráfico N°17: Evolución del promedio semanal de caudales de los ríos RÍMAC y SANTA EULALIA en los años 2020 - 2023.</t>
  </si>
  <si>
    <t>Variación 2023/2022 (GWh)</t>
  </si>
  <si>
    <t>Variación 2023/2022 (MW)</t>
  </si>
  <si>
    <t>1.1. Producción de energía eléctrica en febrero de 2023 en comparación al mismo mes del año anterior</t>
  </si>
  <si>
    <t>febrero</t>
  </si>
  <si>
    <t>Empresa</t>
  </si>
  <si>
    <t>Recurso Energético</t>
  </si>
  <si>
    <t>Tipo de Tecnologia</t>
  </si>
  <si>
    <t>Central</t>
  </si>
  <si>
    <t>Unidad</t>
  </si>
  <si>
    <t>Tensión  
(kV)</t>
  </si>
  <si>
    <t>Potencia Instalada (MW)</t>
  </si>
  <si>
    <t xml:space="preserve">Potencia Efectiva  (MW) </t>
  </si>
  <si>
    <t>Operación Comercial</t>
  </si>
  <si>
    <t>Vapor</t>
  </si>
  <si>
    <t>TV</t>
  </si>
  <si>
    <t>SDF</t>
  </si>
  <si>
    <t xml:space="preserve">TV </t>
  </si>
  <si>
    <t>C.T. Oquendo</t>
  </si>
  <si>
    <t>16.02.2023</t>
  </si>
  <si>
    <t>2. MODIFICACIÓN DE LA OFERTA DE GENERACIÓN ELÉCTRICA DEL SEIN EN EL 2023</t>
  </si>
  <si>
    <t>Durante el mes de febrero 2023 no se presentaron conclusiones de operación comercial en el SEIN.</t>
  </si>
  <si>
    <t>(2) Inicio de Operación comercial de la unidad TV de C.T. Oquendo, propiedad de SDF Energía, desde el 16/02/2023</t>
  </si>
  <si>
    <t>C.T. OQUENDO (2)</t>
  </si>
  <si>
    <t>02/02/2023</t>
  </si>
  <si>
    <t>17:15</t>
  </si>
  <si>
    <t>01/02/2023</t>
  </si>
  <si>
    <t>03/02/2023</t>
  </si>
  <si>
    <t>04/02/2023</t>
  </si>
  <si>
    <t>05/02/2023</t>
  </si>
  <si>
    <t>06/02/2023</t>
  </si>
  <si>
    <t>17:30</t>
  </si>
  <si>
    <t>07/02/2023</t>
  </si>
  <si>
    <t>15:15</t>
  </si>
  <si>
    <t>08/02/2023</t>
  </si>
  <si>
    <t>09/02/2023</t>
  </si>
  <si>
    <t>10/02/2023</t>
  </si>
  <si>
    <t>11/02/2023</t>
  </si>
  <si>
    <t>12/02/2023</t>
  </si>
  <si>
    <t>12:45</t>
  </si>
  <si>
    <t>13/02/2023</t>
  </si>
  <si>
    <t>14/02/2023</t>
  </si>
  <si>
    <t>15/02/2023</t>
  </si>
  <si>
    <t>16/02/2023</t>
  </si>
  <si>
    <t>17/02/2023</t>
  </si>
  <si>
    <t>18/02/2023</t>
  </si>
  <si>
    <t>19/02/2023</t>
  </si>
  <si>
    <t>20/02/2023</t>
  </si>
  <si>
    <t>21/02/2023</t>
  </si>
  <si>
    <t>17:45</t>
  </si>
  <si>
    <t>22/02/2023</t>
  </si>
  <si>
    <t>23/02/2023</t>
  </si>
  <si>
    <t>24/02/2023</t>
  </si>
  <si>
    <t>11:15</t>
  </si>
  <si>
    <t>19:15</t>
  </si>
  <si>
    <t>25/02/2023</t>
  </si>
  <si>
    <t>26/02/2023</t>
  </si>
  <si>
    <t>27/02/2023</t>
  </si>
  <si>
    <t>28/02/2023</t>
  </si>
  <si>
    <t>La producción de electricidad con centrales hidroeléctricas durante el mes de febrero 2023 fue de 2 930,43 GWh (1,50% mayor al registrado durante febrero del año 2022).</t>
  </si>
  <si>
    <t>La producción de electricidad con centrales termoeléctricas durante el mes de febrero 2023 fue de 1 435,87 GWh, 15,34% mayor al registrado durante febrero del año 2022. La participación del gas natural de Camisea fue de 30,00%, mientras que las del gas que proviene de los yacimientos de Aguaytía y Malacas fue del 1,21%, la producción con diesel, residual, carbón, biogás y bagazo tuvieron una intervención del 0,12%, 0,01%, 0,00%, 0,14%, 0,24% respectivamente.</t>
  </si>
  <si>
    <t>TRANSFORMADOR 2D</t>
  </si>
  <si>
    <t>TRANSFORMADOR 3D</t>
  </si>
  <si>
    <t>TRANSFORMADOR 4D</t>
  </si>
  <si>
    <t>SUBESTACION</t>
  </si>
  <si>
    <t>CENTRAL TERMOELÉCTRICA</t>
  </si>
  <si>
    <t>L-2232</t>
  </si>
  <si>
    <t>TRUJILLO NORTE - CHIMBOTE 1</t>
  </si>
  <si>
    <t>L-2215; L-2216</t>
  </si>
  <si>
    <t>PARAMONGA N. - CHIMBOTE 1</t>
  </si>
  <si>
    <t>L-2264</t>
  </si>
  <si>
    <t>PARAGSHA II - CONOCOCHA</t>
  </si>
  <si>
    <t>L-1122</t>
  </si>
  <si>
    <t>TINGO MARÍA - AUCAYACU</t>
  </si>
  <si>
    <t>L-6627  L-6628</t>
  </si>
  <si>
    <t>MARCONA - SAN NICOLÁS</t>
  </si>
  <si>
    <t>TR-TG2</t>
  </si>
  <si>
    <t>AGUAYTÍA</t>
  </si>
  <si>
    <t>L-1142</t>
  </si>
  <si>
    <t>PIEDRA BLANCA-TINGO MARIA</t>
  </si>
  <si>
    <t>L-2051 L-2052  L-5034  L-5036</t>
  </si>
  <si>
    <t>ENLACE CENTRO - SUR</t>
  </si>
  <si>
    <t>Var. (2023/2022)</t>
  </si>
  <si>
    <t>ELECTRONORTE S.A.</t>
  </si>
  <si>
    <t>S.E. CARHUAQUERO - TRAFO4D TPB0011</t>
  </si>
  <si>
    <t>Se produjo la desconexión de la línea L-1113 (Nepeña-Casma) de 138 kV por falla monofásica en la fase "S" a 2.5 km de la S.E. Nepeña, cuya causa se encuentra en investigación por HIDRANDINA, titular de la línea. Como consecuencia se interrumpió el suministro de la S.E. Casma con una carga de 9.46 MW. A las 10:20 h, se conectó la línea y se inició la recuperación de suministros interrumpidos.</t>
  </si>
  <si>
    <t>Se produjo la desconexión de la línea L-1113 (Nepeña - Casma) de 138 kV por falla monofásica en la fase "T" a 12.8 km de la S.E. Nepeña, cuya causa se encuentra en investigación por HIDRANDINA, titular de la línea. Como consecuencia se interrumpió el suministro de la S.E. Casma con una carga de 4.78 MW. A las 12:12 h, se conectó la línea y se inició la recuperación de suministros interrumpidos.</t>
  </si>
  <si>
    <t>Se produjo la desconexión de la línea L-2233 (Trujillo Norte - Chimbote 1) de 220 kV por falla monofásica en la fase "R" a 99.3 km de la S.E. Chimbote, debido a quema en la zona de falla, según lo informado por Red de Energía del Perú, titular de la línea. El sistema de protección realizó recierre monofásico en ambos extremos de la línea, sin embargo, al persistir la falla se produjo la desconexión trifásica de la línea. Como consecuencia, el usuario libre Cementos Pacasmayo redujo su carga en 0.85 MW. A las 17:21 h, se conectó la línea. A las 10:52 h se coordinó recuperar la carga de Cementos Pacasmayo.</t>
  </si>
  <si>
    <t>S.E. CHIMBOTE 1 - TRAFO3D AT11-211</t>
  </si>
  <si>
    <t>Se produjo la desconexión del autotransformador del AT11-211 de 220/138/138 kV y 120/120/36 MVA de la S.E. Chimbote 1 por falla en los circuitos secundarios durante el cierre de canaletas por actividad programada en el interruptor IN-4012, según lo informado por RED DE ENERGÍA DEL PERÚ, titular del equipo. Como consecuencia se interrumpió el suministro de Cambio Puente 13,8 kV con 0.32 MW. A las 17:04 h, se conectó el autotransformador.</t>
  </si>
  <si>
    <t>S.E. TRUJILLO SUR - BARRA BARRA-60KV</t>
  </si>
  <si>
    <t>Se produjo la desconexión de la barra de 60 kV de la S.E. Trujillo Sur por falla monofásica en la fase "R", por rotura del cable de retenida en la estructura E-26 de la L-6695 (Trujillo Sur – Huaca del Sol), según lo informado por HIDRANDINA, titular de la subestación. Como consecuencia se interrumpió el suministro de las SS.EE. Huaca del Sol, Virú y Chao con un total de 26 MW. A las 18:42:17 h, desconectó el transformador TP-A005 de 138/60/10 kV de la S.E. Trujillo Sur por falla en la fase "R", interrumpiendo el suministro de la barra de 10 kV con una carga de 20.99 MW de dicha subestación. A las 18:51:19 h, se conectó el transformador TP-A005 y se inició el restablecimiento del suministro interrumpido. A las 19:00 h se energizó la línea L-6695.</t>
  </si>
  <si>
    <t>Desconectó la línea L-6027 (Puno - Ilave - Pomata) de 60 kV por falla debido a descargas atmosféricas, según lo informado por ELECTRO PUNO, titular de la línea. Como consecuencia se interrumpió la carga de las SS.EE. Ilave y Pomata con 2.8 MW. A las 01:13:03 h, se conectó la línea y se procedió a recuperar la carga interrumpida.</t>
  </si>
  <si>
    <t>Se produjo la desconexión de la línea L-6655 (Paramonga Nueva - 9 de Octubre) de 66 kV por falla monofásica a tierra en la fase "T", debido a contacto de ave con la línea en la estructura E-165, según lo informado por HIDRANDINA, titular de la línea. Como consecuencia se interrumpieron los suministros de las SS.EE. Huarmey y Puerto Antamina con un total de 5.1 MW. La línea quedó indisponible para su inspección. A las 06:06 h, se energizó la línea y se procedió a recuperar la carga interrumpida.</t>
  </si>
  <si>
    <t>Se produjo la desconexión de la línea L-6007 (Puno - Tucari) de 60 kV por falla monofásica en la fase "T" cuya causa no fue informada por MINERA ARUNTANI, titular de la línea. Como consecuencia se interrumpió el suministro de la S.E. Tucari. A las 13:53:28 h se conectó la línea L-6007 y se procedió a normalizar el suministro interrumpido.</t>
  </si>
  <si>
    <t>Se produjo la desconexión de la línea L-6533 (Morococha - Carlos Francisco) de 50 kV por falla monofásica a tierra en la fase "T", debido a descargas atmosféricas, según lo informado por STATKRAFT, titular de la línea. Como consecuencia se interrumpieron los suministros de las SS.EE. Nueva Morococha y Casapalca con un total de 9.05 MW. A las 20:08:55 h se conectó la línea y se procedió a restablecer las cargas interrumpidas.</t>
  </si>
  <si>
    <t>ATN 1 S.A.</t>
  </si>
  <si>
    <t>L. TINTAYA NUEVA - CONSTANCIA - LINEA L-2024</t>
  </si>
  <si>
    <t>TRANSMISORA ELECTRICA DEL SUR S.A.C</t>
  </si>
  <si>
    <t>L. TINTAYA - TINTAYA NUEVA - LINEA L-1037</t>
  </si>
  <si>
    <t>Se produjo la desconexión de la línea L-1037 (Tintaya - Tintaya Nueva) de 138 kV por falla monofásica en la fase "R" debido a condiciones climáticas adversas, según lo informado por TESUR, titular de la línea. La línea desconectó en la S.E. Tintaya y quedó energizada en la S.E. Tintaya Nueva. Como consecuencia, se reportó la desconexión del transformador T46 en la S.E. Tintaya con 0.015 MW. A las 05:43 h, la línea L-1037 se conectó en la S.E. Tintaya. A las 07:56 h se conectó el transformador T46.</t>
  </si>
  <si>
    <t xml:space="preserve">SINERSA </t>
  </si>
  <si>
    <t>L. POECHOS - SULLANA - LINEA L-6668</t>
  </si>
  <si>
    <t>Desconectó la línea de 60 kV L-668 (Sullana - Poechos) por falla bifásica entre las fases "S" y "T" cuya causa no fue informada por SINERSA, titular de la línea. Como consecuencia se interrumpió el suministro de la S.E. Poechos con una carga de 5.9 MW. A las 08:00 h, la línea quedó indisponible por mantenimiento programado.</t>
  </si>
  <si>
    <t>L. TRUJILLO NORTE - MOTIL - LINEA L-1115</t>
  </si>
  <si>
    <t>Desconectó la línea L-1115 (Trujillo Norte-Motil) de 138 kV por falla a tierra, debido a quema de caña bajo el vano T49-T50 de la línea, según lo informado por Hidrandina, titular de la central. Como consecuencia se interrumpió el suministro de la S.E. Motil con 2.43 MW. A las 13:30:15 h se energizó la línea L-1115 y se procedió a normalizar el suministro interrumpido.</t>
  </si>
  <si>
    <t>L. CAMPO ARMIÑO - POMACOCHA - LINEA L-2201</t>
  </si>
  <si>
    <t>Desconectaron las líneas de 220 kV L-2201/L-2202 (Campo Armiño -Pomacocha) por falla monofásica en la fase "S" a 20.25 y 20.42 km desde la S.E. Pomacocha respectivamente, debido a descargas atmosféricas, según lo informado por Red de Energía del Perú, titular de las líneas. Como consecuencia, Minera Chinalco redujo su carga en 35 MW. A las 14:21:33 h y 14:26:15 h se pusieron en servicio las líneas L-2201 y L-2202, respectivamente.</t>
  </si>
  <si>
    <t>L. CHIMBOTE 1 - CHIMBOTE 2 - LINEA L-1107</t>
  </si>
  <si>
    <t>Desconectó la línea L-1107 (Chimbote 1 - Chimbote 2) de 138 kV por falla monofásica en la fase "S" a 3.3 km de la S.E Chimbote 1, cuya causa se encuentra en investigación, según lo informado por ISA PERÚ, titular de la línea. Como consecuencia, la empresa SIDER PERÚ redujo su carga en 5 MW. A las 15:41 h se recuperó la carga reducida. A las 18:56 h, se puso en servicio la línea L-1107.</t>
  </si>
  <si>
    <t>L. PIURA OESTE - TEXTIL PIURA - LINEA L-6651</t>
  </si>
  <si>
    <t>L. CAJAMARCA - SAN MARCOS - LINEA L-6047</t>
  </si>
  <si>
    <t>Desconectó la línea de 60 kV L-6668 (Sullana - Poechos) por falla monofásica en la fase "R" cuya causa se encuentran en investigación según lo informado por SINERSA, titular de la línea. Como consecuencia se interrumpió el suministro de la S.E. Poechos con un total de 9.9 MW y desconectaron las CC.HH Poechos I y II con un total de 17.7 MW. A las 18:57 h, se conectó la línea y se procedió a recuperar los suministros interrumpidos. A las 19:03 h y 19:10 h las CC.HH Poechos I y II respectivamente, sincronizaron con el SEIN.</t>
  </si>
  <si>
    <t>Desconectó la línea L-6027 (Puno - Pomata) de 60 kV por falla debido a descargas atmosféricas, según lo informado por Electropuno, titular de la línea. Como consecuencia se interrumpió el suministro de la S.E. Pomata con un total de 4 MW. A las 21:10 h se conectó la línea, con lo cual se procedió a normalizar los suministros interrumpidos.</t>
  </si>
  <si>
    <t>Desconectó la línea L-6027 (Puno- Pomata - Ilave) de 60 kV por falla debido adescargas atmosféricas en la zona, según lo informado por ELECTROPUNO propietario de la línea. Como consecuencia se interrumpió 3.05 MW en las subestaciones de Pomata e Ilave. A las 22:01:18 h entró en servicio la línea L-6027 y se procedió a recuperar la carga interrumpida.</t>
  </si>
  <si>
    <t>Desconectó la línea L-1113 (Nepeña-Casma) de 138 kV por falla monofásica en la fase "S" a 27.9 km de la S.E. Nepeña, cuya causa se encuentra en investigación por HIDRANDINA, titular de la línea. Como consecuencia se interrumpió el suministro de la S.E. Casma con una carga de 5.75 MW. A las 11:12:03 h, se conectó la línea y se inició la recuperación de suministros interrumpidos.</t>
  </si>
  <si>
    <t>Desconectó la línea L-6630/2 (Nazca - Puquio) de 60 kV por falla bifásica entre las fases "R" y "S", debido a descargas atmosféricas, según lo informado por Electro Dunas, titular de la línea. Como consecuencia se interrumpió el suministro en las SS.EE. Puquio y Coracora con 5.4 MW. A las 15:07:19 h se conectó la línea.</t>
  </si>
  <si>
    <t>L. TALTA - TAMBOMAYO - LINEA L-1048</t>
  </si>
  <si>
    <t>Desconectó la línea L-1048 (Talta - Tambomayo) de 138 kV por falla bifásica atierra entre las fases "R y T" a 24.15 km de la S.E Talta, debido a descargas atmosféricas en la zona, según lo informado por Conenhua, titular de la línea. Como consecuencia se interrumpió el suministro de la S.E. Tambomayo con una carga de 7.1 MW. A las 18:52:06 h, la línea se puso en servicio y se procedió a recuperar la carga interrumpida.</t>
  </si>
  <si>
    <t>S.E. GALLITO CIEGO - SSEE SSEE</t>
  </si>
  <si>
    <t xml:space="preserve">MINERA VOLCAN </t>
  </si>
  <si>
    <t>L. POMACOCHA - SAN ANTONIO - LINEA L-6546</t>
  </si>
  <si>
    <t>Desconectaron las líneas L-6545 (Pomacocha - San Cristóbal) y L-6546 (Pomacocha - San Antonio) de 50 kV por pérdida de comunicación de la protección diferencial de línea (87L) correspondiente a la línea L-6545, según lo informado por MINERA VOLCAN, titular de las líneas. Como consecuencia se interrumpió el suministro de las SS.EE. San Cristóbal, Andaychagua y San Antonio con un total de 31.1 MW. A las 13:03 h, se conectaron ambas líneas y se procedió a recuperar el suministro interrumpido.</t>
  </si>
  <si>
    <t>COMPAÑIA TRANSMISORA SUR ANDINO S.A.C.</t>
  </si>
  <si>
    <t>L. INGENIO - CAUDALOSA - LINEA L-6644</t>
  </si>
  <si>
    <t>Desconectó la línea L-6644 (Ingenio – Caudalosa) de 60 kV por falla monofásica en la fase "T" a 30.13 km de la S.E Ingenio, debido a intensas nevadas con vientos huracanados en la zona de falla, según lo informado por Compañía Transmisora Sur Andino, titular de la línea. Como consecuencia se interrumpió el suministro de Ingenio y Caudalosa con un total de 6.8 MW. A las 07:57 h, se conectó la línea y se procedió a normalizar el suministro interrumpido.</t>
  </si>
  <si>
    <t>L. TINGO MARÍA - VIZCARRA - LINEA L-2252</t>
  </si>
  <si>
    <t>MINERA CHINALCO PERÚ S.A.</t>
  </si>
  <si>
    <t>S.E. TOROMOCHO - TRAFO TF-04</t>
  </si>
  <si>
    <t>Desconectó el transformador TF-004 de la S.E. Toromocho, por falla en los terminales de cables de media tensión en 23 kV, según lo informado por Minera Chinalco, titular del equipo. Como consecuencia Minera Chinalco redujo su carga en 120 MW. A las 15:44 h, se coordinó recuperar toda la carga reducida. A las 15:44 h inició la recuperación de la carga reducida.</t>
  </si>
  <si>
    <t>L. TRUJILLO NORTE - PORVENIR - LINEA L-1117</t>
  </si>
  <si>
    <t>L. COLCABAMBA - CERRO DEL AGUILA - LINEA L-2141</t>
  </si>
  <si>
    <t>Desconectó la línea L-2141 (Colcabamba - Cerro del Aguila) de 220 kV por falla bifásica entre las fases "S" y "T" a 6.1 km de la C.H. Cerro del Aguila, originado por descargas eléctricas, según lo informado por Kallpa Generación, titular del tramo de línea. Como consecuencia, la Minera Cerro Verde redujo 26 MW de carga. A las 19:47 h se coordinó recuperar la carga interrumpida. A las 20:20 h se conectó la línea L-2141.</t>
  </si>
  <si>
    <t>Desconectó la línea L-6027 (Puno – Pomata) de 60 kV por falla debido a descargas atmosféricas, según lo informado por Electropuno, titular de la línea. Como consecuencia se interrumpió el suministro de Pomata e Ilave con 4.6 MW. A las 18:31:00 h, se conectó la línea</t>
  </si>
  <si>
    <t>CIA MINERA SANTA LUISA S A</t>
  </si>
  <si>
    <t>L. VIZCARRA - HUALLANCA NUEVA - LINEA L-2262</t>
  </si>
  <si>
    <t>Desconectó la línea L-2286 (Vizcarra - Antamina) de 220 kV por falla monofásica en la fase "T" a 42 km desde la S.E. Vizcarra, debido a descargas atmosféricas en la zona, según lo informado por Antamina titular de la línea. Asimismo, de manera simultánea se produjo la desconexión de la línea L-2262 (Vizcarra - Huallanca Nueva) de 220 kV, cuya causa no fue informada por Minera Santa Luisa, titular de la línea. Como consecuencia, Minera Antamina redujo 23.23 MW. Así mismo, se interrumpió la carga en la S.E. La Unión de 22.9 kV con 1.75 MW y desconectó la C.H. Marañón cuando generaba 13.11 MW. A las 17:36 h entraron en servicio las líneas L-2286 y L-2262 y se coordinó recuperar las cargas interrumpidas. A las 17:58 h la C.H Marañon sincronizó con el SEIN.</t>
  </si>
  <si>
    <t>L. CONCEPCIÓN - XAUXA - LINEA L-6072</t>
  </si>
  <si>
    <t>Desconectó la línea L-6072 (Concepción - Jauja) de 60 kV por falla cuya causa no ha sido informada por Electrocentro, titular de la línea. Como consecuencia se interrumpió 2.16 MW en la S.E. Jauja. A las 12:41:52 h entró en servicio la línea L-6072 y se procedió a recuperar la carga interrumpida.</t>
  </si>
  <si>
    <t>L. NAZCA - PUQUIO - LINEA L-630/2</t>
  </si>
  <si>
    <t>Se produjo desconexión de la línea L-630/2 (Nazca - Puquio) de 60 kV por falla monofásica en la fase "S" a 87.08 km de la S.E. Nasca, debido a descargas atmosféricas, según lo informado por Electro Dunas, titular de la línea. Como consecuencia se interrumpió el suministro en las SS.EE. Puquio y Coracora con 4.8 MW. A las 12:28:52 h se energizó la línea L-6630 y se normalizó el suministro eléctrico.</t>
  </si>
  <si>
    <t>Se produjo la desconexión de la línea L-6024 (Azangaro - Putina) de 60 kV por falla debido a descargas atmosféricas, según lo informado por Electro Puno, titular de la línea. Como consecuencia, se interrumpieron los suministros de las subestaciones Huancané y Ananea con un total de 5.1 MW. A las 14:03:11 h, se conectó la línea y se procedió a recuperar los suministros interrumpidos.</t>
  </si>
  <si>
    <t>Desconectó la línea L-1113 (Nepeña – Casma) de 138 kV por falla monofásica en la fase "S" a 26.2 km de Ñepeña, debido a bajo nivel de aislamiento en aisladores contaminados, según lo informado por HIDRANDINA, titular de la línea. Como consecuencia se interrumpió el suministro de Casma (7.1 MW). A las 06:38 h, se conectó la L-1113 y se procedió normalizar su carga interrumpida</t>
  </si>
  <si>
    <t>L. TRUJILLO NORTE - SANTIAGO DE CAO - LINEA L-1118</t>
  </si>
  <si>
    <t>Desconectó la línea L-1118 (Trujillo Norte - Santiago de Cao) de 138 kV por falla bifásica en las fases "S y T", originado por acercamiento de camión de transporte de caña al conductor de la línea, según lo informado por Hidrandina, titular de la línea. Como consecuencia se interrumpió el suministro de las S.E. Santiago de Cao con un total de 18.4 MW. A las 12:43 h se energizó la línea L-1118 y se procedió a recuperar el suministro interrumpido.</t>
  </si>
  <si>
    <t>Desconectó la línea L-6644 (Ingenio – Caudalosa) de 66 kV por falla bifásica en las fases "R y S" a 48.678 km de la S.E Ingenio, debido a descargas atmosféricas en la zona de Caudalosa Grande, según lo informado por Compañía Transmisora Sur Andino, titular de la línea. Como consecuencia se interrumpió el suministro de Caudalosa e Ingenio en total 7.88 MW. A las 15:36 h, se conectó la línea y se procedió a normalizar el suministro interrumpido.</t>
  </si>
  <si>
    <t>ATN S.A.</t>
  </si>
  <si>
    <t>L. PARAGSHA II - CONOCOCHA - LINEA L-2264</t>
  </si>
  <si>
    <t>Desconectó la línea L-2264 (Paragsha II - Conococha) de 220 kV por falla bifásica entre las fases "S" y"T", debido a fenómenos atmosféricos, según lo informado por ATN, titular de la línea. Como consecuencia, Minera Antamina redujo su carga en 19.14 MW. A las 16:05 h, se coordinó con el normalizar la carga de Minera Antamina. A las 16:09 h, se conectó la línea L-2264.</t>
  </si>
  <si>
    <t>Desconectaron las líneas L-2201 y L-2202 (Campo Armiño - Pomacocha) de 220 kV por falla bifásica entre las fases "S" y "T" a 189.8 km de la S.E. Pomacocha, debido a descargas atmosféricas, según lo informado por Red de Energía del Perú, titular de las líneas. Como consecuencia, los usuarios libres Minera Las Bambas y Minera Chinalco redujeron su carga en 63.11 MW y 30 MW respectivamente. A las 19:04 h y 19:06 h, se pusieron en servicio las líneas L-2201 y L-2202, respectivamente.</t>
  </si>
  <si>
    <t>Desconectó la línea de 60 kV L-6630/2 (Nazca - Puquio) por falla monofásica en la fase "S" a 68.5 km desde la S.E. Nasca, debido a descargas atmosféricas, según lo informado por Electro Dunas, titular de la línea. Como consecuencia se interrumpió el suministro de las SS.EE. Puquio y Cora Cora con un total de 5.1 MW. A las 14:01:17 h, se puso en servicio la línea y se procedió a recuperar la carga interrumpida.</t>
  </si>
  <si>
    <t>Desconectó la línea de 60 kV L-6630/2 (Nazca - Puquio) por falla en la fase "S" a 74.5 km de la S.E. Nasca, debido a descargas atmosféricas, según lo informado por Electro Dunas, titular de la línea. Como consecuencia, se interrumpió una carga de las subestaciones Nazca y Puquio de 3.15 MW. A las 15:08:55 h, se energizó la línea y procedió la recuperación de los suministros.</t>
  </si>
  <si>
    <t>Desconectó la línea de 60 kV L-6630/2 (Nazca - Puquio) por falla monofásica en la fase "S" a 78.5 km desde la S.E. Nasca, debido a descargas atmosféricas, según lo informado por Electro Dunas, titular de la línea. Como consecuencia se interrumpió el suministro de las SS.EE. Puquio y Cora Cora con un total de 3.69 MW. A las 16:20:48 h, se puso en servicio la línea y se procedió a recuperar la carga interrumpida.</t>
  </si>
  <si>
    <t>L. VILLACURI - HUARANGO - LINEA L-6507</t>
  </si>
  <si>
    <t>Desconectaron las líneas L-6507 (Villacurí - Huarango) y L-6508 (Huarango - Tacama) de 60 kV por falla bifásica entre las fases "S" y "T" a 0.73 km de la S.E. Huarango, debido a causa que se encuentra en investigación,según lo informado por Electro Dunas, titular de las líneas. Como consecuencia se interrumpió el suministro de la S.E. Huarango con una carga de 7.01 MW. A las 18:53:24 h, se puso en servicio la línea L-6508 y se recuperó la carga de Huarango. La línea L-6507 quedó fuera de servicio para mantenimiento correctivo. A las 22:20 h, se energizó la línea L-6507 sin novedad.</t>
  </si>
  <si>
    <t xml:space="preserve">COELVISAC </t>
  </si>
  <si>
    <t>L. INDEPENDENCIA - VILLACURÍ (COELVISAC) - LINEA L-6607</t>
  </si>
  <si>
    <t>Desconectó la línea L-6607 (Independencia – Villacurí) de 60 kV por falla bifásica entre las fases "S" y "T", cuya causa no fue informada por COELVISAC, titular de la línea. Como consecuencia, se interrumpió una carga de 1.2 MW. A las 18:52:56 h, se energizó la línea L-6607 sin novedad y se recuperó la carga interrumpida.</t>
  </si>
  <si>
    <t>L. PIURA OESTE - SULLANA - LINEA L-6698</t>
  </si>
  <si>
    <t>Desconectó la línea L-6698 (Piura Oeste - Sullana) de 60 kV por falla monofásica en la fase "T" a 35.4 km de la S.E. Sullana, debido a bajo nivel de aislamiento en la fase "T" del seccionador de la bahía L6698 en SET Piura Oestes, según lo informado por Electronoroeste, titular de la línea. Como consecuencia, se produjo reducción de carga en el usuario libre Cementos Piura de 5.62 MW. A las 00:58 h, se coordinó con Cementos Piura recuperar toda su carga. La línea quedó fuera de servicio por trabajos correctivos. A la 01:15 h se conectó la línea L-6698.</t>
  </si>
  <si>
    <t>Desconectó la línea L-6027 (Puno - Pomata - Ilave) de 60 kV por falla debido a descargas atmosféricas en la zona, según lo informado por Electropuno, propietario de la línea. Como consecuencia se interrumpió 3.0 MW en las subestaciones de Pomata e Ilave. A las 02:04:25 h entró en servicio la línea L-6027 y se procedió a recuperar la carga interrumpida.</t>
  </si>
  <si>
    <t>Desconectó la línea L-6027 (Puno - Pomata - Ilave) de 60 kV por falla debido a descargas atmosféricas en la zona, según lo informado por Electropuno, propietario de la línea. Como consecuencia se interrumpió 3 MW en las subestaciones de Pomata e Ilave. La línea quedó fuera de servicio para su inspección. A las 02:51:10 h se conectó la línea L-6027 y se procedió a recuperar el suministro interrumpido.</t>
  </si>
  <si>
    <t>Desconectó la línea L-6027 (Puno - Pomata - Ilave) de 60 kV por falla debido a descargas atmosféricas en la zona, según lo informado por Electropuno, propietario de la línea. Como consecuencia se interrumpió 2.09 MW en las subestaciones de Pomata e Ilave. A las 03:16 h se conectó la línea L-6027 y se procedió a recuperar el suministro interrumpido.</t>
  </si>
  <si>
    <t>Desconectó la línea L-6698 (Piura Oeste - Sullana) de 60 kV por falla monofásica en la fase "T" a 32.1¿km de la S.E. Sullana, debido a bajo nivel de aislamiento en la fase "T" del seccionador de línea de la bahía L6698 en SET Piura Oeste, según lo informado por Electronoroeste, titular de la línea. Como consecuencia, se produjo reducción de carga en el usuario libre Cementos Piura de 4.45 MW. A las 03:26 h, se coordinó con Cementos Piura recuperar toda su carga. A las 05:44 h se conectó la línea L-6698.</t>
  </si>
  <si>
    <t>Desconectó la línea L-6027 (Puno - Pomata - Ilave) de 60 kV por falla debido a descargas atmosféricas en la zona, según lo informado por Electropuno, propietario de la línea. Como consecuencia se interrumpió 2.08 MW en las subestaciones de Pomata e Ilave. La línea quedó fuera de servicio para su inspección. A las 03:28:10 h se conectó la línea L-6027 y se procedió a recuperar el suministro interrumpido.</t>
  </si>
  <si>
    <t>Desconectó la línea L-6698 (Piura Oeste - Sullana) de 60 kV por falla monofásica en la fase "T" a 32.3 km de la S.E. Sullana, debido a bajo nivel de aislamiento en la fase "T" de la bahía de línea L-6698 en la S.E Piura Oeste, según lo informado por Electronoroeste, titular de la línea. Como consecuencia, se produjo reducción de carga en el usuario libre Cementos Piura de 0.4 MW. A las 06:22 h, se coordinó con Cementos Piura recuperar toda su carga. A las 08:22 h se conectó la línea L-6698.</t>
  </si>
  <si>
    <t>Desconectó la línea L-6007 (Puno - Tucari) de 60 kV por falla a 20 km de la S.E. Puno debido a fuerte nevada en la zona, según lo informado por Minera Aruntani, titular de la línea. Como consecuencia se interrumpió 0.162 MW en la subestación Tucari. A las 07:09 h se conectó la línea L-6007 y se procedió a recuperar la carga interrumpida.</t>
  </si>
  <si>
    <t>L. EL ARENAL - LA HUACA - LINEA L-6662-B</t>
  </si>
  <si>
    <t xml:space="preserve">Desconectó la línea L-6662B (La Huaca – El Arenal) de 60 kV en la S.E. La Huaca, por falla debido a intensas lluvias en Sullana y Piura. Debido a que la línea L-6698 (Piura Oeste – Sullana) de 60 kV estaba fuera por falla desde las 06:11 h, se produjo la interrupción total de los suministros en las SS.EE. Sullana y Poechos con untotal 35.5 MW y la desconexión de las CCHH Poechos I y II con 4.74 MW y 6.32 MW respectivamente. </t>
  </si>
  <si>
    <t>L. ARES - HUANCARAMA - LINEA L-6017</t>
  </si>
  <si>
    <t>Desconectó la línea de 60 kV L-6017 (Ares - Huancarama) por falla bifásica entre las fases "S" y "T" a 12.43 km de la S.E. Ares, debido a descargas atmosféricas, según lo informado por Conenhua, titular de la línea. Como consecuencia se interrumpió el suministro de las SS.EE. Huancarama , Chipmo y Cotahuasi con una carga de 7.30 MW. A las 14:09:40 h, se puso en servicio la línea y se procedió a recuperar la carga interrumpida.</t>
  </si>
  <si>
    <t>Desconectó la línea L-6021 (Azángaro – Antauta) de 60 kV por falla monofásica en la fase "T" debido a descarga atmosférica en la zona, según lo informado por Electropuno,titular de la línea. Como consecuencia se interrumpió el suministro de Antauta con 1.2 MW. A las 17:29 h, se conectó la línea y se procedió a normalizar el suministro interrumpido.</t>
  </si>
  <si>
    <t>Desconectó la línea de 60 kV L-6017 (Ares - Huancarama) por falla trifásica a 5.73 km de la S.E. Ares, ocasionada por descargas atmosféricas, según lo informado por Conenhua, titular de la línea. Como consecuencia se interrumpió el suministro de las SS.EE. Huancarama y Chipmo con un total de 7.65 MW. A las 14:22:13 h se puso en servicio la línea y se inició la recuperación de los suministros interrumpidos.</t>
  </si>
  <si>
    <t>L. HUALLANCA - LA PAMPA - LINEA L-6682</t>
  </si>
  <si>
    <t>Desconectó la línea de 60 kV L-6682 (Huallanca - La Pampa) con 16.8 MW por falla bifásica entre las fases S y T, a 5.7 km de la S.E Huallanca, debido a descargas atmosféricas, según lo informado por Hidrandina, titular de la línea. Como consecuencia, salió de servicio la SE. La Pampa y Pallasca con una carga de 0,15 MW y 0,37 MW respectivamente y salió de servicio la C.H. Manta con 19.86 MW. A las 14:30 h, HID energizó la línea y recuperó los suministros interrumpidos. A las 15:24 h y 15:26 h, sincronizaron los generadores G1 y G2 de la C.H. Manta.</t>
  </si>
  <si>
    <t>Desconectó la línea L-1014 (San Gabán – Mazuko) de 138 kV por falla trifásica a 64.55 km de la S.E. San Gaban, debido a descargas atmosféricas, según lo informador por ELSE, titular de la línea. Como consecuencia desconectó las CC.HH. Angel I, II y III con 61.2 MW y se interrumpieron las subestaciones Mazuko y Puerto Maldonado con una carga total de 11.98 MW. A las 03:21 h y 03:23 h, se energizó la línea L-1014 y la L-1015 (Mazuko – Puerto Maldonado) de 138 kV y se inició las maniobras para normalizar el suministro interrumpido.</t>
  </si>
  <si>
    <t>KALLPA GENERACION S.A.</t>
  </si>
  <si>
    <t>C.T. KALLPA - CT CENTRAL</t>
  </si>
  <si>
    <t>Se produjo la desconexión de la C.T. Kallpa con 549.074 MW por falla cuya causa no ha sido informada por KALLPA GENERACIÓN, titular de la central. La C.T. Kallpa se encontraba operando en ciclo combinado en modo 2x1 (TG2+TG3+TV). Como consecuencia la frecuencia disminuyó de 59.991 a 59.197 Hz y se activó el ERACMF en el SEIN. A las 14:53 h, se coordinó recuperar los suministros interrumpidos de usuarios regulados. A las 15:07 h, se coordinó recuperar carga de los usuarios libres.  A las 18:47 h, el CC-KLP declaró disponible a los generadores TG2, TG3 y la TV de la C.T. Kallpa. A las 19:00 h, se coordinó el arranque al ciclo combinado de la C.T. Kallpa en modo 2x1 (TG2+TG3+TV). A las 20:11 h, sincronizó el generador TG2 de la C.T. Kallpa. A las 23:09 h, sincronizó el generador TV de la C.T. Kallpa y quedó en etapa de estabilización para acoplar con el generador TG3.</t>
  </si>
  <si>
    <t>L. COBRIZA I - PAMPAS - LINEA L-6066</t>
  </si>
  <si>
    <t>Desconectó la línea L-6066 (Cobriza 1 - Pampas) de 69 kV por falla monofásica a tierra en la fase "R", debido a descargas atmosféricas, según lo informado por Electrocentro, titular de la línea. Como consecuencia se interrumpió la carga de la S.E. Pampas con 1.6 MW. A las 18:46 h se conectó la línea L-6066 y se procedió a restablecer la carga interrumpida.</t>
  </si>
  <si>
    <t>S.E. CHIMBOTE NORTE - TRAFO3D TP-A058</t>
  </si>
  <si>
    <t>Se produjo la desconexión del transformador TP-A058 de la S.E. Chimbote Norte por actuación de su protección dieferencial (87T), cuya causa se encuentra en investigación, según lo informado por HIDRANDINA, titular del equipo. Como consecuencia se interrumpió el suministro de la S.E. Chimbote Norte con un total de 14 MW. A las 09:06:05 h, se conectó el transformador y se inició el restablecimiento del suministro interrumpido.</t>
  </si>
  <si>
    <t xml:space="preserve">Se produjo la desconexión del transformador TPB0011 de 220/138/22.9 kV y 100 MVA de la S.E. Carhuaquero en 220 kV, por actuación de su protección de sobretensión, según lo informado por ELECTRO NORTE, titular del equipo. Como consecuencia se interrumpieron los suministros de las SS.EE.Carhuaquero, Cutervo y Nueva Jaén con un total de 27.5 MW aproximadamente. Así mismo, desconectaron la C.H. Las Pizarras con 18.78 MW y las CC.EE. Duna yHuambos con un total de 0.02 MW. A las 09:04 h, se energizó el transformador TPB0011 de la S.E. Carhuaquero y se procedió a recuperar la carga de la S.E. Carhuaquero. A las 09:06 h, se conectó la línea L-1130 (Carhuaquero – Espina Colorada) de 138 kV energizando la S.E. Espina Colorada y se coordinó el arranque de la C.H. Las Pizarras. </t>
  </si>
  <si>
    <t>Se produjo la desconexión del transformador TPB0011 de 220/138/22.9 kV y 100 MVA de la S.E. Carhuaquero en el lado 220 kV, por actuación de su protección de sobretensión, según lo informado por ELECTRO NORTE, titular del equipo. Como consecuencia se interrumpieron los suministros de las SS.EE. Carhuaquero, Cutervo y Nueva Jaén con un total de 25 MW aproximadamente. Así mismo, desconectaron la C.H. Las Pizarras con 19 MW y las CC.EE. Duna yHuambos con un total de 2 MW.</t>
  </si>
  <si>
    <t xml:space="preserve">Se produjo la desconexión de la línea L-2251 (Aguaytía - Tingo María) de 220 kV en la S.E Aguaytía por falla monofásica en la fase "T" a 17 km de la S.E. Aguaytía, debido a descargas atmosféricas en la zona, según lo informado por ISA PERÚ, titular de la línea. En el extremo Tingo María el sistema de protección realizó el recierre monofásico, quedando energizada la línea desde este extremo; sin embargo, en la S.EAguaytía se produjo desconexión trifásica. Como consecuencia se interrumpieron los suministros de las SS.EE. Aguaytía y Pucallpa con un total de 26.84 MW. </t>
  </si>
  <si>
    <t>Se produjo la desconexión de la línea L-2024 (Tintaya Nueva - Constancia) de 220 kV por falla bifásica entre las fases "S" y "T" debido a fuertes nevadas en la zona según lo informado por ATN 1, titular del equipo. Como consecuencia se interrumpió el suministro de 86 MW en la S.E. Constancia y el usuario Minera Antapaccay redujo 55.1 MW de su carga. A las 01:49 h, la línea L-2024 se declaró disponible; sin embargo, la maniobra de conexión tuvo resultado negativo. A las 03:05 h, se declaró disponible la línea y la maniobra de su conexión nuevamente con resultado negativo, como consecuencia la minera Antapaccay redujo 50 MW de su carga.</t>
  </si>
  <si>
    <t xml:space="preserve">Desconectaron las líneas L-6650 (Piura oeste - Piura Centro) de 60 kV con35 MW y la línea L-6651 (Piura Oeste - Textil Piura) de 60 kV con 38 MW, por falla monofásica en la fase "T" a 1 km de la S.E Piura Oeste, debido al impacto de calaminas con la red de media tensión del alimentador A1931 de la S.E Coscomba, lo cual generó acercamiento de estas redes con las líneas L-6650 y L-6651, según lo informado por ELECTRONOROESTE, titular de las líneas. Como consecuencia se interrumpió un total de 87.78 MW en las SS.EE. Piura Centro, Castilla y Coscomba, asimismo, Petroperu redujo 19 MW, Cemestos Piura redujo 7.7 MW y la planta de gas Pariñas redujo 2.2 MW. </t>
  </si>
  <si>
    <t xml:space="preserve">Se produjo la desconexión de la línea L-6047/L-6048 (Cajamarca - San Marcos - Aguas Calientes) de 60 kV en la S.E. Cajamarca, por falla monofásica en la fase "T" a 42.5 km de la S.E. Cajamarca, debido a causa que se encuentra en investigación por HIDRANDINA, titular de la línea. Como consecuencia se interrumpió el suministro de la S.E. San Marcos 0.55MW, asimismo la C.H. Potrero operó en sistema aislado con las cargas de la SS.EE. Cajabamba y La Morena. A las 16:10:34 h se energizó la línea L-6047 en la S.E. Cajamarca y se inicia con la normalización del suministro en la S.E. San Marcos. A las 16:21:58 h, el sistema aislado colapsó interrumpiéndose 19.55 MW en las SS.EE. Cajabamba y Huamachuco. </t>
  </si>
  <si>
    <t>Desconectaron las líneas L-6042/L-6043/L-6044 (Tembladera - Chilete – Cajamarca) y L-6646/L-6656 en la S.E. Gallito Ciego, por probable pérdida de aislamiento en el seccionador de barra de la línea L-6646 (Gallito Ciego - Guadalupe) en la S.E Gallito Ciego 60 kV, según lo informado por STATKRAFT, titular de la S.E Gallito Ciego. Asimismo, se produjo la desconexión de los transformadores TR1 y TR2 de la C.H. Gallito Ciego cuando la central generaba un total de 17.89 MW. Como consecuencia, la S.E. Gallito Ciego de 60 kV quedó desenergizada y se interrumpió el suministro en las SS.EE. Tembladera, Chilete, Cajamarca y Celendín con un total de 20.03 MW. A las 07:48:49 h, se cierra el interruptor de acople en la S.E. Cajamarca para normalizar el suministro interrumpido. A las 07:49:14 se energiza la línea L-6049. A las 08:09:00 h se energiza la línea L-6044 (Cajamarca – Chilete – Gallito Ciego) y se inicia con la normalización del suministro interrumpido en la S.E. Chilete.</t>
  </si>
  <si>
    <t>Desconectó la línea L-2252 (Vizcarra – Tingo María) de 220 kV por falla bifásica entre las fases "R" y "T" a 97.2 km desde la S.E. Tingo María, debido a fuertes lluvias en la zona, según lo informado por ISA PERÚ, titular de la línea. Como consecuencia el usuario Libre Minera Antamina disminuyó su carga en total 11.2 MW. A las 12:36 h, se energizó la línea desde la SE Vizcarra con resultado negativo y se produjo la desconexión de la línea L-2278 (Paramonga Nueva – Conococha) de 220 kV en la S.E. Paramonga, asimismo, Minera Antamina disminuyó su carga en 8.6 MW al desconectar su molino SAG. A las 12:40 h, se conectó la L-2278.</t>
  </si>
  <si>
    <t>Desconectó la línea L-1117 (Trujillo Norte - Porvenir) de 138 kV por falla monofásica en la fase "T" a 11.6 km de la S.E. Trujillo Norte, debido a avería en el transformador de tensión de barra (fase "T") en la S.E. Porvenir 138 kV, según lo informado por Hidrandina, titular de línea. Como consecuencia, se interrumpió la carga de las subestaciones de Porvenir y Trujillo Sur con 22.5 MW. Así mismo, Cemento Pacasmayo redujo 8.2 MW y Cementos Piura 13 MW. A las 17:17 h se coordinó con Cemento Pacasmayo normalizar su carga. A las 17:22 h se coordinó con Cementos Piura normalizar su carga.</t>
  </si>
  <si>
    <t>Desconectó la línea L-1014 (San Gabán - Mazuco) de 138 kV por falla monofásica en fase "S" a 15 km desde la S.E. San Gabán II, debido a contacto de árbol con la línea, según lo informado por ELECTRO SUR ESTE, titular de la línea. Como consecuencia se interrumpió el suministro de las SS.EE. Mazuco y Puerto Maldonado con un total de 18.92 MW aproximadamente; así mismo desconectó la C.H. El Ángel III con 20 MW, por actuación de su esquema especial de protección. A las 12:48 h, se declaró disponible la línea L-1014. A las 12:49:55 h, se realizó un intento fallido de energización de la línea L-1014, ya que a las 12:50:13 h, desconectó nuevamente por falla monofásica en la fase "T" y quedó indisponible. A las 12:50 h, se coordinó arranque de la CTRF Puerto Maldonado para su operación en sistema aislado.</t>
  </si>
  <si>
    <t>VOLUMEN ÚTIL
28-02-2023</t>
  </si>
  <si>
    <t>VOLUMEN ÚTIL
28-02-2022</t>
  </si>
  <si>
    <t>Nota: La generación de energia de la TV de C.T. Oquendo producto del vapor de agua sumistrado por Sudamericana de Fibras S.A. es considerada en el recurso de Gas Natural de Camisea</t>
  </si>
  <si>
    <t>El total de la producción de energía eléctrica de la empresas generadoras integrantes del COES en el mes de febrero 2023 fue de 4 526,44  GWh, lo que representa un incremento de 205,20 GWh (4,75%) en comparación con el año 2022.</t>
  </si>
  <si>
    <t>La producción de energía eléctrica con centrales eólicas fue de 105,83 GWh y con centrales solares fue de 54,31 GWh, los cuales tuvieron una participación de 2,34% y 1,2%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</si>
</sst>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6">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sz val="8"/>
      <color theme="0" tint="-0.34998626667073579"/>
      <name val="Helvetica"/>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8"/>
      <color theme="0" tint="-0.34998626667073579"/>
      <name val="Arial"/>
      <family val="2"/>
    </font>
    <font>
      <sz val="8"/>
      <color theme="0" tint="-0.34998626667073579"/>
      <name val="Arial Narrow"/>
      <family val="2"/>
    </font>
    <font>
      <b/>
      <sz val="11"/>
      <color theme="0" tint="-0.34998626667073579"/>
      <name val="Arial"/>
      <family val="2"/>
    </font>
    <font>
      <sz val="6"/>
      <color theme="0" tint="-0.34998626667073579"/>
      <name val="Arial"/>
      <family val="2"/>
    </font>
    <font>
      <sz val="8"/>
      <color rgb="FF002060"/>
      <name val="Arial"/>
      <family val="2"/>
    </font>
    <font>
      <sz val="9"/>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0.499984740745262"/>
      </left>
      <right style="thin">
        <color theme="0" tint="-0.499984740745262"/>
      </right>
      <top style="thin">
        <color theme="0" tint="-0.499984740745262"/>
      </top>
      <bottom/>
      <diagonal/>
    </border>
    <border>
      <left style="thin">
        <color theme="3" tint="0.39994506668294322"/>
      </left>
      <right style="thin">
        <color theme="3" tint="0.39991454817346722"/>
      </right>
      <top style="thin">
        <color theme="3" tint="0.39991454817346722"/>
      </top>
      <bottom/>
      <diagonal/>
    </border>
    <border>
      <left style="thin">
        <color theme="3" tint="0.39991454817346722"/>
      </left>
      <right style="hair">
        <color theme="3" tint="0.39985351115451523"/>
      </right>
      <top style="thin">
        <color theme="3" tint="0.39991454817346722"/>
      </top>
      <bottom/>
      <diagonal/>
    </border>
    <border>
      <left style="thin">
        <color theme="3" tint="0.39994506668294322"/>
      </left>
      <right style="thin">
        <color theme="3" tint="0.39991454817346722"/>
      </right>
      <top/>
      <bottom/>
      <diagonal/>
    </border>
    <border>
      <left style="thin">
        <color theme="3" tint="0.39991454817346722"/>
      </left>
      <right style="hair">
        <color theme="3" tint="0.39985351115451523"/>
      </right>
      <top/>
      <bottom/>
      <diagonal/>
    </border>
    <border>
      <left style="thin">
        <color theme="3" tint="0.39994506668294322"/>
      </left>
      <right style="thin">
        <color theme="3" tint="0.39991454817346722"/>
      </right>
      <top/>
      <bottom style="thin">
        <color theme="3" tint="0.39994506668294322"/>
      </bottom>
      <diagonal/>
    </border>
    <border>
      <left style="thin">
        <color theme="3" tint="0.39991454817346722"/>
      </left>
      <right style="hair">
        <color theme="3" tint="0.39985351115451523"/>
      </right>
      <top/>
      <bottom style="thin">
        <color theme="3" tint="0.39994506668294322"/>
      </bottom>
      <diagonal/>
    </border>
    <border>
      <left style="hair">
        <color theme="4"/>
      </left>
      <right style="hair">
        <color theme="4"/>
      </right>
      <top style="hair">
        <color theme="4"/>
      </top>
      <bottom/>
      <diagonal/>
    </border>
    <border>
      <left style="hair">
        <color theme="4"/>
      </left>
      <right style="hair">
        <color theme="4"/>
      </right>
      <top/>
      <bottom/>
      <diagonal/>
    </border>
    <border>
      <left style="hair">
        <color theme="4"/>
      </left>
      <right style="hair">
        <color theme="4"/>
      </right>
      <top/>
      <bottom style="hair">
        <color theme="4"/>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959">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1"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1"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0"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0"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0"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0"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1"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1" applyFont="1" applyAlignment="1">
      <alignment horizontal="right" vertical="center"/>
    </xf>
    <xf numFmtId="167" fontId="5" fillId="0" borderId="0" xfId="1" applyNumberFormat="1" applyFont="1" applyAlignment="1">
      <alignment horizontal="right" vertical="center"/>
    </xf>
    <xf numFmtId="170"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1" quotePrefix="1" applyNumberFormat="1" applyFont="1" applyAlignment="1">
      <alignment horizontal="left" vertical="center"/>
    </xf>
    <xf numFmtId="167" fontId="13" fillId="0" borderId="0" xfId="1"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1" applyNumberFormat="1" applyFont="1" applyFill="1" applyBorder="1" applyAlignment="1">
      <alignment horizontal="right" vertical="center"/>
    </xf>
    <xf numFmtId="167" fontId="13" fillId="0" borderId="13" xfId="1" applyNumberFormat="1" applyFont="1" applyBorder="1" applyAlignment="1">
      <alignment horizontal="right" vertical="center"/>
    </xf>
    <xf numFmtId="167" fontId="21" fillId="4" borderId="16" xfId="1" applyNumberFormat="1" applyFont="1" applyFill="1" applyBorder="1" applyAlignment="1">
      <alignment horizontal="right" vertical="center"/>
    </xf>
    <xf numFmtId="167" fontId="13" fillId="4" borderId="10" xfId="1" applyNumberFormat="1" applyFont="1" applyFill="1" applyBorder="1" applyAlignment="1">
      <alignment horizontal="right" vertical="center"/>
    </xf>
    <xf numFmtId="167" fontId="21" fillId="4" borderId="15" xfId="1"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1"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1"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0"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0"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0"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0"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0"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1" applyNumberFormat="1" applyFont="1" applyBorder="1" applyAlignment="1">
      <alignment horizontal="right" vertical="center"/>
    </xf>
    <xf numFmtId="10" fontId="21" fillId="4" borderId="13" xfId="1" applyNumberFormat="1" applyFont="1" applyFill="1" applyBorder="1" applyAlignment="1">
      <alignment horizontal="right" vertical="center"/>
    </xf>
    <xf numFmtId="10" fontId="21" fillId="0" borderId="13" xfId="1" applyNumberFormat="1" applyFont="1" applyBorder="1" applyAlignment="1">
      <alignment horizontal="right" vertical="center"/>
    </xf>
    <xf numFmtId="10" fontId="21" fillId="0" borderId="37" xfId="1" applyNumberFormat="1" applyFont="1" applyBorder="1" applyAlignment="1">
      <alignment horizontal="right" vertical="center"/>
    </xf>
    <xf numFmtId="10" fontId="21" fillId="0" borderId="10"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6" xfId="1"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0" applyFont="1" applyFill="1" applyAlignment="1">
      <alignment horizontal="right" vertical="center"/>
    </xf>
    <xf numFmtId="43" fontId="13" fillId="0" borderId="0" xfId="10" applyFont="1" applyAlignment="1">
      <alignment horizontal="right" vertical="center"/>
    </xf>
    <xf numFmtId="10" fontId="21" fillId="0" borderId="0" xfId="1"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1" applyNumberFormat="1" applyFont="1" applyBorder="1" applyAlignment="1">
      <alignment horizontal="right"/>
    </xf>
    <xf numFmtId="10" fontId="21" fillId="4" borderId="31" xfId="1" applyNumberFormat="1" applyFont="1" applyFill="1" applyBorder="1" applyAlignment="1">
      <alignment horizontal="right" vertical="center"/>
    </xf>
    <xf numFmtId="10" fontId="21" fillId="0" borderId="31" xfId="1" applyNumberFormat="1" applyFont="1" applyBorder="1" applyAlignment="1">
      <alignment horizontal="right"/>
    </xf>
    <xf numFmtId="10" fontId="21" fillId="0" borderId="34" xfId="1" applyNumberFormat="1" applyFont="1" applyBorder="1" applyAlignment="1">
      <alignment horizontal="right"/>
    </xf>
    <xf numFmtId="10" fontId="21" fillId="0" borderId="28" xfId="1" applyNumberFormat="1" applyFont="1" applyBorder="1" applyAlignment="1">
      <alignment horizontal="right"/>
    </xf>
    <xf numFmtId="10" fontId="21" fillId="0" borderId="33" xfId="1" applyNumberFormat="1" applyFont="1" applyBorder="1" applyAlignment="1">
      <alignment horizontal="right"/>
    </xf>
    <xf numFmtId="0" fontId="21" fillId="0" borderId="23" xfId="0" quotePrefix="1" applyFont="1" applyBorder="1" applyAlignment="1">
      <alignment horizontal="left" vertical="center"/>
    </xf>
    <xf numFmtId="10" fontId="21" fillId="0" borderId="40" xfId="1" applyNumberFormat="1" applyFont="1" applyBorder="1" applyAlignment="1">
      <alignment horizontal="right" vertical="center"/>
    </xf>
    <xf numFmtId="10" fontId="21" fillId="0" borderId="39" xfId="1"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1" applyNumberFormat="1" applyFont="1" applyBorder="1" applyAlignment="1">
      <alignment horizontal="right" vertical="center"/>
    </xf>
    <xf numFmtId="167" fontId="21" fillId="0" borderId="40"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0" applyFont="1" applyBorder="1" applyAlignment="1">
      <alignment horizontal="right"/>
    </xf>
    <xf numFmtId="43" fontId="13" fillId="0" borderId="28" xfId="10" applyFont="1" applyBorder="1" applyAlignment="1">
      <alignment horizontal="right"/>
    </xf>
    <xf numFmtId="43" fontId="13" fillId="0" borderId="29" xfId="10" applyFont="1" applyBorder="1" applyAlignment="1">
      <alignment horizontal="right"/>
    </xf>
    <xf numFmtId="43" fontId="13" fillId="4" borderId="30" xfId="10" applyFont="1" applyFill="1" applyBorder="1" applyAlignment="1">
      <alignment horizontal="right" vertical="center"/>
    </xf>
    <xf numFmtId="43" fontId="13" fillId="4" borderId="31" xfId="10" applyFont="1" applyFill="1" applyBorder="1" applyAlignment="1">
      <alignment horizontal="right" vertical="center"/>
    </xf>
    <xf numFmtId="43" fontId="13" fillId="0" borderId="30" xfId="10" applyFont="1" applyBorder="1" applyAlignment="1">
      <alignment horizontal="right" vertical="center"/>
    </xf>
    <xf numFmtId="43" fontId="13" fillId="0" borderId="31" xfId="10" applyFont="1" applyBorder="1" applyAlignment="1">
      <alignment horizontal="right" vertical="center"/>
    </xf>
    <xf numFmtId="43" fontId="21" fillId="4" borderId="38" xfId="10" applyFont="1" applyFill="1" applyBorder="1" applyAlignment="1">
      <alignment horizontal="right" vertical="center"/>
    </xf>
    <xf numFmtId="43" fontId="21" fillId="4" borderId="39" xfId="10" applyFont="1" applyFill="1" applyBorder="1" applyAlignment="1">
      <alignment horizontal="right" vertical="center"/>
    </xf>
    <xf numFmtId="43" fontId="13" fillId="0" borderId="0" xfId="10" applyFont="1" applyAlignment="1">
      <alignment horizontal="right"/>
    </xf>
    <xf numFmtId="0" fontId="4" fillId="2" borderId="0" xfId="0" quotePrefix="1" applyFont="1" applyFill="1" applyAlignment="1">
      <alignment horizontal="left" vertical="top"/>
    </xf>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2" fillId="0" borderId="0" xfId="0" applyFont="1" applyAlignment="1">
      <alignment vertical="center"/>
    </xf>
    <xf numFmtId="0" fontId="42" fillId="0" borderId="0" xfId="0" applyFont="1"/>
    <xf numFmtId="0" fontId="43" fillId="0" borderId="0" xfId="0" applyFont="1" applyAlignment="1">
      <alignment vertical="center"/>
    </xf>
    <xf numFmtId="0" fontId="30" fillId="0" borderId="0" xfId="0" applyFont="1"/>
    <xf numFmtId="43" fontId="13" fillId="0" borderId="10" xfId="10"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0" applyFont="1" applyBorder="1" applyAlignment="1">
      <alignment horizontal="right" vertical="center"/>
    </xf>
    <xf numFmtId="43" fontId="13" fillId="0" borderId="11" xfId="10" applyFont="1" applyBorder="1" applyAlignment="1">
      <alignment horizontal="right" vertical="center"/>
    </xf>
    <xf numFmtId="43" fontId="13" fillId="4" borderId="12" xfId="10" applyFont="1" applyFill="1" applyBorder="1" applyAlignment="1">
      <alignment horizontal="right" vertical="center"/>
    </xf>
    <xf numFmtId="43" fontId="13" fillId="4" borderId="13" xfId="10" applyFont="1" applyFill="1" applyBorder="1" applyAlignment="1">
      <alignment horizontal="right" vertical="center"/>
    </xf>
    <xf numFmtId="43" fontId="13" fillId="0" borderId="12" xfId="10" applyFont="1" applyBorder="1" applyAlignment="1">
      <alignment horizontal="right" vertical="center"/>
    </xf>
    <xf numFmtId="43" fontId="13" fillId="0" borderId="13" xfId="10"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0" applyFont="1" applyBorder="1" applyAlignment="1">
      <alignment horizontal="right" vertical="center"/>
    </xf>
    <xf numFmtId="43" fontId="0" fillId="4" borderId="12" xfId="10" applyFont="1" applyFill="1" applyBorder="1" applyAlignment="1">
      <alignment horizontal="right" vertical="center"/>
    </xf>
    <xf numFmtId="43" fontId="0" fillId="0" borderId="12" xfId="10"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1" applyNumberFormat="1" applyFont="1" applyBorder="1" applyAlignment="1">
      <alignment horizontal="right" vertical="center"/>
    </xf>
    <xf numFmtId="10" fontId="21" fillId="4" borderId="40" xfId="1"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43" fontId="21" fillId="2" borderId="0" xfId="10" applyFont="1" applyFill="1" applyAlignment="1">
      <alignment horizontal="right"/>
    </xf>
    <xf numFmtId="43" fontId="21" fillId="0" borderId="38" xfId="10" applyFont="1" applyBorder="1" applyAlignment="1">
      <alignment horizontal="right" vertical="center"/>
    </xf>
    <xf numFmtId="43" fontId="21" fillId="0" borderId="39" xfId="10" applyFont="1" applyBorder="1" applyAlignment="1">
      <alignment horizontal="right" vertical="center"/>
    </xf>
    <xf numFmtId="43" fontId="13" fillId="0" borderId="30" xfId="10" applyFont="1" applyBorder="1" applyAlignment="1">
      <alignment horizontal="right"/>
    </xf>
    <xf numFmtId="43" fontId="13" fillId="0" borderId="31" xfId="10" applyFont="1" applyBorder="1" applyAlignment="1">
      <alignment horizontal="right"/>
    </xf>
    <xf numFmtId="43" fontId="13" fillId="0" borderId="32" xfId="10" applyFont="1" applyBorder="1" applyAlignment="1">
      <alignment horizontal="right"/>
    </xf>
    <xf numFmtId="43" fontId="13" fillId="0" borderId="33" xfId="10" applyFont="1" applyBorder="1" applyAlignment="1">
      <alignment horizontal="right"/>
    </xf>
    <xf numFmtId="43" fontId="13" fillId="0" borderId="34" xfId="10" applyFont="1" applyBorder="1" applyAlignment="1">
      <alignment horizontal="right"/>
    </xf>
    <xf numFmtId="0" fontId="30" fillId="0" borderId="86" xfId="0" applyFont="1" applyBorder="1"/>
    <xf numFmtId="43" fontId="30" fillId="0" borderId="86" xfId="10" applyFont="1" applyBorder="1"/>
    <xf numFmtId="0" fontId="45" fillId="0" borderId="0" xfId="0" applyFont="1" applyAlignment="1">
      <alignment vertical="center"/>
    </xf>
    <xf numFmtId="0" fontId="45" fillId="0" borderId="0" xfId="0" applyFont="1" applyAlignment="1">
      <alignment horizontal="center"/>
    </xf>
    <xf numFmtId="0" fontId="45" fillId="0" borderId="0" xfId="0" applyFont="1" applyAlignment="1">
      <alignment vertical="center" wrapText="1"/>
    </xf>
    <xf numFmtId="0" fontId="45" fillId="0" borderId="0" xfId="0" applyFont="1" applyAlignment="1">
      <alignment horizontal="left" vertical="center" wrapText="1"/>
    </xf>
    <xf numFmtId="49" fontId="46" fillId="0" borderId="0" xfId="0" applyNumberFormat="1" applyFont="1" applyAlignment="1">
      <alignment horizontal="right"/>
    </xf>
    <xf numFmtId="1" fontId="46" fillId="0" borderId="0" xfId="0" applyNumberFormat="1" applyFont="1" applyAlignment="1">
      <alignment horizontal="right"/>
    </xf>
    <xf numFmtId="49" fontId="46" fillId="0" borderId="0" xfId="0" applyNumberFormat="1" applyFont="1" applyAlignment="1">
      <alignment horizontal="center"/>
    </xf>
    <xf numFmtId="1" fontId="46" fillId="0" borderId="0" xfId="0" applyNumberFormat="1" applyFont="1" applyAlignment="1">
      <alignment horizontal="center"/>
    </xf>
    <xf numFmtId="165" fontId="46" fillId="0" borderId="0" xfId="0" applyNumberFormat="1" applyFont="1" applyAlignment="1">
      <alignment horizontal="center"/>
    </xf>
    <xf numFmtId="0" fontId="30" fillId="0" borderId="0" xfId="0" applyFont="1" applyAlignment="1">
      <alignment horizontal="center"/>
    </xf>
    <xf numFmtId="0" fontId="46" fillId="0" borderId="0" xfId="0" applyFont="1" applyAlignment="1">
      <alignment vertical="center"/>
    </xf>
    <xf numFmtId="0" fontId="46"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6"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6"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6"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6" fillId="2" borderId="34" xfId="0" applyNumberFormat="1" applyFont="1" applyFill="1" applyBorder="1" applyAlignment="1">
      <alignment horizontal="center" vertical="center"/>
    </xf>
    <xf numFmtId="170" fontId="47" fillId="5" borderId="23" xfId="0" applyNumberFormat="1" applyFont="1" applyFill="1" applyBorder="1" applyAlignment="1">
      <alignment horizontal="center"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0"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0"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0"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48" fillId="8" borderId="57" xfId="0" applyNumberFormat="1" applyFont="1" applyFill="1" applyBorder="1" applyAlignment="1">
      <alignment vertical="center"/>
    </xf>
    <xf numFmtId="17" fontId="35" fillId="10" borderId="45" xfId="5" quotePrefix="1" applyNumberFormat="1" applyFont="1" applyFill="1" applyBorder="1" applyAlignment="1">
      <alignment horizontal="center" vertical="center" wrapText="1"/>
    </xf>
    <xf numFmtId="0" fontId="35" fillId="10" borderId="45" xfId="5" quotePrefix="1" applyFont="1" applyFill="1" applyBorder="1" applyAlignment="1">
      <alignment horizontal="center" vertical="center" wrapText="1"/>
    </xf>
    <xf numFmtId="14" fontId="35" fillId="10" borderId="45" xfId="5" applyNumberFormat="1" applyFont="1" applyFill="1" applyBorder="1" applyAlignment="1">
      <alignment horizontal="center" vertical="center"/>
    </xf>
    <xf numFmtId="20" fontId="35" fillId="10" borderId="91" xfId="5"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48"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47" fillId="4" borderId="87" xfId="0" applyFont="1" applyFill="1" applyBorder="1"/>
    <xf numFmtId="43" fontId="47" fillId="4" borderId="87" xfId="10"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47" fillId="0" borderId="0" xfId="0" applyFont="1"/>
    <xf numFmtId="4" fontId="35" fillId="8" borderId="89" xfId="0" applyNumberFormat="1" applyFont="1" applyFill="1" applyBorder="1" applyAlignment="1">
      <alignment vertical="center"/>
    </xf>
    <xf numFmtId="167" fontId="0" fillId="0" borderId="102" xfId="1" applyNumberFormat="1" applyFont="1" applyBorder="1" applyAlignment="1">
      <alignment vertical="center"/>
    </xf>
    <xf numFmtId="4" fontId="0" fillId="4" borderId="103" xfId="0" applyNumberFormat="1" applyFill="1" applyBorder="1" applyAlignment="1">
      <alignment vertical="center"/>
    </xf>
    <xf numFmtId="167" fontId="0" fillId="4" borderId="104" xfId="1" applyNumberFormat="1" applyFont="1" applyFill="1" applyBorder="1" applyAlignment="1">
      <alignment vertical="center"/>
    </xf>
    <xf numFmtId="4" fontId="0" fillId="0" borderId="103" xfId="0" applyNumberFormat="1" applyBorder="1" applyAlignment="1">
      <alignment vertical="center"/>
    </xf>
    <xf numFmtId="167" fontId="0" fillId="0" borderId="104" xfId="1" applyNumberFormat="1" applyFont="1" applyBorder="1" applyAlignment="1">
      <alignment vertical="center"/>
    </xf>
    <xf numFmtId="4" fontId="0" fillId="0" borderId="100" xfId="0" applyNumberFormat="1" applyBorder="1"/>
    <xf numFmtId="4" fontId="0" fillId="0" borderId="105" xfId="0" applyNumberFormat="1" applyBorder="1" applyAlignment="1">
      <alignment horizontal="right"/>
    </xf>
    <xf numFmtId="167" fontId="0" fillId="0" borderId="102" xfId="1" applyNumberFormat="1" applyFont="1" applyBorder="1"/>
    <xf numFmtId="4" fontId="0" fillId="4" borderId="3" xfId="0" applyNumberFormat="1" applyFill="1" applyBorder="1"/>
    <xf numFmtId="4" fontId="0" fillId="4" borderId="106" xfId="0" applyNumberFormat="1" applyFill="1" applyBorder="1" applyAlignment="1">
      <alignment horizontal="right"/>
    </xf>
    <xf numFmtId="167" fontId="0" fillId="4" borderId="104" xfId="1" applyNumberFormat="1" applyFont="1" applyFill="1" applyBorder="1"/>
    <xf numFmtId="4" fontId="0" fillId="0" borderId="3" xfId="0" applyNumberFormat="1" applyBorder="1"/>
    <xf numFmtId="4" fontId="0" fillId="0" borderId="106" xfId="0" applyNumberFormat="1" applyBorder="1" applyAlignment="1">
      <alignment horizontal="right"/>
    </xf>
    <xf numFmtId="167" fontId="0" fillId="0" borderId="104" xfId="1" applyNumberFormat="1" applyFont="1" applyBorder="1"/>
    <xf numFmtId="0" fontId="50" fillId="0" borderId="0" xfId="0" applyFont="1"/>
    <xf numFmtId="0" fontId="51" fillId="0" borderId="0" xfId="0" applyFont="1" applyAlignment="1">
      <alignment vertical="center"/>
    </xf>
    <xf numFmtId="49" fontId="50" fillId="0" borderId="0" xfId="0" applyNumberFormat="1" applyFont="1" applyAlignment="1">
      <alignment horizontal="center"/>
    </xf>
    <xf numFmtId="1" fontId="50" fillId="0" borderId="0" xfId="0" applyNumberFormat="1" applyFont="1" applyAlignment="1">
      <alignment horizontal="center"/>
    </xf>
    <xf numFmtId="49" fontId="50" fillId="0" borderId="0" xfId="0" applyNumberFormat="1" applyFont="1" applyAlignment="1">
      <alignment horizontal="left"/>
    </xf>
    <xf numFmtId="1" fontId="50" fillId="0" borderId="0" xfId="0" applyNumberFormat="1" applyFont="1" applyAlignment="1">
      <alignment horizontal="left"/>
    </xf>
    <xf numFmtId="165" fontId="50" fillId="0" borderId="0" xfId="0" applyNumberFormat="1" applyFont="1" applyAlignment="1">
      <alignment horizontal="center"/>
    </xf>
    <xf numFmtId="10" fontId="50" fillId="0" borderId="0" xfId="1" applyNumberFormat="1" applyFont="1"/>
    <xf numFmtId="176" fontId="21" fillId="0" borderId="40" xfId="1" applyNumberFormat="1" applyFont="1" applyBorder="1" applyAlignment="1">
      <alignment horizontal="right" vertical="center"/>
    </xf>
    <xf numFmtId="43" fontId="32" fillId="0" borderId="54" xfId="10" applyFont="1" applyBorder="1" applyAlignment="1">
      <alignment horizontal="right" vertical="center"/>
    </xf>
    <xf numFmtId="43" fontId="32" fillId="0" borderId="55" xfId="10" applyFont="1" applyBorder="1" applyAlignment="1">
      <alignment horizontal="right" vertical="center"/>
    </xf>
    <xf numFmtId="177" fontId="32" fillId="0" borderId="56" xfId="10" applyNumberFormat="1" applyFont="1" applyBorder="1" applyAlignment="1">
      <alignment horizontal="right" vertical="center"/>
    </xf>
    <xf numFmtId="10" fontId="32" fillId="4" borderId="56" xfId="1"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0" applyFont="1" applyBorder="1" applyAlignment="1">
      <alignment horizontal="right"/>
    </xf>
    <xf numFmtId="43" fontId="27" fillId="0" borderId="0" xfId="10" applyFont="1" applyAlignment="1">
      <alignment horizontal="right"/>
    </xf>
    <xf numFmtId="43" fontId="27" fillId="0" borderId="4" xfId="10" applyFont="1" applyBorder="1" applyAlignment="1">
      <alignment horizontal="right"/>
    </xf>
    <xf numFmtId="10" fontId="32" fillId="0" borderId="4" xfId="1"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0" applyFont="1" applyFill="1" applyBorder="1" applyAlignment="1">
      <alignment horizontal="right" vertical="center"/>
    </xf>
    <xf numFmtId="43" fontId="27" fillId="4" borderId="0" xfId="10" applyFont="1" applyFill="1" applyAlignment="1">
      <alignment horizontal="right" vertical="center"/>
    </xf>
    <xf numFmtId="43" fontId="27" fillId="4" borderId="4" xfId="10" applyFont="1" applyFill="1" applyBorder="1" applyAlignment="1">
      <alignment horizontal="right" vertical="center"/>
    </xf>
    <xf numFmtId="10" fontId="32" fillId="4" borderId="4" xfId="1"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0" applyFont="1" applyBorder="1" applyAlignment="1">
      <alignment horizontal="right" vertical="center"/>
    </xf>
    <xf numFmtId="43" fontId="27" fillId="0" borderId="0" xfId="10" applyFont="1" applyAlignment="1">
      <alignment horizontal="right" vertical="center"/>
    </xf>
    <xf numFmtId="43" fontId="27" fillId="0" borderId="4" xfId="10" applyFont="1" applyBorder="1" applyAlignment="1">
      <alignment horizontal="right" vertical="center"/>
    </xf>
    <xf numFmtId="10" fontId="32" fillId="0" borderId="4" xfId="1"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0" applyFont="1" applyFill="1" applyBorder="1" applyAlignment="1">
      <alignment horizontal="right" vertical="center"/>
    </xf>
    <xf numFmtId="43" fontId="27" fillId="4" borderId="42" xfId="10" applyFont="1" applyFill="1" applyBorder="1" applyAlignment="1">
      <alignment horizontal="right" vertical="center"/>
    </xf>
    <xf numFmtId="43" fontId="27" fillId="4" borderId="43" xfId="10" applyFont="1" applyFill="1" applyBorder="1" applyAlignment="1">
      <alignment horizontal="right" vertical="center"/>
    </xf>
    <xf numFmtId="10" fontId="32" fillId="4" borderId="43" xfId="1"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1"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1"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0" applyFont="1" applyFill="1" applyBorder="1" applyAlignment="1">
      <alignment horizontal="right" vertical="center"/>
    </xf>
    <xf numFmtId="43" fontId="32" fillId="4" borderId="55" xfId="10" applyFont="1" applyFill="1" applyBorder="1" applyAlignment="1">
      <alignment horizontal="right" vertical="center"/>
    </xf>
    <xf numFmtId="177" fontId="32" fillId="4" borderId="56" xfId="10" applyNumberFormat="1" applyFont="1" applyFill="1" applyBorder="1" applyAlignment="1">
      <alignment horizontal="right" vertical="center"/>
    </xf>
    <xf numFmtId="177" fontId="32" fillId="0" borderId="54" xfId="10" applyNumberFormat="1" applyFont="1" applyBorder="1" applyAlignment="1">
      <alignment horizontal="right"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0" fontId="32" fillId="2" borderId="56" xfId="1" applyNumberFormat="1" applyFont="1" applyFill="1" applyBorder="1" applyAlignment="1">
      <alignment horizontal="right" vertical="center"/>
    </xf>
    <xf numFmtId="43" fontId="30" fillId="0" borderId="0" xfId="10" applyFont="1" applyBorder="1"/>
    <xf numFmtId="17" fontId="35" fillId="8" borderId="111" xfId="0" applyNumberFormat="1" applyFont="1" applyFill="1" applyBorder="1" applyAlignment="1">
      <alignment horizontal="center" vertical="center"/>
    </xf>
    <xf numFmtId="0" fontId="35" fillId="8" borderId="113" xfId="4" applyFont="1" applyFill="1" applyBorder="1" applyAlignment="1">
      <alignment horizontal="center" vertical="center"/>
    </xf>
    <xf numFmtId="0" fontId="35" fillId="8" borderId="115" xfId="4" applyFont="1" applyFill="1" applyBorder="1" applyAlignment="1">
      <alignment horizontal="center" vertical="center"/>
    </xf>
    <xf numFmtId="4" fontId="35" fillId="8" borderId="118" xfId="0" applyNumberFormat="1" applyFont="1" applyFill="1" applyBorder="1" applyAlignment="1">
      <alignment vertical="center"/>
    </xf>
    <xf numFmtId="4" fontId="48" fillId="8" borderId="118" xfId="0" applyNumberFormat="1" applyFont="1" applyFill="1" applyBorder="1" applyAlignment="1">
      <alignment vertical="center"/>
    </xf>
    <xf numFmtId="0" fontId="35" fillId="8" borderId="117" xfId="0" applyFont="1" applyFill="1" applyBorder="1" applyAlignment="1">
      <alignment vertical="center"/>
    </xf>
    <xf numFmtId="0" fontId="0" fillId="0" borderId="119" xfId="0" applyBorder="1"/>
    <xf numFmtId="0" fontId="35" fillId="10" borderId="123" xfId="5" applyFont="1" applyFill="1" applyBorder="1" applyAlignment="1">
      <alignment horizontal="center" vertical="center" wrapText="1"/>
    </xf>
    <xf numFmtId="0" fontId="35" fillId="10" borderId="123" xfId="5" applyFont="1" applyFill="1" applyBorder="1" applyAlignment="1">
      <alignment horizontal="center" vertical="center"/>
    </xf>
    <xf numFmtId="0" fontId="35" fillId="10" borderId="125" xfId="5" applyFont="1" applyFill="1" applyBorder="1" applyAlignment="1">
      <alignment horizontal="center" vertical="center"/>
    </xf>
    <xf numFmtId="10" fontId="35" fillId="8" borderId="118" xfId="1" applyNumberFormat="1" applyFont="1" applyFill="1" applyBorder="1" applyAlignment="1">
      <alignment vertical="center"/>
    </xf>
    <xf numFmtId="10" fontId="48" fillId="8" borderId="118" xfId="1" applyNumberFormat="1" applyFont="1" applyFill="1" applyBorder="1" applyAlignment="1">
      <alignment vertical="center"/>
    </xf>
    <xf numFmtId="0" fontId="48" fillId="8" borderId="117"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1" fillId="0" borderId="0" xfId="0" applyFont="1" applyAlignment="1">
      <alignment horizontal="center" vertical="center"/>
    </xf>
    <xf numFmtId="0" fontId="52" fillId="2" borderId="0" xfId="0" applyFont="1" applyFill="1" applyAlignment="1">
      <alignment horizontal="left" vertical="center" wrapText="1"/>
    </xf>
    <xf numFmtId="0" fontId="47" fillId="0" borderId="30" xfId="0" applyFont="1" applyBorder="1"/>
    <xf numFmtId="0" fontId="47" fillId="4" borderId="128" xfId="0" applyFont="1" applyFill="1" applyBorder="1"/>
    <xf numFmtId="43" fontId="30" fillId="0" borderId="31" xfId="10" applyFont="1" applyBorder="1"/>
    <xf numFmtId="43" fontId="47" fillId="4" borderId="129" xfId="10" applyFont="1" applyFill="1" applyBorder="1"/>
    <xf numFmtId="43" fontId="30" fillId="0" borderId="131" xfId="10" applyFont="1" applyBorder="1"/>
    <xf numFmtId="0" fontId="47" fillId="0" borderId="130" xfId="0" applyFont="1" applyBorder="1"/>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3" xfId="0" applyFont="1" applyFill="1" applyBorder="1" applyAlignment="1">
      <alignment horizontal="center" vertical="center" wrapText="1"/>
    </xf>
    <xf numFmtId="0" fontId="35" fillId="8" borderId="106" xfId="0" applyFont="1" applyFill="1" applyBorder="1" applyAlignment="1">
      <alignment horizontal="center" vertical="center" wrapText="1"/>
    </xf>
    <xf numFmtId="0" fontId="35" fillId="8" borderId="134" xfId="0" applyFont="1" applyFill="1" applyBorder="1" applyAlignment="1">
      <alignment horizontal="center" vertical="center" wrapText="1"/>
    </xf>
    <xf numFmtId="0" fontId="45" fillId="4" borderId="136" xfId="0" applyFont="1" applyFill="1" applyBorder="1" applyAlignment="1">
      <alignment horizontal="center" vertical="center"/>
    </xf>
    <xf numFmtId="0" fontId="30" fillId="0" borderId="0" xfId="0" applyFont="1" applyAlignment="1">
      <alignment vertical="center"/>
    </xf>
    <xf numFmtId="0" fontId="53" fillId="4" borderId="135" xfId="0" applyFont="1" applyFill="1" applyBorder="1" applyAlignment="1">
      <alignment vertical="center"/>
    </xf>
    <xf numFmtId="0" fontId="53" fillId="0" borderId="135" xfId="0" applyFont="1" applyBorder="1" applyAlignment="1">
      <alignment vertical="center" wrapText="1"/>
    </xf>
    <xf numFmtId="0" fontId="46" fillId="0" borderId="136" xfId="0" applyFont="1" applyBorder="1" applyAlignment="1">
      <alignment horizontal="center" vertical="center"/>
    </xf>
    <xf numFmtId="0" fontId="45" fillId="0" borderId="136" xfId="0" applyFont="1" applyBorder="1" applyAlignment="1">
      <alignment horizontal="center" vertical="center"/>
    </xf>
    <xf numFmtId="4" fontId="46" fillId="0" borderId="137" xfId="0" applyNumberFormat="1" applyFont="1" applyBorder="1" applyAlignment="1">
      <alignment horizontal="center" vertical="center"/>
    </xf>
    <xf numFmtId="176" fontId="21" fillId="0" borderId="39" xfId="1" applyNumberFormat="1" applyFont="1" applyBorder="1" applyAlignment="1">
      <alignment horizontal="right" vertical="center"/>
    </xf>
    <xf numFmtId="43" fontId="21" fillId="4" borderId="40" xfId="10"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7" xfId="0" applyFont="1" applyFill="1" applyBorder="1" applyAlignment="1">
      <alignment vertical="center"/>
    </xf>
    <xf numFmtId="9" fontId="21" fillId="4" borderId="78" xfId="1" applyFont="1" applyFill="1" applyBorder="1" applyAlignment="1">
      <alignment horizontal="center" vertical="center"/>
    </xf>
    <xf numFmtId="4" fontId="0" fillId="2" borderId="101" xfId="0" applyNumberFormat="1" applyFill="1" applyBorder="1" applyAlignment="1">
      <alignment vertical="center"/>
    </xf>
    <xf numFmtId="0" fontId="54" fillId="0" borderId="0" xfId="0" applyFont="1"/>
    <xf numFmtId="0" fontId="55" fillId="0" borderId="0" xfId="0" applyFont="1" applyAlignment="1">
      <alignment vertical="center"/>
    </xf>
    <xf numFmtId="0" fontId="55" fillId="0" borderId="0" xfId="0" applyFont="1"/>
    <xf numFmtId="0" fontId="44" fillId="0" borderId="0" xfId="0" quotePrefix="1" applyFont="1" applyAlignment="1">
      <alignment vertical="center" wrapText="1"/>
    </xf>
    <xf numFmtId="168"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8" applyFont="1" applyFill="1" applyAlignment="1">
      <alignment horizontal="left" vertical="center"/>
    </xf>
    <xf numFmtId="0" fontId="32" fillId="2" borderId="0" xfId="8" applyFont="1" applyFill="1" applyAlignment="1">
      <alignment vertical="center"/>
    </xf>
    <xf numFmtId="0" fontId="29" fillId="0" borderId="0" xfId="8" applyFont="1" applyAlignment="1">
      <alignment vertical="center"/>
    </xf>
    <xf numFmtId="0" fontId="35" fillId="8" borderId="72" xfId="8" applyFont="1" applyFill="1" applyBorder="1" applyAlignment="1">
      <alignment horizontal="center" vertical="center"/>
    </xf>
    <xf numFmtId="43" fontId="35" fillId="8" borderId="72" xfId="9" applyFont="1" applyFill="1" applyBorder="1" applyAlignment="1">
      <alignment horizontal="center" vertical="center"/>
    </xf>
    <xf numFmtId="4" fontId="35" fillId="8" borderId="72" xfId="8" applyNumberFormat="1" applyFont="1" applyFill="1" applyBorder="1" applyAlignment="1">
      <alignment horizontal="center" vertical="center"/>
    </xf>
    <xf numFmtId="0" fontId="35" fillId="8" borderId="72" xfId="8" applyFont="1" applyFill="1" applyBorder="1" applyAlignment="1">
      <alignment horizontal="center" vertical="center" wrapText="1"/>
    </xf>
    <xf numFmtId="0" fontId="32" fillId="0" borderId="0" xfId="8" applyFont="1" applyAlignment="1">
      <alignment horizontal="left" vertical="center" wrapText="1"/>
    </xf>
    <xf numFmtId="0" fontId="32" fillId="0" borderId="0" xfId="8" applyFont="1" applyAlignment="1">
      <alignment horizontal="center" vertical="center"/>
    </xf>
    <xf numFmtId="0" fontId="32" fillId="0" borderId="0" xfId="8" applyFont="1" applyAlignment="1">
      <alignment vertical="center"/>
    </xf>
    <xf numFmtId="22" fontId="30" fillId="0" borderId="72" xfId="8" applyNumberFormat="1" applyFont="1" applyBorder="1" applyAlignment="1">
      <alignment horizontal="center" vertical="center" wrapText="1"/>
    </xf>
    <xf numFmtId="0" fontId="44" fillId="0" borderId="72" xfId="8" applyFont="1" applyBorder="1" applyAlignment="1">
      <alignment horizontal="justify" vertical="center" wrapText="1"/>
    </xf>
    <xf numFmtId="0" fontId="30" fillId="0" borderId="72" xfId="8" applyFont="1" applyBorder="1" applyAlignment="1">
      <alignment horizontal="center" vertical="center" wrapText="1"/>
    </xf>
    <xf numFmtId="0" fontId="32" fillId="0" borderId="0" xfId="8" applyFont="1" applyAlignment="1">
      <alignment vertical="center" wrapText="1"/>
    </xf>
    <xf numFmtId="49" fontId="27" fillId="0" borderId="0" xfId="8" applyNumberFormat="1" applyFont="1" applyAlignment="1">
      <alignment horizontal="right" vertical="center"/>
    </xf>
    <xf numFmtId="1" fontId="27" fillId="0" borderId="0" xfId="8" applyNumberFormat="1" applyFont="1" applyAlignment="1">
      <alignment horizontal="right" vertical="center"/>
    </xf>
    <xf numFmtId="49" fontId="27" fillId="0" borderId="0" xfId="8" applyNumberFormat="1" applyFont="1" applyAlignment="1">
      <alignment horizontal="center" vertical="center"/>
    </xf>
    <xf numFmtId="1" fontId="27" fillId="0" borderId="0" xfId="8" applyNumberFormat="1" applyFont="1" applyAlignment="1">
      <alignment horizontal="center" vertical="center"/>
    </xf>
    <xf numFmtId="0" fontId="44" fillId="0" borderId="72" xfId="8" applyFont="1" applyBorder="1" applyAlignment="1">
      <alignment horizontal="center" vertical="center" wrapText="1"/>
    </xf>
    <xf numFmtId="0" fontId="29" fillId="0" borderId="0" xfId="8" applyFont="1" applyAlignment="1">
      <alignment horizontal="center" vertical="center"/>
    </xf>
    <xf numFmtId="0" fontId="31" fillId="8" borderId="23" xfId="0" applyFont="1" applyFill="1" applyBorder="1" applyAlignment="1">
      <alignment horizontal="center"/>
    </xf>
    <xf numFmtId="43" fontId="46" fillId="0" borderId="78" xfId="10" applyFont="1" applyBorder="1" applyAlignment="1">
      <alignment vertical="center" wrapText="1"/>
    </xf>
    <xf numFmtId="0" fontId="46" fillId="0" borderId="78" xfId="0" applyFont="1" applyBorder="1" applyAlignment="1">
      <alignment vertical="center" wrapText="1"/>
    </xf>
    <xf numFmtId="4" fontId="13" fillId="0" borderId="78" xfId="0" applyNumberFormat="1" applyFont="1" applyBorder="1" applyAlignment="1">
      <alignment horizontal="center" vertical="center"/>
    </xf>
    <xf numFmtId="176" fontId="21" fillId="0" borderId="0" xfId="1"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1" applyNumberFormat="1" applyFont="1"/>
    <xf numFmtId="0" fontId="46" fillId="2" borderId="0" xfId="0" applyFont="1" applyFill="1" applyAlignment="1">
      <alignment vertical="center"/>
    </xf>
    <xf numFmtId="167" fontId="45" fillId="2" borderId="47" xfId="1" applyNumberFormat="1" applyFont="1" applyFill="1" applyBorder="1" applyAlignment="1">
      <alignment vertical="center"/>
    </xf>
    <xf numFmtId="0" fontId="46" fillId="4" borderId="0" xfId="0" applyFont="1" applyFill="1" applyAlignment="1">
      <alignment vertical="center"/>
    </xf>
    <xf numFmtId="167" fontId="45" fillId="4" borderId="47" xfId="1" applyNumberFormat="1" applyFont="1" applyFill="1" applyBorder="1" applyAlignment="1">
      <alignment vertical="center"/>
    </xf>
    <xf numFmtId="167" fontId="47" fillId="4" borderId="47" xfId="1" applyNumberFormat="1" applyFont="1" applyFill="1" applyBorder="1" applyAlignment="1">
      <alignment vertical="center"/>
    </xf>
    <xf numFmtId="0" fontId="46" fillId="2" borderId="48" xfId="0" applyFont="1" applyFill="1" applyBorder="1" applyAlignment="1">
      <alignment vertical="center"/>
    </xf>
    <xf numFmtId="0" fontId="46" fillId="4" borderId="49" xfId="0" applyFont="1" applyFill="1" applyBorder="1" applyAlignment="1">
      <alignment vertical="center"/>
    </xf>
    <xf numFmtId="0" fontId="46" fillId="2" borderId="49" xfId="0" applyFont="1" applyFill="1" applyBorder="1" applyAlignment="1">
      <alignment vertical="center"/>
    </xf>
    <xf numFmtId="0" fontId="46" fillId="4" borderId="49" xfId="0" applyFont="1" applyFill="1" applyBorder="1" applyAlignment="1">
      <alignment vertical="center" wrapText="1"/>
    </xf>
    <xf numFmtId="0" fontId="46" fillId="2" borderId="49" xfId="0" applyFont="1" applyFill="1" applyBorder="1" applyAlignment="1">
      <alignment vertical="center" wrapText="1"/>
    </xf>
    <xf numFmtId="167" fontId="45" fillId="2" borderId="51" xfId="1" applyNumberFormat="1" applyFont="1" applyFill="1" applyBorder="1" applyAlignment="1">
      <alignment vertical="center"/>
    </xf>
    <xf numFmtId="0" fontId="46" fillId="4" borderId="52" xfId="0" applyFont="1" applyFill="1" applyBorder="1" applyAlignment="1">
      <alignment vertical="center"/>
    </xf>
    <xf numFmtId="0" fontId="35" fillId="3" borderId="91" xfId="0" applyFont="1" applyFill="1" applyBorder="1" applyAlignment="1">
      <alignment vertical="center"/>
    </xf>
    <xf numFmtId="10" fontId="35" fillId="3" borderId="45" xfId="1" applyNumberFormat="1" applyFont="1" applyFill="1" applyBorder="1" applyAlignment="1">
      <alignment vertical="center"/>
    </xf>
    <xf numFmtId="0" fontId="46" fillId="2" borderId="61" xfId="0" applyFont="1" applyFill="1" applyBorder="1" applyAlignment="1">
      <alignment vertical="center"/>
    </xf>
    <xf numFmtId="167" fontId="45" fillId="2" borderId="61" xfId="1" applyNumberFormat="1" applyFont="1" applyFill="1" applyBorder="1" applyAlignment="1">
      <alignment vertical="center"/>
    </xf>
    <xf numFmtId="0" fontId="46" fillId="4" borderId="62" xfId="0" applyFont="1" applyFill="1" applyBorder="1" applyAlignment="1">
      <alignment vertical="center"/>
    </xf>
    <xf numFmtId="167" fontId="45" fillId="4" borderId="62" xfId="1" applyNumberFormat="1" applyFont="1" applyFill="1" applyBorder="1" applyAlignment="1">
      <alignment vertical="center"/>
    </xf>
    <xf numFmtId="0" fontId="46" fillId="2" borderId="62" xfId="0" applyFont="1" applyFill="1" applyBorder="1" applyAlignment="1">
      <alignment vertical="center"/>
    </xf>
    <xf numFmtId="167" fontId="45" fillId="2" borderId="62" xfId="1" applyNumberFormat="1" applyFont="1" applyFill="1" applyBorder="1" applyAlignment="1">
      <alignment vertical="center"/>
    </xf>
    <xf numFmtId="0" fontId="46" fillId="2" borderId="63" xfId="0" applyFont="1" applyFill="1" applyBorder="1" applyAlignment="1">
      <alignment vertical="center"/>
    </xf>
    <xf numFmtId="167" fontId="45" fillId="2" borderId="63" xfId="1" applyNumberFormat="1" applyFont="1" applyFill="1" applyBorder="1" applyAlignment="1">
      <alignment vertical="center"/>
    </xf>
    <xf numFmtId="0" fontId="46" fillId="4" borderId="64" xfId="0" applyFont="1" applyFill="1" applyBorder="1" applyAlignment="1">
      <alignment vertical="center"/>
    </xf>
    <xf numFmtId="167" fontId="45" fillId="4" borderId="64" xfId="1" applyNumberFormat="1" applyFont="1" applyFill="1" applyBorder="1" applyAlignment="1">
      <alignment vertical="center"/>
    </xf>
    <xf numFmtId="0" fontId="46" fillId="2" borderId="64" xfId="0" applyFont="1" applyFill="1" applyBorder="1" applyAlignment="1">
      <alignment vertical="center"/>
    </xf>
    <xf numFmtId="167" fontId="45" fillId="2" borderId="64" xfId="1" applyNumberFormat="1" applyFont="1" applyFill="1" applyBorder="1" applyAlignment="1">
      <alignment vertical="center"/>
    </xf>
    <xf numFmtId="0" fontId="46" fillId="2" borderId="64" xfId="0" applyFont="1" applyFill="1" applyBorder="1" applyAlignment="1">
      <alignment vertical="center" wrapText="1"/>
    </xf>
    <xf numFmtId="0" fontId="46" fillId="4" borderId="64" xfId="0" applyFont="1" applyFill="1" applyBorder="1" applyAlignment="1">
      <alignment vertical="center" wrapText="1"/>
    </xf>
    <xf numFmtId="2" fontId="46" fillId="4" borderId="64" xfId="0" applyNumberFormat="1" applyFont="1" applyFill="1" applyBorder="1" applyAlignment="1">
      <alignment vertical="center" wrapText="1"/>
    </xf>
    <xf numFmtId="0" fontId="46" fillId="0" borderId="62" xfId="0" applyFont="1" applyBorder="1" applyAlignment="1">
      <alignment vertical="center"/>
    </xf>
    <xf numFmtId="0" fontId="46" fillId="4" borderId="94" xfId="0" applyFont="1" applyFill="1" applyBorder="1" applyAlignment="1">
      <alignment vertical="center"/>
    </xf>
    <xf numFmtId="167" fontId="45" fillId="4" borderId="94" xfId="1"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1" applyNumberFormat="1" applyFont="1" applyFill="1" applyAlignment="1">
      <alignment vertical="center"/>
    </xf>
    <xf numFmtId="2" fontId="41" fillId="0" borderId="0" xfId="0" applyNumberFormat="1" applyFont="1" applyAlignment="1">
      <alignment vertical="center"/>
    </xf>
    <xf numFmtId="10" fontId="29" fillId="0" borderId="0" xfId="1" applyNumberFormat="1" applyFont="1"/>
    <xf numFmtId="171" fontId="56" fillId="6" borderId="0" xfId="2" applyFont="1" applyFill="1"/>
    <xf numFmtId="1" fontId="57" fillId="0" borderId="0" xfId="2" applyNumberFormat="1" applyFont="1" applyAlignment="1">
      <alignment horizontal="center"/>
    </xf>
    <xf numFmtId="172" fontId="57" fillId="0" borderId="0" xfId="2" applyNumberFormat="1" applyFont="1" applyAlignment="1">
      <alignment horizontal="center"/>
    </xf>
    <xf numFmtId="2" fontId="58" fillId="0" borderId="0" xfId="2" applyNumberFormat="1" applyFont="1"/>
    <xf numFmtId="43" fontId="41" fillId="0" borderId="0" xfId="10" applyFont="1" applyAlignment="1">
      <alignment vertical="center"/>
    </xf>
    <xf numFmtId="2" fontId="58" fillId="2" borderId="0" xfId="2" applyNumberFormat="1" applyFont="1" applyFill="1"/>
    <xf numFmtId="2" fontId="59" fillId="0" borderId="0" xfId="0" applyNumberFormat="1" applyFont="1"/>
    <xf numFmtId="166" fontId="41" fillId="0" borderId="0" xfId="0" applyNumberFormat="1" applyFont="1" applyAlignment="1">
      <alignment vertical="center"/>
    </xf>
    <xf numFmtId="2" fontId="55" fillId="0" borderId="0" xfId="0" applyNumberFormat="1" applyFont="1" applyAlignment="1">
      <alignment horizontal="center" vertical="center" wrapText="1"/>
    </xf>
    <xf numFmtId="2" fontId="55" fillId="0" borderId="0" xfId="0" quotePrefix="1" applyNumberFormat="1" applyFont="1" applyAlignment="1">
      <alignment horizontal="center" vertical="center" wrapText="1"/>
    </xf>
    <xf numFmtId="17" fontId="55" fillId="0" borderId="0" xfId="0" quotePrefix="1" applyNumberFormat="1" applyFont="1" applyAlignment="1">
      <alignment horizontal="center" vertical="center" wrapText="1"/>
    </xf>
    <xf numFmtId="0" fontId="55" fillId="0" borderId="0" xfId="0" quotePrefix="1" applyFont="1" applyAlignment="1">
      <alignment horizontal="center" vertical="center" wrapText="1"/>
    </xf>
    <xf numFmtId="0" fontId="55" fillId="0" borderId="0" xfId="0" applyFont="1" applyAlignment="1">
      <alignment horizontal="center"/>
    </xf>
    <xf numFmtId="2" fontId="55" fillId="0" borderId="0" xfId="0" applyNumberFormat="1" applyFont="1" applyAlignment="1">
      <alignment horizontal="left"/>
    </xf>
    <xf numFmtId="2" fontId="52" fillId="0" borderId="0" xfId="0" applyNumberFormat="1" applyFont="1" applyAlignment="1">
      <alignment horizontal="center"/>
    </xf>
    <xf numFmtId="2" fontId="55" fillId="0" borderId="0" xfId="0" applyNumberFormat="1" applyFont="1" applyAlignment="1">
      <alignment horizontal="center"/>
    </xf>
    <xf numFmtId="175" fontId="55" fillId="0" borderId="0" xfId="0" applyNumberFormat="1" applyFont="1"/>
    <xf numFmtId="175" fontId="55" fillId="0" borderId="0" xfId="0" applyNumberFormat="1" applyFont="1" applyAlignment="1">
      <alignment horizontal="center"/>
    </xf>
    <xf numFmtId="0" fontId="55" fillId="0" borderId="0" xfId="0" applyFont="1" applyAlignment="1">
      <alignment vertical="top" wrapText="1"/>
    </xf>
    <xf numFmtId="4" fontId="30" fillId="0" borderId="0" xfId="0" applyNumberFormat="1" applyFont="1" applyAlignment="1">
      <alignment horizontal="center" vertical="center"/>
    </xf>
    <xf numFmtId="0" fontId="30" fillId="0" borderId="0" xfId="0" applyFont="1" applyAlignment="1">
      <alignment horizontal="center" vertical="center"/>
    </xf>
    <xf numFmtId="176" fontId="46" fillId="5" borderId="24" xfId="1" applyNumberFormat="1" applyFont="1" applyFill="1" applyBorder="1" applyAlignment="1">
      <alignment horizontal="center" vertical="center"/>
    </xf>
    <xf numFmtId="176" fontId="46" fillId="2" borderId="25" xfId="1" applyNumberFormat="1" applyFont="1" applyFill="1" applyBorder="1" applyAlignment="1">
      <alignment horizontal="center" vertical="center"/>
    </xf>
    <xf numFmtId="176" fontId="46" fillId="5" borderId="25" xfId="1" applyNumberFormat="1" applyFont="1" applyFill="1" applyBorder="1" applyAlignment="1">
      <alignment horizontal="center" vertical="center"/>
    </xf>
    <xf numFmtId="176" fontId="46" fillId="2" borderId="26" xfId="1" applyNumberFormat="1" applyFont="1" applyFill="1" applyBorder="1" applyAlignment="1">
      <alignment horizontal="center" vertical="center"/>
    </xf>
    <xf numFmtId="176" fontId="45" fillId="5" borderId="23" xfId="1" applyNumberFormat="1" applyFont="1" applyFill="1" applyBorder="1" applyAlignment="1">
      <alignment horizontal="center" vertical="center"/>
    </xf>
    <xf numFmtId="0" fontId="30" fillId="0" borderId="0" xfId="0" quotePrefix="1" applyFont="1" applyAlignment="1">
      <alignment vertical="center"/>
    </xf>
    <xf numFmtId="0" fontId="52" fillId="0" borderId="0" xfId="0" applyFont="1" applyAlignment="1">
      <alignment vertical="center"/>
    </xf>
    <xf numFmtId="49" fontId="55" fillId="0" borderId="0" xfId="0" applyNumberFormat="1" applyFont="1" applyAlignment="1">
      <alignment horizontal="right"/>
    </xf>
    <xf numFmtId="1" fontId="55" fillId="0" borderId="0" xfId="0" applyNumberFormat="1" applyFont="1" applyAlignment="1">
      <alignment horizontal="right"/>
    </xf>
    <xf numFmtId="0" fontId="55" fillId="0" borderId="0" xfId="0" applyFont="1" applyAlignment="1">
      <alignment horizontal="right"/>
    </xf>
    <xf numFmtId="1" fontId="55" fillId="0" borderId="0" xfId="0" applyNumberFormat="1" applyFont="1"/>
    <xf numFmtId="1" fontId="60" fillId="0" borderId="0" xfId="0" applyNumberFormat="1" applyFont="1" applyAlignment="1">
      <alignment horizontal="right"/>
    </xf>
    <xf numFmtId="0" fontId="47" fillId="0" borderId="30" xfId="0" applyFont="1" applyBorder="1" applyAlignment="1">
      <alignment vertical="center" wrapText="1"/>
    </xf>
    <xf numFmtId="43" fontId="30" fillId="0" borderId="0" xfId="10" applyFont="1" applyBorder="1" applyAlignment="1">
      <alignment vertical="center"/>
    </xf>
    <xf numFmtId="0" fontId="47" fillId="0" borderId="0" xfId="0" applyFont="1" applyAlignment="1">
      <alignment vertical="center"/>
    </xf>
    <xf numFmtId="0" fontId="41" fillId="0" borderId="0" xfId="0" applyFont="1" applyAlignment="1">
      <alignment vertical="center" wrapText="1"/>
    </xf>
    <xf numFmtId="0" fontId="50" fillId="0" borderId="0" xfId="0" applyFont="1" applyAlignment="1">
      <alignment vertical="center"/>
    </xf>
    <xf numFmtId="0" fontId="50" fillId="0" borderId="0" xfId="0" applyFont="1" applyAlignment="1">
      <alignment vertical="center" wrapText="1"/>
    </xf>
    <xf numFmtId="0" fontId="41" fillId="2" borderId="0" xfId="0" applyFont="1" applyFill="1" applyAlignment="1">
      <alignment horizontal="right"/>
    </xf>
    <xf numFmtId="0" fontId="61" fillId="0" borderId="0" xfId="0" applyFont="1"/>
    <xf numFmtId="43" fontId="55" fillId="0" borderId="0" xfId="10" applyFont="1"/>
    <xf numFmtId="0" fontId="62" fillId="0" borderId="0" xfId="0" applyFont="1" applyAlignment="1">
      <alignment vertical="center"/>
    </xf>
    <xf numFmtId="0" fontId="61" fillId="0" borderId="0" xfId="0" applyFont="1" applyAlignment="1">
      <alignment vertical="center"/>
    </xf>
    <xf numFmtId="0" fontId="47" fillId="0" borderId="30" xfId="0" applyFont="1" applyBorder="1" applyAlignment="1">
      <alignment vertical="center"/>
    </xf>
    <xf numFmtId="0" fontId="47" fillId="4" borderId="128" xfId="0" applyFont="1" applyFill="1" applyBorder="1" applyAlignment="1">
      <alignment vertical="center"/>
    </xf>
    <xf numFmtId="0" fontId="47" fillId="4" borderId="87" xfId="0" applyFont="1" applyFill="1" applyBorder="1" applyAlignment="1">
      <alignment vertical="center"/>
    </xf>
    <xf numFmtId="43" fontId="47" fillId="4" borderId="87" xfId="10" applyFont="1" applyFill="1" applyBorder="1" applyAlignment="1">
      <alignment vertical="center"/>
    </xf>
    <xf numFmtId="10" fontId="29" fillId="0" borderId="0" xfId="1" applyNumberFormat="1" applyFont="1" applyAlignment="1">
      <alignment vertical="center"/>
    </xf>
    <xf numFmtId="0" fontId="63" fillId="0" borderId="0" xfId="0" applyFont="1" applyAlignment="1">
      <alignment vertical="center"/>
    </xf>
    <xf numFmtId="0" fontId="64" fillId="0" borderId="0" xfId="0" applyFont="1" applyAlignment="1">
      <alignment vertical="center"/>
    </xf>
    <xf numFmtId="0" fontId="64" fillId="0" borderId="0" xfId="0" applyFont="1" applyAlignment="1">
      <alignment horizontal="right" vertical="center"/>
    </xf>
    <xf numFmtId="14" fontId="63" fillId="0" borderId="0" xfId="0" applyNumberFormat="1" applyFont="1" applyAlignment="1">
      <alignment vertical="center"/>
    </xf>
    <xf numFmtId="0" fontId="63" fillId="0" borderId="0" xfId="0" applyFont="1" applyAlignment="1">
      <alignment horizontal="center" vertical="center"/>
    </xf>
    <xf numFmtId="0" fontId="64" fillId="0" borderId="0" xfId="0" applyFont="1" applyAlignment="1">
      <alignment horizontal="justify" vertical="center"/>
    </xf>
    <xf numFmtId="0" fontId="65" fillId="0" borderId="0" xfId="0" applyFont="1" applyAlignment="1">
      <alignment vertical="center"/>
    </xf>
    <xf numFmtId="17" fontId="65" fillId="0" borderId="0" xfId="0" applyNumberFormat="1" applyFont="1" applyAlignment="1">
      <alignment horizontal="center" vertical="center"/>
    </xf>
    <xf numFmtId="0" fontId="65" fillId="0" borderId="0" xfId="0" quotePrefix="1" applyFont="1" applyAlignment="1">
      <alignment vertical="center" wrapText="1"/>
    </xf>
    <xf numFmtId="2" fontId="65" fillId="0" borderId="0" xfId="0" applyNumberFormat="1" applyFont="1" applyAlignment="1">
      <alignment vertical="center"/>
    </xf>
    <xf numFmtId="2" fontId="64" fillId="0" borderId="0" xfId="0" applyNumberFormat="1" applyFont="1" applyAlignment="1">
      <alignment vertical="center"/>
    </xf>
    <xf numFmtId="0" fontId="66" fillId="0" borderId="0" xfId="0" applyFont="1" applyAlignment="1">
      <alignment vertical="center"/>
    </xf>
    <xf numFmtId="0" fontId="67" fillId="2" borderId="0" xfId="0" applyFont="1" applyFill="1" applyAlignment="1">
      <alignment vertical="center" wrapText="1"/>
    </xf>
    <xf numFmtId="1" fontId="61" fillId="0" borderId="0" xfId="0" applyNumberFormat="1" applyFont="1" applyAlignment="1">
      <alignment horizontal="right" vertical="center" wrapText="1"/>
    </xf>
    <xf numFmtId="0" fontId="61" fillId="0" borderId="0" xfId="0" applyFont="1" applyAlignment="1">
      <alignment vertical="center" wrapText="1"/>
    </xf>
    <xf numFmtId="49" fontId="61" fillId="0" borderId="0" xfId="0" applyNumberFormat="1" applyFont="1" applyAlignment="1">
      <alignment horizontal="center" vertical="center"/>
    </xf>
    <xf numFmtId="0" fontId="61" fillId="2" borderId="0" xfId="0" applyFont="1" applyFill="1"/>
    <xf numFmtId="1" fontId="0" fillId="0" borderId="0" xfId="0" applyNumberFormat="1"/>
    <xf numFmtId="165" fontId="0" fillId="0" borderId="0" xfId="0" applyNumberFormat="1" applyAlignment="1">
      <alignment horizontal="right"/>
    </xf>
    <xf numFmtId="167" fontId="0" fillId="0" borderId="0" xfId="1" applyNumberFormat="1" applyFont="1" applyAlignment="1">
      <alignment horizontal="right"/>
    </xf>
    <xf numFmtId="166" fontId="0" fillId="0" borderId="0" xfId="0" applyNumberFormat="1" applyAlignment="1">
      <alignment horizontal="right"/>
    </xf>
    <xf numFmtId="0" fontId="3" fillId="0" borderId="0" xfId="0" applyFont="1" applyAlignment="1">
      <alignment vertical="center"/>
    </xf>
    <xf numFmtId="1" fontId="68" fillId="0" borderId="0" xfId="0" applyNumberFormat="1" applyFont="1" applyAlignment="1">
      <alignment horizontal="center" vertical="center"/>
    </xf>
    <xf numFmtId="165" fontId="68" fillId="0" borderId="0" xfId="0" applyNumberFormat="1" applyFont="1" applyAlignment="1">
      <alignment horizontal="right" vertical="center"/>
    </xf>
    <xf numFmtId="166" fontId="68" fillId="0" borderId="0" xfId="0" applyNumberFormat="1" applyFont="1" applyAlignment="1">
      <alignment horizontal="right" vertical="center"/>
    </xf>
    <xf numFmtId="167" fontId="68" fillId="0" borderId="0" xfId="1" applyNumberFormat="1" applyFont="1" applyAlignment="1">
      <alignment horizontal="right" vertical="center"/>
    </xf>
    <xf numFmtId="0" fontId="68" fillId="0" borderId="0" xfId="0" applyFont="1" applyAlignment="1">
      <alignment vertical="center"/>
    </xf>
    <xf numFmtId="175" fontId="69" fillId="0" borderId="0" xfId="0" applyNumberFormat="1" applyFont="1"/>
    <xf numFmtId="172" fontId="56" fillId="6" borderId="0" xfId="2" applyNumberFormat="1" applyFont="1" applyFill="1"/>
    <xf numFmtId="2" fontId="58" fillId="0" borderId="0" xfId="2" applyNumberFormat="1" applyFont="1" applyAlignment="1">
      <alignment horizontal="center"/>
    </xf>
    <xf numFmtId="43" fontId="41" fillId="0" borderId="0" xfId="10" applyFont="1"/>
    <xf numFmtId="172" fontId="57" fillId="7" borderId="0" xfId="2" applyNumberFormat="1" applyFont="1" applyFill="1" applyAlignment="1">
      <alignment horizontal="center"/>
    </xf>
    <xf numFmtId="0" fontId="70" fillId="0" borderId="0" xfId="0" applyFont="1"/>
    <xf numFmtId="175" fontId="41" fillId="0" borderId="0" xfId="0" applyNumberFormat="1" applyFont="1" applyAlignment="1">
      <alignment vertical="center"/>
    </xf>
    <xf numFmtId="2" fontId="71" fillId="0" borderId="0" xfId="3" applyNumberFormat="1" applyFont="1"/>
    <xf numFmtId="0" fontId="30" fillId="0" borderId="0" xfId="0" applyFont="1" applyAlignment="1">
      <alignment horizontal="left" vertical="center"/>
    </xf>
    <xf numFmtId="0" fontId="72" fillId="0" borderId="0" xfId="0" applyFont="1" applyAlignment="1">
      <alignment vertical="center"/>
    </xf>
    <xf numFmtId="49" fontId="73" fillId="0" borderId="0" xfId="0" applyNumberFormat="1" applyFont="1" applyAlignment="1">
      <alignment horizontal="center"/>
    </xf>
    <xf numFmtId="0" fontId="73" fillId="0" borderId="0" xfId="0" applyFont="1"/>
    <xf numFmtId="49" fontId="73" fillId="0" borderId="0" xfId="0" applyNumberFormat="1" applyFont="1" applyAlignment="1">
      <alignment horizontal="right"/>
    </xf>
    <xf numFmtId="0" fontId="73" fillId="0" borderId="0" xfId="0" applyFont="1" applyAlignment="1">
      <alignment horizontal="right"/>
    </xf>
    <xf numFmtId="165" fontId="73" fillId="0" borderId="0" xfId="0" applyNumberFormat="1" applyFont="1" applyAlignment="1">
      <alignment horizontal="right"/>
    </xf>
    <xf numFmtId="1" fontId="73" fillId="0" borderId="0" xfId="0" applyNumberFormat="1" applyFont="1" applyAlignment="1">
      <alignment horizontal="right"/>
    </xf>
    <xf numFmtId="1" fontId="61" fillId="0" borderId="0" xfId="0" applyNumberFormat="1" applyFont="1"/>
    <xf numFmtId="165" fontId="61" fillId="0" borderId="0" xfId="0" applyNumberFormat="1" applyFont="1" applyAlignment="1">
      <alignment horizontal="right"/>
    </xf>
    <xf numFmtId="167" fontId="61" fillId="0" borderId="0" xfId="1" applyNumberFormat="1" applyFont="1" applyAlignment="1">
      <alignment horizontal="right"/>
    </xf>
    <xf numFmtId="166" fontId="61" fillId="0" borderId="0" xfId="0" applyNumberFormat="1" applyFont="1" applyAlignment="1">
      <alignment horizontal="right"/>
    </xf>
    <xf numFmtId="0" fontId="61" fillId="0" borderId="0" xfId="0" applyFont="1" applyAlignment="1">
      <alignment horizontal="right"/>
    </xf>
    <xf numFmtId="0" fontId="61" fillId="0" borderId="0" xfId="0" applyFont="1" applyAlignment="1">
      <alignment horizontal="center"/>
    </xf>
    <xf numFmtId="49" fontId="68" fillId="0" borderId="0" xfId="0" applyNumberFormat="1" applyFont="1" applyAlignment="1">
      <alignment horizontal="right"/>
    </xf>
    <xf numFmtId="49" fontId="68" fillId="0" borderId="0" xfId="0" applyNumberFormat="1" applyFont="1" applyAlignment="1">
      <alignment horizontal="center"/>
    </xf>
    <xf numFmtId="1" fontId="68" fillId="0" borderId="0" xfId="0" applyNumberFormat="1" applyFont="1" applyAlignment="1">
      <alignment horizontal="center"/>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165" fontId="68" fillId="0" borderId="0" xfId="0" applyNumberFormat="1" applyFont="1" applyAlignment="1">
      <alignment horizontal="center"/>
    </xf>
    <xf numFmtId="0" fontId="68" fillId="0" borderId="0" xfId="0" applyFont="1"/>
    <xf numFmtId="0" fontId="30" fillId="0" borderId="0" xfId="0" quotePrefix="1" applyFont="1" applyAlignment="1">
      <alignment horizontal="left" vertical="center"/>
    </xf>
    <xf numFmtId="0" fontId="47" fillId="4" borderId="30" xfId="0" applyFont="1" applyFill="1" applyBorder="1"/>
    <xf numFmtId="0" fontId="47" fillId="4" borderId="0" xfId="0" applyFont="1" applyFill="1"/>
    <xf numFmtId="43" fontId="47" fillId="4" borderId="0" xfId="10" applyFont="1" applyFill="1" applyBorder="1"/>
    <xf numFmtId="43" fontId="47" fillId="4" borderId="31" xfId="10" applyFont="1" applyFill="1" applyBorder="1"/>
    <xf numFmtId="0" fontId="69" fillId="0" borderId="0" xfId="0" applyFont="1"/>
    <xf numFmtId="2" fontId="58" fillId="0" borderId="0" xfId="2" applyNumberFormat="1" applyFont="1" applyAlignment="1">
      <alignment horizontal="right"/>
    </xf>
    <xf numFmtId="177" fontId="46" fillId="2" borderId="46" xfId="10" applyNumberFormat="1" applyFont="1" applyFill="1" applyBorder="1" applyAlignment="1">
      <alignment vertical="center"/>
    </xf>
    <xf numFmtId="177" fontId="46" fillId="2" borderId="46" xfId="0" applyNumberFormat="1" applyFont="1" applyFill="1" applyBorder="1" applyAlignment="1">
      <alignment vertical="center"/>
    </xf>
    <xf numFmtId="177" fontId="46" fillId="4" borderId="46" xfId="0" applyNumberFormat="1" applyFont="1" applyFill="1" applyBorder="1" applyAlignment="1">
      <alignment vertical="center"/>
    </xf>
    <xf numFmtId="177" fontId="46" fillId="2" borderId="50" xfId="0" applyNumberFormat="1" applyFont="1" applyFill="1" applyBorder="1" applyAlignment="1">
      <alignment vertical="center"/>
    </xf>
    <xf numFmtId="177" fontId="35" fillId="3" borderId="91" xfId="0" applyNumberFormat="1" applyFont="1" applyFill="1" applyBorder="1" applyAlignment="1">
      <alignment vertical="center"/>
    </xf>
    <xf numFmtId="174" fontId="46" fillId="2" borderId="61" xfId="0" applyNumberFormat="1" applyFont="1" applyFill="1" applyBorder="1" applyAlignment="1">
      <alignment vertical="center"/>
    </xf>
    <xf numFmtId="174" fontId="46" fillId="4" borderId="62" xfId="0" applyNumberFormat="1" applyFont="1" applyFill="1" applyBorder="1" applyAlignment="1">
      <alignment vertical="center"/>
    </xf>
    <xf numFmtId="174" fontId="46" fillId="2" borderId="62" xfId="0" applyNumberFormat="1" applyFont="1" applyFill="1" applyBorder="1" applyAlignment="1">
      <alignment vertical="center"/>
    </xf>
    <xf numFmtId="174" fontId="46" fillId="2" borderId="63" xfId="0" applyNumberFormat="1" applyFont="1" applyFill="1" applyBorder="1" applyAlignment="1">
      <alignment vertical="center"/>
    </xf>
    <xf numFmtId="174" fontId="46" fillId="4" borderId="64" xfId="0" applyNumberFormat="1" applyFont="1" applyFill="1" applyBorder="1" applyAlignment="1">
      <alignment vertical="center"/>
    </xf>
    <xf numFmtId="174" fontId="46" fillId="2" borderId="64" xfId="0" applyNumberFormat="1" applyFont="1" applyFill="1" applyBorder="1" applyAlignment="1">
      <alignment vertical="center"/>
    </xf>
    <xf numFmtId="174" fontId="46" fillId="0" borderId="62" xfId="0" applyNumberFormat="1" applyFont="1" applyBorder="1" applyAlignment="1">
      <alignment vertical="center"/>
    </xf>
    <xf numFmtId="174" fontId="46" fillId="4" borderId="94" xfId="0" applyNumberFormat="1" applyFont="1" applyFill="1" applyBorder="1" applyAlignment="1">
      <alignment vertical="center"/>
    </xf>
    <xf numFmtId="0" fontId="74" fillId="0" borderId="0" xfId="0" applyFont="1"/>
    <xf numFmtId="166" fontId="41" fillId="0" borderId="0" xfId="0" applyNumberFormat="1" applyFont="1" applyAlignment="1">
      <alignment horizontal="right" vertical="center"/>
    </xf>
    <xf numFmtId="166" fontId="41" fillId="0" borderId="0" xfId="6" applyNumberFormat="1" applyFont="1" applyAlignment="1">
      <alignment vertical="center"/>
    </xf>
    <xf numFmtId="166" fontId="41" fillId="0" borderId="0" xfId="0" applyNumberFormat="1" applyFont="1"/>
    <xf numFmtId="0" fontId="30" fillId="0" borderId="144" xfId="8" applyFont="1" applyBorder="1" applyAlignment="1">
      <alignment horizontal="center" vertical="center" wrapText="1"/>
    </xf>
    <xf numFmtId="22" fontId="30" fillId="0" borderId="144" xfId="8" applyNumberFormat="1" applyFont="1" applyBorder="1" applyAlignment="1">
      <alignment horizontal="center" vertical="center" wrapText="1"/>
    </xf>
    <xf numFmtId="0" fontId="44" fillId="0" borderId="144" xfId="8" applyFont="1" applyBorder="1" applyAlignment="1">
      <alignment horizontal="justify" vertical="center" wrapText="1"/>
    </xf>
    <xf numFmtId="0" fontId="44" fillId="0" borderId="144" xfId="8" applyFont="1" applyBorder="1" applyAlignment="1">
      <alignment horizontal="center" vertical="center" wrapText="1"/>
    </xf>
    <xf numFmtId="4" fontId="0" fillId="0" borderId="145" xfId="0" applyNumberFormat="1" applyBorder="1" applyAlignment="1">
      <alignment vertical="center"/>
    </xf>
    <xf numFmtId="4" fontId="0" fillId="0" borderId="146" xfId="0" applyNumberFormat="1" applyBorder="1" applyAlignment="1">
      <alignment vertical="center"/>
    </xf>
    <xf numFmtId="4" fontId="0" fillId="4" borderId="147" xfId="0" applyNumberFormat="1" applyFill="1" applyBorder="1" applyAlignment="1">
      <alignment vertical="center"/>
    </xf>
    <xf numFmtId="4" fontId="0" fillId="4" borderId="148" xfId="0" applyNumberFormat="1" applyFill="1" applyBorder="1" applyAlignment="1">
      <alignment vertical="center"/>
    </xf>
    <xf numFmtId="4" fontId="0" fillId="0" borderId="147" xfId="0" applyNumberFormat="1" applyBorder="1" applyAlignment="1">
      <alignment vertical="center"/>
    </xf>
    <xf numFmtId="4" fontId="0" fillId="0" borderId="148" xfId="0" applyNumberFormat="1" applyBorder="1" applyAlignment="1">
      <alignment vertical="center"/>
    </xf>
    <xf numFmtId="4" fontId="0" fillId="0" borderId="149" xfId="0" applyNumberFormat="1" applyBorder="1" applyAlignment="1">
      <alignment vertical="center"/>
    </xf>
    <xf numFmtId="4" fontId="0" fillId="0" borderId="150" xfId="0" applyNumberFormat="1" applyBorder="1" applyAlignment="1">
      <alignment vertical="center"/>
    </xf>
    <xf numFmtId="43" fontId="55" fillId="0" borderId="0" xfId="10" applyFont="1" applyAlignment="1">
      <alignment horizontal="center"/>
    </xf>
    <xf numFmtId="0" fontId="69" fillId="0" borderId="0" xfId="0" applyFont="1" applyAlignment="1">
      <alignment horizontal="center"/>
    </xf>
    <xf numFmtId="175" fontId="69" fillId="0" borderId="0" xfId="0" applyNumberFormat="1" applyFont="1" applyAlignment="1">
      <alignment horizontal="center"/>
    </xf>
    <xf numFmtId="4" fontId="0" fillId="2" borderId="107" xfId="0" applyNumberFormat="1" applyFill="1" applyBorder="1"/>
    <xf numFmtId="4" fontId="0" fillId="2" borderId="108" xfId="0" applyNumberFormat="1" applyFill="1" applyBorder="1" applyAlignment="1">
      <alignment horizontal="right"/>
    </xf>
    <xf numFmtId="167" fontId="0" fillId="2" borderId="109" xfId="1" applyNumberFormat="1" applyFont="1" applyFill="1" applyBorder="1"/>
    <xf numFmtId="174" fontId="75" fillId="11" borderId="0" xfId="0" applyNumberFormat="1" applyFont="1" applyFill="1"/>
    <xf numFmtId="9" fontId="13" fillId="0" borderId="78" xfId="1" applyFont="1" applyBorder="1" applyAlignment="1">
      <alignment horizontal="center" vertical="center"/>
    </xf>
    <xf numFmtId="0" fontId="0" fillId="0" borderId="0" xfId="0" quotePrefix="1" applyAlignment="1">
      <alignment vertical="center"/>
    </xf>
    <xf numFmtId="170" fontId="13" fillId="2" borderId="0" xfId="0" applyNumberFormat="1" applyFont="1" applyFill="1" applyAlignment="1">
      <alignment horizontal="center" vertical="center"/>
    </xf>
    <xf numFmtId="43" fontId="13" fillId="4" borderId="0" xfId="10" applyFont="1" applyFill="1" applyBorder="1" applyAlignment="1">
      <alignment horizontal="right" vertical="center"/>
    </xf>
    <xf numFmtId="43" fontId="13" fillId="0" borderId="0" xfId="10" applyFont="1" applyBorder="1" applyAlignment="1">
      <alignment horizontal="right" vertical="center"/>
    </xf>
    <xf numFmtId="43" fontId="13" fillId="0" borderId="0" xfId="10" applyFont="1" applyBorder="1" applyAlignment="1">
      <alignment horizontal="right"/>
    </xf>
    <xf numFmtId="0" fontId="13" fillId="0" borderId="93" xfId="0" applyFont="1" applyBorder="1"/>
    <xf numFmtId="174" fontId="13" fillId="0" borderId="93" xfId="0" applyNumberFormat="1" applyFont="1" applyBorder="1"/>
    <xf numFmtId="174" fontId="13" fillId="11" borderId="93" xfId="0" applyNumberFormat="1" applyFont="1" applyFill="1" applyBorder="1"/>
    <xf numFmtId="43" fontId="41" fillId="0" borderId="0" xfId="11" applyFont="1"/>
    <xf numFmtId="0" fontId="41" fillId="0" borderId="0" xfId="11" applyNumberFormat="1" applyFont="1"/>
    <xf numFmtId="0" fontId="41" fillId="0" borderId="0" xfId="11" applyNumberFormat="1" applyFont="1" applyAlignment="1">
      <alignment horizontal="right"/>
    </xf>
    <xf numFmtId="0" fontId="41" fillId="0" borderId="0" xfId="11" applyNumberFormat="1" applyFont="1" applyAlignment="1">
      <alignment horizontal="center"/>
    </xf>
    <xf numFmtId="0" fontId="41" fillId="0" borderId="0" xfId="0" applyFont="1" applyAlignment="1">
      <alignment horizontal="right"/>
    </xf>
    <xf numFmtId="10" fontId="30" fillId="0" borderId="131" xfId="1" applyNumberFormat="1" applyFont="1" applyBorder="1"/>
    <xf numFmtId="10" fontId="47" fillId="4" borderId="129" xfId="1" applyNumberFormat="1" applyFont="1" applyFill="1" applyBorder="1"/>
    <xf numFmtId="10" fontId="30" fillId="0" borderId="31" xfId="1" applyNumberFormat="1" applyFont="1" applyBorder="1"/>
    <xf numFmtId="0" fontId="47" fillId="0" borderId="27" xfId="0" applyFont="1" applyBorder="1" applyAlignment="1">
      <alignment vertical="center"/>
    </xf>
    <xf numFmtId="0" fontId="30" fillId="0" borderId="28" xfId="0" applyFont="1" applyBorder="1" applyAlignment="1">
      <alignment vertical="center"/>
    </xf>
    <xf numFmtId="43" fontId="30" fillId="0" borderId="28" xfId="10" applyFont="1" applyBorder="1" applyAlignment="1">
      <alignment vertical="center"/>
    </xf>
    <xf numFmtId="10" fontId="30" fillId="0" borderId="29" xfId="1" applyNumberFormat="1" applyFont="1" applyBorder="1" applyAlignment="1">
      <alignment vertical="center"/>
    </xf>
    <xf numFmtId="10" fontId="30" fillId="0" borderId="31" xfId="1" applyNumberFormat="1" applyFont="1" applyBorder="1" applyAlignment="1">
      <alignment vertical="center"/>
    </xf>
    <xf numFmtId="10" fontId="47" fillId="4" borderId="129" xfId="1" applyNumberFormat="1" applyFont="1" applyFill="1" applyBorder="1" applyAlignment="1">
      <alignment vertical="center"/>
    </xf>
    <xf numFmtId="0" fontId="47" fillId="4" borderId="32" xfId="0" applyFont="1" applyFill="1" applyBorder="1" applyAlignment="1">
      <alignment vertical="center"/>
    </xf>
    <xf numFmtId="0" fontId="47" fillId="4" borderId="33" xfId="0" applyFont="1" applyFill="1" applyBorder="1" applyAlignment="1">
      <alignment vertical="center"/>
    </xf>
    <xf numFmtId="43" fontId="47" fillId="4" borderId="33" xfId="10" applyFont="1" applyFill="1" applyBorder="1" applyAlignment="1">
      <alignment vertical="center"/>
    </xf>
    <xf numFmtId="10" fontId="47" fillId="4" borderId="34" xfId="1" applyNumberFormat="1" applyFont="1" applyFill="1" applyBorder="1" applyAlignment="1">
      <alignment vertical="center"/>
    </xf>
    <xf numFmtId="0" fontId="47" fillId="0" borderId="27" xfId="0" applyFont="1" applyBorder="1"/>
    <xf numFmtId="0" fontId="30" fillId="0" borderId="28" xfId="0" applyFont="1" applyBorder="1"/>
    <xf numFmtId="43" fontId="30" fillId="0" borderId="28" xfId="10" applyFont="1" applyBorder="1"/>
    <xf numFmtId="10" fontId="30" fillId="0" borderId="29" xfId="1" applyNumberFormat="1" applyFont="1" applyBorder="1"/>
    <xf numFmtId="0" fontId="47" fillId="4" borderId="32" xfId="0" applyFont="1" applyFill="1" applyBorder="1"/>
    <xf numFmtId="0" fontId="47" fillId="4" borderId="33" xfId="0" applyFont="1" applyFill="1" applyBorder="1"/>
    <xf numFmtId="43" fontId="47" fillId="4" borderId="33" xfId="10" applyFont="1" applyFill="1" applyBorder="1"/>
    <xf numFmtId="10" fontId="47" fillId="4" borderId="34" xfId="1" applyNumberFormat="1" applyFont="1" applyFill="1" applyBorder="1"/>
    <xf numFmtId="4" fontId="35" fillId="8" borderId="154" xfId="0" applyNumberFormat="1" applyFont="1" applyFill="1" applyBorder="1" applyAlignment="1">
      <alignment vertical="center"/>
    </xf>
    <xf numFmtId="10" fontId="35" fillId="8" borderId="155" xfId="1" applyNumberFormat="1" applyFont="1" applyFill="1" applyBorder="1" applyAlignment="1">
      <alignment vertical="center"/>
    </xf>
    <xf numFmtId="0" fontId="35" fillId="8" borderId="0" xfId="0" quotePrefix="1" applyFont="1" applyFill="1" applyAlignment="1">
      <alignment horizontal="center" vertical="center" wrapText="1"/>
    </xf>
    <xf numFmtId="17" fontId="35" fillId="8" borderId="156" xfId="0" applyNumberFormat="1" applyFont="1" applyFill="1" applyBorder="1" applyAlignment="1">
      <alignment horizontal="center" vertical="center" wrapText="1"/>
    </xf>
    <xf numFmtId="169" fontId="35" fillId="8" borderId="156" xfId="0" applyNumberFormat="1"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5" fillId="8" borderId="157" xfId="0" applyFont="1" applyFill="1" applyBorder="1" applyAlignment="1">
      <alignment horizontal="center" vertical="center" wrapText="1"/>
    </xf>
    <xf numFmtId="0" fontId="30" fillId="2" borderId="158" xfId="0" quotePrefix="1" applyFont="1" applyFill="1" applyBorder="1" applyAlignment="1">
      <alignment vertical="center" wrapText="1"/>
    </xf>
    <xf numFmtId="168" fontId="30" fillId="2" borderId="158" xfId="0" applyNumberFormat="1" applyFont="1" applyFill="1" applyBorder="1" applyAlignment="1">
      <alignment horizontal="center" vertical="center" wrapText="1"/>
    </xf>
    <xf numFmtId="0" fontId="30" fillId="2" borderId="158" xfId="1" applyNumberFormat="1" applyFont="1" applyFill="1" applyBorder="1" applyAlignment="1">
      <alignment horizontal="center" vertical="center" wrapText="1"/>
    </xf>
    <xf numFmtId="2" fontId="30" fillId="2" borderId="158" xfId="1" applyNumberFormat="1" applyFont="1" applyFill="1" applyBorder="1" applyAlignment="1">
      <alignment horizontal="center" vertical="center" wrapText="1"/>
    </xf>
    <xf numFmtId="174" fontId="30" fillId="2" borderId="158" xfId="0" applyNumberFormat="1" applyFont="1" applyFill="1" applyBorder="1" applyAlignment="1">
      <alignment horizontal="center" vertical="center" wrapText="1"/>
    </xf>
    <xf numFmtId="0" fontId="30" fillId="2" borderId="158" xfId="0" applyFont="1" applyFill="1" applyBorder="1" applyAlignment="1">
      <alignment horizontal="center" vertical="center" wrapText="1"/>
    </xf>
    <xf numFmtId="0" fontId="35" fillId="8" borderId="159" xfId="0" quotePrefix="1" applyFont="1" applyFill="1" applyBorder="1" applyAlignment="1">
      <alignment horizontal="left" vertical="center"/>
    </xf>
    <xf numFmtId="168" fontId="35" fillId="8" borderId="160" xfId="0" applyNumberFormat="1" applyFont="1" applyFill="1" applyBorder="1" applyAlignment="1">
      <alignment horizontal="right" vertical="center"/>
    </xf>
    <xf numFmtId="168" fontId="35" fillId="8" borderId="160" xfId="0" applyNumberFormat="1" applyFont="1" applyFill="1" applyBorder="1" applyAlignment="1">
      <alignment horizontal="left" vertical="center"/>
    </xf>
    <xf numFmtId="0" fontId="35" fillId="8" borderId="160" xfId="1" applyNumberFormat="1" applyFont="1" applyFill="1" applyBorder="1" applyAlignment="1">
      <alignment horizontal="left" vertical="center"/>
    </xf>
    <xf numFmtId="0" fontId="35" fillId="8" borderId="161" xfId="1" applyNumberFormat="1" applyFont="1" applyFill="1" applyBorder="1" applyAlignment="1">
      <alignment horizontal="center" vertical="center"/>
    </xf>
    <xf numFmtId="174" fontId="35" fillId="8" borderId="158" xfId="0" applyNumberFormat="1" applyFont="1" applyFill="1" applyBorder="1" applyAlignment="1">
      <alignment horizontal="center" vertical="center"/>
    </xf>
    <xf numFmtId="0" fontId="35" fillId="8" borderId="158" xfId="0" applyFont="1" applyFill="1" applyBorder="1" applyAlignment="1">
      <alignment horizontal="center" vertical="center"/>
    </xf>
    <xf numFmtId="2" fontId="65" fillId="0" borderId="0" xfId="0" applyNumberFormat="1" applyFont="1" applyAlignment="1">
      <alignment horizontal="right" vertical="center"/>
    </xf>
    <xf numFmtId="2" fontId="65" fillId="0" borderId="0" xfId="0" quotePrefix="1" applyNumberFormat="1" applyFont="1" applyAlignment="1">
      <alignment horizontal="right" vertical="center" wrapText="1"/>
    </xf>
    <xf numFmtId="0" fontId="30" fillId="0" borderId="95" xfId="8" applyFont="1" applyBorder="1" applyAlignment="1">
      <alignment horizontal="center" vertical="center" wrapText="1"/>
    </xf>
    <xf numFmtId="22" fontId="30" fillId="0" borderId="95" xfId="8" applyNumberFormat="1" applyFont="1" applyBorder="1" applyAlignment="1">
      <alignment horizontal="center" vertical="center" wrapText="1"/>
    </xf>
    <xf numFmtId="0" fontId="44" fillId="0" borderId="95" xfId="8" applyFont="1" applyBorder="1" applyAlignment="1">
      <alignment horizontal="justify" vertical="center" wrapText="1"/>
    </xf>
    <xf numFmtId="0" fontId="30" fillId="0" borderId="0" xfId="8" applyFont="1" applyAlignment="1">
      <alignment horizontal="center" vertical="center" wrapText="1"/>
    </xf>
    <xf numFmtId="22" fontId="30" fillId="0" borderId="0" xfId="8" applyNumberFormat="1" applyFont="1" applyAlignment="1">
      <alignment horizontal="center" vertical="center" wrapText="1"/>
    </xf>
    <xf numFmtId="0" fontId="44" fillId="0" borderId="0" xfId="8" applyFont="1" applyAlignment="1">
      <alignment horizontal="justify" vertical="center" wrapText="1"/>
    </xf>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5" fillId="5" borderId="38" xfId="0" applyFont="1" applyFill="1" applyBorder="1" applyAlignment="1">
      <alignment horizontal="left" vertical="center"/>
    </xf>
    <xf numFmtId="0" fontId="45"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5" fillId="5" borderId="27" xfId="0" applyFont="1" applyFill="1" applyBorder="1" applyAlignment="1">
      <alignment horizontal="left" vertical="center"/>
    </xf>
    <xf numFmtId="0" fontId="45" fillId="5" borderId="29" xfId="0" applyFont="1" applyFill="1" applyBorder="1" applyAlignment="1">
      <alignment horizontal="left" vertical="center"/>
    </xf>
    <xf numFmtId="0" fontId="45" fillId="2" borderId="30" xfId="0" applyFont="1" applyFill="1" applyBorder="1" applyAlignment="1">
      <alignment horizontal="left" vertical="center"/>
    </xf>
    <xf numFmtId="0" fontId="45" fillId="2" borderId="31" xfId="0" applyFont="1" applyFill="1" applyBorder="1" applyAlignment="1">
      <alignment horizontal="left" vertical="center"/>
    </xf>
    <xf numFmtId="0" fontId="45" fillId="5" borderId="30" xfId="0" applyFont="1" applyFill="1" applyBorder="1" applyAlignment="1">
      <alignment horizontal="left" vertical="center"/>
    </xf>
    <xf numFmtId="0" fontId="45" fillId="5" borderId="31" xfId="0" applyFont="1" applyFill="1" applyBorder="1" applyAlignment="1">
      <alignment horizontal="left" vertical="center"/>
    </xf>
    <xf numFmtId="0" fontId="45" fillId="2" borderId="32" xfId="0" applyFont="1" applyFill="1" applyBorder="1" applyAlignment="1">
      <alignment horizontal="left" vertical="center"/>
    </xf>
    <xf numFmtId="0" fontId="45"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0"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8" borderId="23" xfId="10"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0"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0"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1" applyNumberFormat="1" applyFont="1" applyFill="1" applyBorder="1" applyAlignment="1">
      <alignment horizontal="center" vertical="center" wrapText="1"/>
    </xf>
    <xf numFmtId="167" fontId="31" fillId="8" borderId="23" xfId="1"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0"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49" fillId="2" borderId="0" xfId="0" applyFont="1" applyFill="1" applyAlignment="1">
      <alignment horizontal="left" vertical="center" wrapText="1"/>
    </xf>
    <xf numFmtId="43" fontId="46" fillId="0" borderId="151" xfId="10" applyFont="1" applyBorder="1" applyAlignment="1">
      <alignment horizontal="center" vertical="center" wrapText="1"/>
    </xf>
    <xf numFmtId="43" fontId="46" fillId="0" borderId="152" xfId="10" applyFont="1" applyBorder="1" applyAlignment="1">
      <alignment horizontal="center" vertical="center" wrapText="1"/>
    </xf>
    <xf numFmtId="43" fontId="46" fillId="0" borderId="153" xfId="10" applyFont="1" applyBorder="1" applyAlignment="1">
      <alignment horizontal="center" vertical="center" wrapText="1"/>
    </xf>
    <xf numFmtId="43" fontId="35" fillId="8" borderId="82" xfId="10" applyFont="1" applyFill="1" applyBorder="1" applyAlignment="1">
      <alignment horizontal="center" vertical="center" wrapText="1"/>
    </xf>
    <xf numFmtId="43" fontId="35" fillId="8" borderId="132" xfId="10"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0" xfId="4" applyFont="1" applyFill="1" applyBorder="1" applyAlignment="1">
      <alignment horizontal="center" vertical="center"/>
    </xf>
    <xf numFmtId="0" fontId="35" fillId="8" borderId="112" xfId="4" applyFont="1" applyFill="1" applyBorder="1" applyAlignment="1">
      <alignment horizontal="center" vertical="center"/>
    </xf>
    <xf numFmtId="0" fontId="35" fillId="8" borderId="114" xfId="4" applyFont="1" applyFill="1" applyBorder="1" applyAlignment="1">
      <alignment horizontal="center" vertical="center"/>
    </xf>
    <xf numFmtId="0" fontId="35" fillId="8" borderId="85" xfId="4" applyFont="1" applyFill="1" applyBorder="1" applyAlignment="1">
      <alignment horizontal="center" vertical="center"/>
    </xf>
    <xf numFmtId="0" fontId="35" fillId="8" borderId="84" xfId="4" applyFont="1" applyFill="1" applyBorder="1" applyAlignment="1">
      <alignment horizontal="center" vertical="center"/>
    </xf>
    <xf numFmtId="0" fontId="35" fillId="8" borderId="88" xfId="4"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4" applyFont="1" applyFill="1" applyBorder="1" applyAlignment="1">
      <alignment horizontal="center" vertical="center" wrapText="1"/>
    </xf>
    <xf numFmtId="0" fontId="35" fillId="8" borderId="85" xfId="4" applyFont="1" applyFill="1" applyBorder="1" applyAlignment="1">
      <alignment horizontal="center" vertical="center" wrapText="1"/>
    </xf>
    <xf numFmtId="0" fontId="35" fillId="8" borderId="116" xfId="4" applyFont="1" applyFill="1" applyBorder="1" applyAlignment="1">
      <alignment horizontal="center" vertical="center"/>
    </xf>
    <xf numFmtId="0" fontId="35" fillId="8" borderId="44" xfId="4" applyFont="1" applyFill="1" applyBorder="1" applyAlignment="1">
      <alignment horizontal="center" vertical="center"/>
    </xf>
    <xf numFmtId="0" fontId="30" fillId="0" borderId="0" xfId="0" applyFont="1" applyAlignment="1">
      <alignment horizontal="left" vertical="center" wrapText="1"/>
    </xf>
    <xf numFmtId="0" fontId="35" fillId="10" borderId="120" xfId="5" applyFont="1" applyFill="1" applyBorder="1" applyAlignment="1">
      <alignment horizontal="center" vertical="center"/>
    </xf>
    <xf numFmtId="0" fontId="35" fillId="10" borderId="122" xfId="5" applyFont="1" applyFill="1" applyBorder="1" applyAlignment="1">
      <alignment horizontal="center" vertical="center"/>
    </xf>
    <xf numFmtId="0" fontId="35" fillId="10" borderId="124" xfId="5" applyFont="1" applyFill="1" applyBorder="1" applyAlignment="1">
      <alignment horizontal="center" vertical="center"/>
    </xf>
    <xf numFmtId="0" fontId="35" fillId="10" borderId="92" xfId="5" applyFont="1" applyFill="1" applyBorder="1" applyAlignment="1">
      <alignment horizontal="center" vertical="center"/>
    </xf>
    <xf numFmtId="0" fontId="35" fillId="10" borderId="45" xfId="5" applyFont="1" applyFill="1" applyBorder="1" applyAlignment="1">
      <alignment horizontal="center" vertical="center"/>
    </xf>
    <xf numFmtId="0" fontId="35" fillId="10" borderId="91" xfId="5" applyFont="1" applyFill="1" applyBorder="1" applyAlignment="1">
      <alignment horizontal="center" vertical="center"/>
    </xf>
    <xf numFmtId="0" fontId="35" fillId="10" borderId="121" xfId="5" applyFont="1" applyFill="1" applyBorder="1" applyAlignment="1">
      <alignment horizontal="center" vertical="center"/>
    </xf>
    <xf numFmtId="0" fontId="35" fillId="10" borderId="126" xfId="5" applyFont="1" applyFill="1" applyBorder="1" applyAlignment="1">
      <alignment horizontal="center" vertical="center"/>
    </xf>
    <xf numFmtId="0" fontId="35" fillId="10" borderId="18" xfId="5" applyFont="1" applyFill="1" applyBorder="1" applyAlignment="1">
      <alignment horizontal="center" vertical="center"/>
    </xf>
    <xf numFmtId="0" fontId="35" fillId="10" borderId="127" xfId="5" applyFont="1" applyFill="1" applyBorder="1" applyAlignment="1">
      <alignment horizontal="center" vertical="center"/>
    </xf>
    <xf numFmtId="0" fontId="30" fillId="0" borderId="0" xfId="0" applyFont="1" applyAlignment="1">
      <alignment horizontal="left" vertical="center"/>
    </xf>
    <xf numFmtId="0" fontId="39" fillId="8" borderId="141" xfId="0" applyFont="1" applyFill="1" applyBorder="1" applyAlignment="1">
      <alignment horizontal="center" vertical="center"/>
    </xf>
    <xf numFmtId="0" fontId="39" fillId="8" borderId="142" xfId="0" applyFont="1" applyFill="1" applyBorder="1" applyAlignment="1">
      <alignment horizontal="center" vertical="center"/>
    </xf>
    <xf numFmtId="0" fontId="39" fillId="8" borderId="143" xfId="0" applyFont="1" applyFill="1" applyBorder="1" applyAlignment="1">
      <alignment horizontal="center" vertical="center"/>
    </xf>
    <xf numFmtId="174" fontId="39" fillId="8" borderId="138" xfId="0" applyNumberFormat="1" applyFont="1" applyFill="1" applyBorder="1" applyAlignment="1">
      <alignment horizontal="center"/>
    </xf>
    <xf numFmtId="174" fontId="39" fillId="8" borderId="139" xfId="0" applyNumberFormat="1" applyFont="1" applyFill="1" applyBorder="1" applyAlignment="1">
      <alignment horizontal="center"/>
    </xf>
    <xf numFmtId="174" fontId="39" fillId="8" borderId="140" xfId="0" applyNumberFormat="1" applyFont="1" applyFill="1" applyBorder="1" applyAlignment="1">
      <alignment horizontal="center"/>
    </xf>
  </cellXfs>
  <cellStyles count="12">
    <cellStyle name="Comma" xfId="10" xr:uid="{9BCC24FE-5DE2-45CE-B0FE-4BFB8519D0F5}"/>
    <cellStyle name="Millares" xfId="11" builtinId="3"/>
    <cellStyle name="Millares 2" xfId="9" xr:uid="{6056FAAB-A910-4673-96C4-279031F9CDE7}"/>
    <cellStyle name="Moneda" xfId="6" builtinId="4"/>
    <cellStyle name="Normal" xfId="0" builtinId="0"/>
    <cellStyle name="Normal 2" xfId="8" xr:uid="{BEC2926D-E6EB-46F3-9DB2-9578BC747F97}"/>
    <cellStyle name="Normal 394" xfId="4" xr:uid="{00000000-0005-0000-0000-000003000000}"/>
    <cellStyle name="Normal 395" xfId="5" xr:uid="{00000000-0005-0000-0000-000004000000}"/>
    <cellStyle name="Normal 398" xfId="7"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2930.4305026500006</c:v>
                </c:pt>
                <c:pt idx="1">
                  <c:v>1412.7406565250005</c:v>
                </c:pt>
                <c:pt idx="2">
                  <c:v>0</c:v>
                </c:pt>
                <c:pt idx="3">
                  <c:v>6.0439482299999998</c:v>
                </c:pt>
                <c:pt idx="4">
                  <c:v>17.0847209625</c:v>
                </c:pt>
                <c:pt idx="5">
                  <c:v>105.83284567250001</c:v>
                </c:pt>
                <c:pt idx="6">
                  <c:v>54.311310517500011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1412.7406565250005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6.0439482299999998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17.0847209625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105.83284567250001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54.311310517500011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RER'!$M$42:$M$48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RER'!$P$42:$P$48</c:f>
              <c:numCache>
                <c:formatCode>0.00</c:formatCode>
                <c:ptCount val="7"/>
                <c:pt idx="0">
                  <c:v>28.25839225</c:v>
                </c:pt>
                <c:pt idx="1">
                  <c:v>6.49759916</c:v>
                </c:pt>
                <c:pt idx="2">
                  <c:v>4.9983784599999996</c:v>
                </c:pt>
                <c:pt idx="3">
                  <c:v>4.4283024475000001</c:v>
                </c:pt>
                <c:pt idx="4">
                  <c:v>3.5289202</c:v>
                </c:pt>
                <c:pt idx="5">
                  <c:v>3.3501379999999998</c:v>
                </c:pt>
                <c:pt idx="6">
                  <c:v>3.09292525</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RER'!$M$42:$M$48</c:f>
              <c:strCache>
                <c:ptCount val="7"/>
                <c:pt idx="0">
                  <c:v>C.S. RUBI</c:v>
                </c:pt>
                <c:pt idx="1">
                  <c:v>C.S. INTIPAMPA</c:v>
                </c:pt>
                <c:pt idx="2">
                  <c:v>C.S. TACNA SOLAR</c:v>
                </c:pt>
                <c:pt idx="3">
                  <c:v>C.S. PANAMERICANA SOLAR</c:v>
                </c:pt>
                <c:pt idx="4">
                  <c:v>C.S. MOQUEGUA FV</c:v>
                </c:pt>
                <c:pt idx="5">
                  <c:v>C.S. MAJES SOLAR</c:v>
                </c:pt>
                <c:pt idx="6">
                  <c:v>C.S. REPARTICION</c:v>
                </c:pt>
              </c:strCache>
            </c:strRef>
          </c:cat>
          <c:val>
            <c:numRef>
              <c:f>'6. FP RER'!$Q$42:$Q$48</c:f>
              <c:numCache>
                <c:formatCode>0.00</c:formatCode>
                <c:ptCount val="7"/>
                <c:pt idx="0">
                  <c:v>0.29105190298624301</c:v>
                </c:pt>
                <c:pt idx="1">
                  <c:v>0.21708680666923255</c:v>
                </c:pt>
                <c:pt idx="2">
                  <c:v>0.37190315922619049</c:v>
                </c:pt>
                <c:pt idx="3">
                  <c:v>0.32948678924851194</c:v>
                </c:pt>
                <c:pt idx="4">
                  <c:v>0.32821058407738096</c:v>
                </c:pt>
                <c:pt idx="5">
                  <c:v>0.24926622023809522</c:v>
                </c:pt>
                <c:pt idx="6">
                  <c:v>0.23012836681547619</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RER'!$M$49:$M$53</c:f>
              <c:strCache>
                <c:ptCount val="5"/>
                <c:pt idx="0">
                  <c:v>C.T. PARAMONGA</c:v>
                </c:pt>
                <c:pt idx="1">
                  <c:v>C.T. HUAYCOLORO</c:v>
                </c:pt>
                <c:pt idx="2">
                  <c:v>C.T. DOÑA CATALINA</c:v>
                </c:pt>
                <c:pt idx="3">
                  <c:v>C.T. CALLAO</c:v>
                </c:pt>
                <c:pt idx="4">
                  <c:v>C.T. LA GRINGA</c:v>
                </c:pt>
              </c:strCache>
            </c:strRef>
          </c:cat>
          <c:val>
            <c:numRef>
              <c:f>'6. FP RER'!$P$49:$P$53</c:f>
              <c:numCache>
                <c:formatCode>0.00</c:formatCode>
                <c:ptCount val="5"/>
                <c:pt idx="0">
                  <c:v>3.7944055849999998</c:v>
                </c:pt>
                <c:pt idx="1">
                  <c:v>2.7599692250000003</c:v>
                </c:pt>
                <c:pt idx="2">
                  <c:v>1.4683715749999999</c:v>
                </c:pt>
                <c:pt idx="3">
                  <c:v>1.2593227250000001</c:v>
                </c:pt>
                <c:pt idx="4">
                  <c:v>0.75610167500000003</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RER'!$M$49:$M$53</c:f>
              <c:strCache>
                <c:ptCount val="5"/>
                <c:pt idx="0">
                  <c:v>C.T. PARAMONGA</c:v>
                </c:pt>
                <c:pt idx="1">
                  <c:v>C.T. HUAYCOLORO</c:v>
                </c:pt>
                <c:pt idx="2">
                  <c:v>C.T. DOÑA CATALINA</c:v>
                </c:pt>
                <c:pt idx="3">
                  <c:v>C.T. CALLAO</c:v>
                </c:pt>
                <c:pt idx="4">
                  <c:v>C.T. LA GRINGA</c:v>
                </c:pt>
              </c:strCache>
            </c:strRef>
          </c:cat>
          <c:val>
            <c:numRef>
              <c:f>'6. FP RER'!$Q$49:$Q$53</c:f>
              <c:numCache>
                <c:formatCode>0.00</c:formatCode>
                <c:ptCount val="5"/>
                <c:pt idx="0">
                  <c:v>0.44316888187711972</c:v>
                </c:pt>
                <c:pt idx="1">
                  <c:v>0.96354183249546144</c:v>
                </c:pt>
                <c:pt idx="2">
                  <c:v>0.91044864521329372</c:v>
                </c:pt>
                <c:pt idx="3">
                  <c:v>0.78083006262400811</c:v>
                </c:pt>
                <c:pt idx="4">
                  <c:v>0.38092944513096566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2023</c:v>
                </c:pt>
              </c:strCache>
            </c:strRef>
          </c:tx>
          <c:spPr>
            <a:solidFill>
              <a:srgbClr val="0077A5"/>
            </a:solidFill>
          </c:spPr>
          <c:invertIfNegative val="0"/>
          <c:cat>
            <c:multiLvlStrRef>
              <c:f>'6. FP RER'!$T$6:$U$53</c:f>
              <c:multiLvlStrCache>
                <c:ptCount val="48"/>
                <c:lvl>
                  <c:pt idx="0">
                    <c:v>C.H. RONCADOR</c:v>
                  </c:pt>
                  <c:pt idx="1">
                    <c:v>C.H. CHANCAY</c:v>
                  </c:pt>
                  <c:pt idx="2">
                    <c:v>C.H. SANTA CRUZ II</c:v>
                  </c:pt>
                  <c:pt idx="3">
                    <c:v>C.H. RUNATULLO III</c:v>
                  </c:pt>
                  <c:pt idx="4">
                    <c:v>C.H. RUCUY</c:v>
                  </c:pt>
                  <c:pt idx="5">
                    <c:v>C.H. RENOVANDES H1</c:v>
                  </c:pt>
                  <c:pt idx="6">
                    <c:v>C.H. CARHUAQUERO IV</c:v>
                  </c:pt>
                  <c:pt idx="7">
                    <c:v>C.H. 8 DE AGOSTO</c:v>
                  </c:pt>
                  <c:pt idx="8">
                    <c:v>C.H. POTRERO</c:v>
                  </c:pt>
                  <c:pt idx="9">
                    <c:v>C.H. ÁNGEL II</c:v>
                  </c:pt>
                  <c:pt idx="10">
                    <c:v>C.H. YARUCAYA</c:v>
                  </c:pt>
                  <c:pt idx="11">
                    <c:v>C.H. ÁNGEL III</c:v>
                  </c:pt>
                  <c:pt idx="12">
                    <c:v>C.H. CAÑA BRAVA</c:v>
                  </c:pt>
                  <c:pt idx="13">
                    <c:v>C.H. RUNATULLO II</c:v>
                  </c:pt>
                  <c:pt idx="14">
                    <c:v>C.H. YANAPAMPA</c:v>
                  </c:pt>
                  <c:pt idx="15">
                    <c:v>C.H. MANTA I</c:v>
                  </c:pt>
                  <c:pt idx="16">
                    <c:v>C.H. LAS PIZARRAS</c:v>
                  </c:pt>
                  <c:pt idx="17">
                    <c:v>C.H. IMPERIAL</c:v>
                  </c:pt>
                  <c:pt idx="18">
                    <c:v>C.H. SANTA CRUZ I</c:v>
                  </c:pt>
                  <c:pt idx="19">
                    <c:v>C.H. EL CARMEN</c:v>
                  </c:pt>
                  <c:pt idx="20">
                    <c:v>C.H. ÁNGEL I</c:v>
                  </c:pt>
                  <c:pt idx="21">
                    <c:v>C.H. HUASAHUASI II</c:v>
                  </c:pt>
                  <c:pt idx="22">
                    <c:v>C.H. CANCHAYLLO</c:v>
                  </c:pt>
                  <c:pt idx="23">
                    <c:v>C.H. HUASAHUASI I</c:v>
                  </c:pt>
                  <c:pt idx="24">
                    <c:v>C.H. CARHUAC</c:v>
                  </c:pt>
                  <c:pt idx="25">
                    <c:v>C.H. LA JOYA</c:v>
                  </c:pt>
                  <c:pt idx="26">
                    <c:v>C.H. PURMACANA</c:v>
                  </c:pt>
                  <c:pt idx="27">
                    <c:v>C.H. POECHOS II</c:v>
                  </c:pt>
                  <c:pt idx="28">
                    <c:v>C.H. HER 1</c:v>
                  </c:pt>
                  <c:pt idx="29">
                    <c:v>C.E. MARCONA</c:v>
                  </c:pt>
                  <c:pt idx="30">
                    <c:v>C.E. TRES HERMANAS</c:v>
                  </c:pt>
                  <c:pt idx="31">
                    <c:v>C.E. DUNA</c:v>
                  </c:pt>
                  <c:pt idx="32">
                    <c:v>C.E. CUPISNIQUE</c:v>
                  </c:pt>
                  <c:pt idx="33">
                    <c:v>C.E. TALARA</c:v>
                  </c:pt>
                  <c:pt idx="34">
                    <c:v>C.E. WAYRA I</c:v>
                  </c:pt>
                  <c:pt idx="35">
                    <c:v>C.E. HUAMBOS</c:v>
                  </c:pt>
                  <c:pt idx="36">
                    <c:v>C.S. TACNA SOLAR</c:v>
                  </c:pt>
                  <c:pt idx="37">
                    <c:v>C.S. MOQUEGUA FV</c:v>
                  </c:pt>
                  <c:pt idx="38">
                    <c:v>C.S. PANAMERICANA SOLAR</c:v>
                  </c:pt>
                  <c:pt idx="39">
                    <c:v>C.S. RUBI</c:v>
                  </c:pt>
                  <c:pt idx="40">
                    <c:v>C.S. MAJES SOLAR</c:v>
                  </c:pt>
                  <c:pt idx="41">
                    <c:v>C.S. INTIPAMPA</c:v>
                  </c:pt>
                  <c:pt idx="42">
                    <c:v>C.S. REPARTICION</c:v>
                  </c:pt>
                  <c:pt idx="43">
                    <c:v>C.T. HUAYCOLORO</c:v>
                  </c:pt>
                  <c:pt idx="44">
                    <c:v>C.T. DOÑA CATALINA</c:v>
                  </c:pt>
                  <c:pt idx="45">
                    <c:v>C.T. CALLAO</c:v>
                  </c:pt>
                  <c:pt idx="46">
                    <c:v>C.T. PARAMONGA</c:v>
                  </c:pt>
                  <c:pt idx="47">
                    <c:v>C.T. LA GRINGA</c:v>
                  </c:pt>
                </c:lvl>
                <c:lvl>
                  <c:pt idx="0">
                    <c:v>HIDROELÉCTRICAS</c:v>
                  </c:pt>
                  <c:pt idx="29">
                    <c:v>EÓLICAS</c:v>
                  </c:pt>
                  <c:pt idx="36">
                    <c:v>SOLARES</c:v>
                  </c:pt>
                  <c:pt idx="43">
                    <c:v>TERMOELÉCTRICAS</c:v>
                  </c:pt>
                </c:lvl>
              </c:multiLvlStrCache>
            </c:multiLvlStrRef>
          </c:cat>
          <c:val>
            <c:numRef>
              <c:f>'6. FP RER'!$V$6:$V$53</c:f>
              <c:numCache>
                <c:formatCode>0.000</c:formatCode>
                <c:ptCount val="48"/>
                <c:pt idx="0">
                  <c:v>1</c:v>
                </c:pt>
                <c:pt idx="1">
                  <c:v>0.98065598927539077</c:v>
                </c:pt>
                <c:pt idx="2">
                  <c:v>0.97357649324979523</c:v>
                </c:pt>
                <c:pt idx="3">
                  <c:v>0.97331426224723261</c:v>
                </c:pt>
                <c:pt idx="4">
                  <c:v>0.96299607174611679</c:v>
                </c:pt>
                <c:pt idx="5">
                  <c:v>0.95609540721120267</c:v>
                </c:pt>
                <c:pt idx="6">
                  <c:v>0.95531473543866385</c:v>
                </c:pt>
                <c:pt idx="7">
                  <c:v>0.95442419919440757</c:v>
                </c:pt>
                <c:pt idx="8">
                  <c:v>0.94368189198697672</c:v>
                </c:pt>
                <c:pt idx="9">
                  <c:v>0.92284272633139919</c:v>
                </c:pt>
                <c:pt idx="10">
                  <c:v>0.9214803809449984</c:v>
                </c:pt>
                <c:pt idx="11">
                  <c:v>0.88994749611872825</c:v>
                </c:pt>
                <c:pt idx="12">
                  <c:v>0.880162474217559</c:v>
                </c:pt>
                <c:pt idx="13">
                  <c:v>0.876649937262302</c:v>
                </c:pt>
                <c:pt idx="14">
                  <c:v>0.87213200152136028</c:v>
                </c:pt>
                <c:pt idx="15">
                  <c:v>0.87000673384761729</c:v>
                </c:pt>
                <c:pt idx="16">
                  <c:v>0.8693630320160467</c:v>
                </c:pt>
                <c:pt idx="17">
                  <c:v>0.85595424482488425</c:v>
                </c:pt>
                <c:pt idx="18">
                  <c:v>0.83460040630757404</c:v>
                </c:pt>
                <c:pt idx="19">
                  <c:v>0.78341544848748224</c:v>
                </c:pt>
                <c:pt idx="20">
                  <c:v>0.74556498906963442</c:v>
                </c:pt>
                <c:pt idx="21">
                  <c:v>0.74246490444693047</c:v>
                </c:pt>
                <c:pt idx="22">
                  <c:v>0.73613147971371429</c:v>
                </c:pt>
                <c:pt idx="23">
                  <c:v>0.7239805100877571</c:v>
                </c:pt>
                <c:pt idx="24">
                  <c:v>0.62170925966221224</c:v>
                </c:pt>
                <c:pt idx="25">
                  <c:v>0.51260588013097752</c:v>
                </c:pt>
                <c:pt idx="26">
                  <c:v>0.41479009375209602</c:v>
                </c:pt>
                <c:pt idx="27">
                  <c:v>0.38396663058076447</c:v>
                </c:pt>
                <c:pt idx="28">
                  <c:v>0.37748404798938623</c:v>
                </c:pt>
                <c:pt idx="29">
                  <c:v>0.54164860803981285</c:v>
                </c:pt>
                <c:pt idx="30">
                  <c:v>0.50561765531271163</c:v>
                </c:pt>
                <c:pt idx="31">
                  <c:v>0.36246318332133881</c:v>
                </c:pt>
                <c:pt idx="32">
                  <c:v>0.32903380233123036</c:v>
                </c:pt>
                <c:pt idx="33">
                  <c:v>0.30348706661394087</c:v>
                </c:pt>
                <c:pt idx="34">
                  <c:v>0.29704103251470076</c:v>
                </c:pt>
                <c:pt idx="35">
                  <c:v>0.29215128592968154</c:v>
                </c:pt>
                <c:pt idx="36">
                  <c:v>0.37657554934675141</c:v>
                </c:pt>
                <c:pt idx="37">
                  <c:v>0.34981427833686446</c:v>
                </c:pt>
                <c:pt idx="38">
                  <c:v>0.34705278019067792</c:v>
                </c:pt>
                <c:pt idx="39">
                  <c:v>0.33464012745298166</c:v>
                </c:pt>
                <c:pt idx="40">
                  <c:v>0.25594126059322037</c:v>
                </c:pt>
                <c:pt idx="41">
                  <c:v>0.24809440626910617</c:v>
                </c:pt>
                <c:pt idx="42">
                  <c:v>0.24506775247175139</c:v>
                </c:pt>
                <c:pt idx="43" formatCode="_(* #,##0.00_);_(* \(#,##0.00\);_(* &quot;-&quot;??_);_(@_)">
                  <c:v>0.95802442964362045</c:v>
                </c:pt>
                <c:pt idx="44" formatCode="_(* #,##0.00_);_(* \(#,##0.00\);_(* &quot;-&quot;??_);_(@_)">
                  <c:v>0.91997818090866301</c:v>
                </c:pt>
                <c:pt idx="45" formatCode="_(* #,##0.00_);_(* \(#,##0.00\);_(* &quot;-&quot;??_);_(@_)">
                  <c:v>0.75541737288135602</c:v>
                </c:pt>
                <c:pt idx="46" formatCode="_(* #,##0.00_);_(* \(#,##0.00\);_(* &quot;-&quot;??_);_(@_)">
                  <c:v>0.69616164884835419</c:v>
                </c:pt>
                <c:pt idx="47" formatCode="_(* #,##0.00_);_(* \(#,##0.00\);_(* &quot;-&quot;??_);_(@_)">
                  <c:v>0.37770318932550173</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2022</c:v>
                </c:pt>
              </c:strCache>
            </c:strRef>
          </c:tx>
          <c:spPr>
            <a:solidFill>
              <a:schemeClr val="accent2"/>
            </a:solidFill>
          </c:spPr>
          <c:invertIfNegative val="0"/>
          <c:cat>
            <c:multiLvlStrRef>
              <c:f>'6. FP RER'!$T$6:$U$53</c:f>
              <c:multiLvlStrCache>
                <c:ptCount val="48"/>
                <c:lvl>
                  <c:pt idx="0">
                    <c:v>C.H. RONCADOR</c:v>
                  </c:pt>
                  <c:pt idx="1">
                    <c:v>C.H. CHANCAY</c:v>
                  </c:pt>
                  <c:pt idx="2">
                    <c:v>C.H. SANTA CRUZ II</c:v>
                  </c:pt>
                  <c:pt idx="3">
                    <c:v>C.H. RUNATULLO III</c:v>
                  </c:pt>
                  <c:pt idx="4">
                    <c:v>C.H. RUCUY</c:v>
                  </c:pt>
                  <c:pt idx="5">
                    <c:v>C.H. RENOVANDES H1</c:v>
                  </c:pt>
                  <c:pt idx="6">
                    <c:v>C.H. CARHUAQUERO IV</c:v>
                  </c:pt>
                  <c:pt idx="7">
                    <c:v>C.H. 8 DE AGOSTO</c:v>
                  </c:pt>
                  <c:pt idx="8">
                    <c:v>C.H. POTRERO</c:v>
                  </c:pt>
                  <c:pt idx="9">
                    <c:v>C.H. ÁNGEL II</c:v>
                  </c:pt>
                  <c:pt idx="10">
                    <c:v>C.H. YARUCAYA</c:v>
                  </c:pt>
                  <c:pt idx="11">
                    <c:v>C.H. ÁNGEL III</c:v>
                  </c:pt>
                  <c:pt idx="12">
                    <c:v>C.H. CAÑA BRAVA</c:v>
                  </c:pt>
                  <c:pt idx="13">
                    <c:v>C.H. RUNATULLO II</c:v>
                  </c:pt>
                  <c:pt idx="14">
                    <c:v>C.H. YANAPAMPA</c:v>
                  </c:pt>
                  <c:pt idx="15">
                    <c:v>C.H. MANTA I</c:v>
                  </c:pt>
                  <c:pt idx="16">
                    <c:v>C.H. LAS PIZARRAS</c:v>
                  </c:pt>
                  <c:pt idx="17">
                    <c:v>C.H. IMPERIAL</c:v>
                  </c:pt>
                  <c:pt idx="18">
                    <c:v>C.H. SANTA CRUZ I</c:v>
                  </c:pt>
                  <c:pt idx="19">
                    <c:v>C.H. EL CARMEN</c:v>
                  </c:pt>
                  <c:pt idx="20">
                    <c:v>C.H. ÁNGEL I</c:v>
                  </c:pt>
                  <c:pt idx="21">
                    <c:v>C.H. HUASAHUASI II</c:v>
                  </c:pt>
                  <c:pt idx="22">
                    <c:v>C.H. CANCHAYLLO</c:v>
                  </c:pt>
                  <c:pt idx="23">
                    <c:v>C.H. HUASAHUASI I</c:v>
                  </c:pt>
                  <c:pt idx="24">
                    <c:v>C.H. CARHUAC</c:v>
                  </c:pt>
                  <c:pt idx="25">
                    <c:v>C.H. LA JOYA</c:v>
                  </c:pt>
                  <c:pt idx="26">
                    <c:v>C.H. PURMACANA</c:v>
                  </c:pt>
                  <c:pt idx="27">
                    <c:v>C.H. POECHOS II</c:v>
                  </c:pt>
                  <c:pt idx="28">
                    <c:v>C.H. HER 1</c:v>
                  </c:pt>
                  <c:pt idx="29">
                    <c:v>C.E. MARCONA</c:v>
                  </c:pt>
                  <c:pt idx="30">
                    <c:v>C.E. TRES HERMANAS</c:v>
                  </c:pt>
                  <c:pt idx="31">
                    <c:v>C.E. DUNA</c:v>
                  </c:pt>
                  <c:pt idx="32">
                    <c:v>C.E. CUPISNIQUE</c:v>
                  </c:pt>
                  <c:pt idx="33">
                    <c:v>C.E. TALARA</c:v>
                  </c:pt>
                  <c:pt idx="34">
                    <c:v>C.E. WAYRA I</c:v>
                  </c:pt>
                  <c:pt idx="35">
                    <c:v>C.E. HUAMBOS</c:v>
                  </c:pt>
                  <c:pt idx="36">
                    <c:v>C.S. TACNA SOLAR</c:v>
                  </c:pt>
                  <c:pt idx="37">
                    <c:v>C.S. MOQUEGUA FV</c:v>
                  </c:pt>
                  <c:pt idx="38">
                    <c:v>C.S. PANAMERICANA SOLAR</c:v>
                  </c:pt>
                  <c:pt idx="39">
                    <c:v>C.S. RUBI</c:v>
                  </c:pt>
                  <c:pt idx="40">
                    <c:v>C.S. MAJES SOLAR</c:v>
                  </c:pt>
                  <c:pt idx="41">
                    <c:v>C.S. INTIPAMPA</c:v>
                  </c:pt>
                  <c:pt idx="42">
                    <c:v>C.S. REPARTICION</c:v>
                  </c:pt>
                  <c:pt idx="43">
                    <c:v>C.T. HUAYCOLORO</c:v>
                  </c:pt>
                  <c:pt idx="44">
                    <c:v>C.T. DOÑA CATALINA</c:v>
                  </c:pt>
                  <c:pt idx="45">
                    <c:v>C.T. CALLAO</c:v>
                  </c:pt>
                  <c:pt idx="46">
                    <c:v>C.T. PARAMONGA</c:v>
                  </c:pt>
                  <c:pt idx="47">
                    <c:v>C.T. LA GRINGA</c:v>
                  </c:pt>
                </c:lvl>
                <c:lvl>
                  <c:pt idx="0">
                    <c:v>HIDROELÉCTRICAS</c:v>
                  </c:pt>
                  <c:pt idx="29">
                    <c:v>EÓLICAS</c:v>
                  </c:pt>
                  <c:pt idx="36">
                    <c:v>SOLARES</c:v>
                  </c:pt>
                  <c:pt idx="43">
                    <c:v>TERMOELÉCTRICAS</c:v>
                  </c:pt>
                </c:lvl>
              </c:multiLvlStrCache>
            </c:multiLvlStrRef>
          </c:cat>
          <c:val>
            <c:numRef>
              <c:f>'6. FP RER'!$W$6:$W$53</c:f>
              <c:numCache>
                <c:formatCode>0.000</c:formatCode>
                <c:ptCount val="48"/>
                <c:pt idx="0">
                  <c:v>0.85631176112228136</c:v>
                </c:pt>
                <c:pt idx="1">
                  <c:v>0.93984019317769341</c:v>
                </c:pt>
                <c:pt idx="2">
                  <c:v>0.88046501500190288</c:v>
                </c:pt>
                <c:pt idx="3">
                  <c:v>0.9589580636304883</c:v>
                </c:pt>
                <c:pt idx="4">
                  <c:v>0.83506282636734586</c:v>
                </c:pt>
                <c:pt idx="5">
                  <c:v>0.92307987209599585</c:v>
                </c:pt>
                <c:pt idx="6">
                  <c:v>0.97024181928487474</c:v>
                </c:pt>
                <c:pt idx="7">
                  <c:v>0.91083602032923738</c:v>
                </c:pt>
                <c:pt idx="8">
                  <c:v>0.89706235611426288</c:v>
                </c:pt>
                <c:pt idx="9">
                  <c:v>0.99618694631659888</c:v>
                </c:pt>
                <c:pt idx="10">
                  <c:v>0.89817670012586392</c:v>
                </c:pt>
                <c:pt idx="11">
                  <c:v>0.9757406442755</c:v>
                </c:pt>
                <c:pt idx="12">
                  <c:v>0.93315033405075798</c:v>
                </c:pt>
                <c:pt idx="13">
                  <c:v>0.8732009819203097</c:v>
                </c:pt>
                <c:pt idx="14">
                  <c:v>0.88789587973163886</c:v>
                </c:pt>
                <c:pt idx="15">
                  <c:v>0.71569189350706852</c:v>
                </c:pt>
                <c:pt idx="16">
                  <c:v>0.90266962863395528</c:v>
                </c:pt>
                <c:pt idx="17">
                  <c:v>0.85746514964712361</c:v>
                </c:pt>
                <c:pt idx="18">
                  <c:v>0.78163301238663951</c:v>
                </c:pt>
                <c:pt idx="19">
                  <c:v>0.76695877945030488</c:v>
                </c:pt>
                <c:pt idx="20">
                  <c:v>0.99425426893571567</c:v>
                </c:pt>
                <c:pt idx="21">
                  <c:v>0.7220751875683501</c:v>
                </c:pt>
                <c:pt idx="22">
                  <c:v>0.60097086826979718</c:v>
                </c:pt>
                <c:pt idx="23">
                  <c:v>0.71007320381284245</c:v>
                </c:pt>
                <c:pt idx="24">
                  <c:v>0.61662018861423562</c:v>
                </c:pt>
                <c:pt idx="25">
                  <c:v>0.58430524040921994</c:v>
                </c:pt>
                <c:pt idx="26">
                  <c:v>0.25562847019286977</c:v>
                </c:pt>
                <c:pt idx="27">
                  <c:v>0.60499546896021816</c:v>
                </c:pt>
                <c:pt idx="28">
                  <c:v>0.45038261840088978</c:v>
                </c:pt>
                <c:pt idx="29">
                  <c:v>0.62263682015801547</c:v>
                </c:pt>
                <c:pt idx="30">
                  <c:v>0.58476480208542325</c:v>
                </c:pt>
                <c:pt idx="31">
                  <c:v>0.29871663337423765</c:v>
                </c:pt>
                <c:pt idx="32">
                  <c:v>0.42082930965072318</c:v>
                </c:pt>
                <c:pt idx="33">
                  <c:v>0.36120627579079562</c:v>
                </c:pt>
                <c:pt idx="34">
                  <c:v>0.47245548391987041</c:v>
                </c:pt>
                <c:pt idx="35">
                  <c:v>0.2405384521788472</c:v>
                </c:pt>
                <c:pt idx="36">
                  <c:v>0.35949506453036723</c:v>
                </c:pt>
                <c:pt idx="37">
                  <c:v>0.3574143230270127</c:v>
                </c:pt>
                <c:pt idx="38">
                  <c:v>0.34555259419138412</c:v>
                </c:pt>
                <c:pt idx="39">
                  <c:v>0.36200269493637038</c:v>
                </c:pt>
                <c:pt idx="40">
                  <c:v>0.26284912429378537</c:v>
                </c:pt>
                <c:pt idx="41">
                  <c:v>0.28651143202865959</c:v>
                </c:pt>
                <c:pt idx="42">
                  <c:v>0.24452874770480226</c:v>
                </c:pt>
                <c:pt idx="43">
                  <c:v>0.6230277474029523</c:v>
                </c:pt>
                <c:pt idx="44">
                  <c:v>0.793493820621469</c:v>
                </c:pt>
                <c:pt idx="45">
                  <c:v>0.82139703242702466</c:v>
                </c:pt>
                <c:pt idx="46">
                  <c:v>0.96601774183260181</c:v>
                </c:pt>
                <c:pt idx="47">
                  <c:v>0.86803186523309162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2023</c:v>
                </c:pt>
              </c:strCache>
            </c:strRef>
          </c:tx>
          <c:spPr>
            <a:solidFill>
              <a:srgbClr val="0077A5"/>
            </a:solidFill>
          </c:spPr>
          <c:invertIfNegative val="0"/>
          <c:cat>
            <c:strRef>
              <c:f>'7. Generacion empresa'!$M$4:$M$65</c:f>
              <c:strCache>
                <c:ptCount val="62"/>
                <c:pt idx="0">
                  <c:v>HYDRO PATAPO</c:v>
                </c:pt>
                <c:pt idx="1">
                  <c:v>AGROAURORA</c:v>
                </c:pt>
                <c:pt idx="2">
                  <c:v>COLCA SOLAR</c:v>
                </c:pt>
                <c:pt idx="3">
                  <c:v>IYEPSA</c:v>
                </c:pt>
                <c:pt idx="4">
                  <c:v>SHOUGESA</c:v>
                </c:pt>
                <c:pt idx="5">
                  <c:v>SAMAY I</c:v>
                </c:pt>
                <c:pt idx="6">
                  <c:v>ATRIA</c:v>
                </c:pt>
                <c:pt idx="7">
                  <c:v>SDF ENERGIA</c:v>
                </c:pt>
                <c:pt idx="8">
                  <c:v>PLANTA  ETEN</c:v>
                </c:pt>
                <c:pt idx="9">
                  <c:v>CENTRALES SANTA ROSA</c:v>
                </c:pt>
                <c:pt idx="10">
                  <c:v>TERMOSELVA</c:v>
                </c:pt>
                <c:pt idx="11">
                  <c:v>SAN JACINTO</c:v>
                </c:pt>
                <c:pt idx="12">
                  <c:v>HIDROCAÑETE</c:v>
                </c:pt>
                <c:pt idx="13">
                  <c:v>MAJA ENERGIA</c:v>
                </c:pt>
                <c:pt idx="14">
                  <c:v>ELECTRICA YANAPAMPA</c:v>
                </c:pt>
                <c:pt idx="15">
                  <c:v>CERRO VERDE</c:v>
                </c:pt>
                <c:pt idx="16">
                  <c:v>REPARTICION</c:v>
                </c:pt>
                <c:pt idx="17">
                  <c:v>EGECSAC</c:v>
                </c:pt>
                <c:pt idx="18">
                  <c:v>MAJES</c:v>
                </c:pt>
                <c:pt idx="19">
                  <c:v>MOQUEGUA FV</c:v>
                </c:pt>
                <c:pt idx="20">
                  <c:v>AIPSA</c:v>
                </c:pt>
                <c:pt idx="21">
                  <c:v>PANAMERICANA SOLAR</c:v>
                </c:pt>
                <c:pt idx="22">
                  <c:v>GR PAINO</c:v>
                </c:pt>
                <c:pt idx="23">
                  <c:v>TACNA SOLAR</c:v>
                </c:pt>
                <c:pt idx="24">
                  <c:v>BIOENERGIA</c:v>
                </c:pt>
                <c:pt idx="25">
                  <c:v>GR TARUCA</c:v>
                </c:pt>
                <c:pt idx="26">
                  <c:v>PETRAMAS</c:v>
                </c:pt>
                <c:pt idx="27">
                  <c:v>EGESUR</c:v>
                </c:pt>
                <c:pt idx="28">
                  <c:v>P.E. MARCONA</c:v>
                </c:pt>
                <c:pt idx="29">
                  <c:v>HUAURA POWER</c:v>
                </c:pt>
                <c:pt idx="30">
                  <c:v>ANDEAN POWER</c:v>
                </c:pt>
                <c:pt idx="31">
                  <c:v>RIO DOBLE</c:v>
                </c:pt>
                <c:pt idx="32">
                  <c:v>CELEPSA RENOVABLES</c:v>
                </c:pt>
                <c:pt idx="33">
                  <c:v>INVERSION DE ENERGÍA RENOVABLES</c:v>
                </c:pt>
                <c:pt idx="34">
                  <c:v>HIDROELECTRICA HUANCHOR</c:v>
                </c:pt>
                <c:pt idx="35">
                  <c:v>SANTA ANA</c:v>
                </c:pt>
                <c:pt idx="36">
                  <c:v>RIO BAÑOS</c:v>
                </c:pt>
                <c:pt idx="37">
                  <c:v>AGUA AZUL</c:v>
                </c:pt>
                <c:pt idx="38">
                  <c:v>SINERSA</c:v>
                </c:pt>
                <c:pt idx="39">
                  <c:v>ENERGÍA EÓLICA</c:v>
                </c:pt>
                <c:pt idx="40">
                  <c:v>GENERACIÓN ANDINA</c:v>
                </c:pt>
                <c:pt idx="41">
                  <c:v>P.E. TRES HERMANAS</c:v>
                </c:pt>
                <c:pt idx="42">
                  <c:v>EMGE HUANZA</c:v>
                </c:pt>
                <c:pt idx="43">
                  <c:v>ENEL GREEN POWER PERU</c:v>
                </c:pt>
                <c:pt idx="44">
                  <c:v>GEPSA</c:v>
                </c:pt>
                <c:pt idx="45">
                  <c:v>EMGE JUNÍN</c:v>
                </c:pt>
                <c:pt idx="46">
                  <c:v>LA VIRGEN</c:v>
                </c:pt>
                <c:pt idx="47">
                  <c:v>ENEL GENERACION PIURA</c:v>
                </c:pt>
                <c:pt idx="48">
                  <c:v>INLAND</c:v>
                </c:pt>
                <c:pt idx="49">
                  <c:v>SAN GABAN</c:v>
                </c:pt>
                <c:pt idx="50">
                  <c:v>TERMOCHILCA</c:v>
                </c:pt>
                <c:pt idx="51">
                  <c:v>EGASA</c:v>
                </c:pt>
                <c:pt idx="52">
                  <c:v>EGEMSA</c:v>
                </c:pt>
                <c:pt idx="53">
                  <c:v>CHINANGO</c:v>
                </c:pt>
                <c:pt idx="54">
                  <c:v>CELEPSA</c:v>
                </c:pt>
                <c:pt idx="55">
                  <c:v>ORAZUL ENERGY PERÚ</c:v>
                </c:pt>
                <c:pt idx="56">
                  <c:v>STATKRAFT</c:v>
                </c:pt>
                <c:pt idx="57">
                  <c:v>EMGE HUALLAGA</c:v>
                </c:pt>
                <c:pt idx="58">
                  <c:v>FENIX POWER</c:v>
                </c:pt>
                <c:pt idx="59">
                  <c:v>ENGIE</c:v>
                </c:pt>
                <c:pt idx="60">
                  <c:v>ENEL GENERACION PERU</c:v>
                </c:pt>
                <c:pt idx="61">
                  <c:v>ELECTROPERU</c:v>
                </c:pt>
              </c:strCache>
            </c:strRef>
          </c:cat>
          <c:val>
            <c:numRef>
              <c:f>'7. Generacion empresa'!$N$4:$N$65</c:f>
              <c:numCache>
                <c:formatCode>General</c:formatCode>
                <c:ptCount val="62"/>
                <c:pt idx="1">
                  <c:v>0</c:v>
                </c:pt>
                <c:pt idx="2">
                  <c:v>0.15665475000000001</c:v>
                </c:pt>
                <c:pt idx="3">
                  <c:v>0.18361670250000001</c:v>
                </c:pt>
                <c:pt idx="4">
                  <c:v>0.44145900250000003</c:v>
                </c:pt>
                <c:pt idx="5">
                  <c:v>0.45871258250000002</c:v>
                </c:pt>
                <c:pt idx="6">
                  <c:v>0.56025199999999997</c:v>
                </c:pt>
                <c:pt idx="7">
                  <c:v>0.68496994749999995</c:v>
                </c:pt>
                <c:pt idx="8">
                  <c:v>1.0421827925</c:v>
                </c:pt>
                <c:pt idx="9">
                  <c:v>1.0512335400000001</c:v>
                </c:pt>
                <c:pt idx="10">
                  <c:v>1.94137063</c:v>
                </c:pt>
                <c:pt idx="11">
                  <c:v>1.9526254274999999</c:v>
                </c:pt>
                <c:pt idx="12">
                  <c:v>2.2291999999999996</c:v>
                </c:pt>
                <c:pt idx="13">
                  <c:v>2.2353242500000001</c:v>
                </c:pt>
                <c:pt idx="14">
                  <c:v>2.2575873500000001</c:v>
                </c:pt>
                <c:pt idx="15">
                  <c:v>2.3344347499999998</c:v>
                </c:pt>
                <c:pt idx="16">
                  <c:v>3.09292525</c:v>
                </c:pt>
                <c:pt idx="17">
                  <c:v>3.3025711824999999</c:v>
                </c:pt>
                <c:pt idx="18">
                  <c:v>3.3501379999999998</c:v>
                </c:pt>
                <c:pt idx="19">
                  <c:v>3.5289202</c:v>
                </c:pt>
                <c:pt idx="20">
                  <c:v>3.7944055849999998</c:v>
                </c:pt>
                <c:pt idx="21">
                  <c:v>4.4283024475000001</c:v>
                </c:pt>
                <c:pt idx="22">
                  <c:v>4.4773826725000001</c:v>
                </c:pt>
                <c:pt idx="23">
                  <c:v>4.9983784599999996</c:v>
                </c:pt>
                <c:pt idx="24">
                  <c:v>5.0939247500000002</c:v>
                </c:pt>
                <c:pt idx="25">
                  <c:v>5.8031445724999999</c:v>
                </c:pt>
                <c:pt idx="26">
                  <c:v>6.2437652000000003</c:v>
                </c:pt>
                <c:pt idx="27">
                  <c:v>9.7400855899999996</c:v>
                </c:pt>
                <c:pt idx="28">
                  <c:v>9.9414852749999998</c:v>
                </c:pt>
                <c:pt idx="29">
                  <c:v>10.524519250000001</c:v>
                </c:pt>
                <c:pt idx="30">
                  <c:v>11.038627085</c:v>
                </c:pt>
                <c:pt idx="31">
                  <c:v>12.0708682075</c:v>
                </c:pt>
                <c:pt idx="32">
                  <c:v>12.4493663475</c:v>
                </c:pt>
                <c:pt idx="33">
                  <c:v>12.488799</c:v>
                </c:pt>
                <c:pt idx="34">
                  <c:v>12.669626317500001</c:v>
                </c:pt>
                <c:pt idx="35">
                  <c:v>12.987306969999999</c:v>
                </c:pt>
                <c:pt idx="36">
                  <c:v>13.107826415</c:v>
                </c:pt>
                <c:pt idx="37">
                  <c:v>13.146740900000001</c:v>
                </c:pt>
                <c:pt idx="38">
                  <c:v>16.832120234999998</c:v>
                </c:pt>
                <c:pt idx="39">
                  <c:v>17.692417832500002</c:v>
                </c:pt>
                <c:pt idx="40">
                  <c:v>19.000488259999997</c:v>
                </c:pt>
                <c:pt idx="41">
                  <c:v>29.2027009</c:v>
                </c:pt>
                <c:pt idx="42">
                  <c:v>30.032857675000002</c:v>
                </c:pt>
                <c:pt idx="43">
                  <c:v>39.723141749999996</c:v>
                </c:pt>
                <c:pt idx="44">
                  <c:v>41.066045692500005</c:v>
                </c:pt>
                <c:pt idx="45">
                  <c:v>47.188454057500003</c:v>
                </c:pt>
                <c:pt idx="46">
                  <c:v>47.923402017500003</c:v>
                </c:pt>
                <c:pt idx="47">
                  <c:v>53.042405499999994</c:v>
                </c:pt>
                <c:pt idx="48">
                  <c:v>60.478934682499997</c:v>
                </c:pt>
                <c:pt idx="49">
                  <c:v>73.889684007499994</c:v>
                </c:pt>
                <c:pt idx="50">
                  <c:v>78.771005127500004</c:v>
                </c:pt>
                <c:pt idx="51">
                  <c:v>90.826078187499988</c:v>
                </c:pt>
                <c:pt idx="52">
                  <c:v>111.74241649999998</c:v>
                </c:pt>
                <c:pt idx="53">
                  <c:v>113.03945</c:v>
                </c:pt>
                <c:pt idx="54">
                  <c:v>133.75907330000001</c:v>
                </c:pt>
                <c:pt idx="55">
                  <c:v>214.62843991999998</c:v>
                </c:pt>
                <c:pt idx="56">
                  <c:v>228.55121860499997</c:v>
                </c:pt>
                <c:pt idx="57">
                  <c:v>234.86939600250003</c:v>
                </c:pt>
                <c:pt idx="58">
                  <c:v>310.01301704250005</c:v>
                </c:pt>
                <c:pt idx="59">
                  <c:v>460.87017147749998</c:v>
                </c:pt>
                <c:pt idx="60">
                  <c:v>467.36514999999991</c:v>
                </c:pt>
                <c:pt idx="61">
                  <c:v>537.19791023999994</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2022</c:v>
                </c:pt>
              </c:strCache>
            </c:strRef>
          </c:tx>
          <c:spPr>
            <a:solidFill>
              <a:schemeClr val="accent2"/>
            </a:solidFill>
          </c:spPr>
          <c:invertIfNegative val="0"/>
          <c:cat>
            <c:strRef>
              <c:f>'7. Generacion empresa'!$M$4:$M$65</c:f>
              <c:strCache>
                <c:ptCount val="62"/>
                <c:pt idx="0">
                  <c:v>HYDRO PATAPO</c:v>
                </c:pt>
                <c:pt idx="1">
                  <c:v>AGROAURORA</c:v>
                </c:pt>
                <c:pt idx="2">
                  <c:v>COLCA SOLAR</c:v>
                </c:pt>
                <c:pt idx="3">
                  <c:v>IYEPSA</c:v>
                </c:pt>
                <c:pt idx="4">
                  <c:v>SHOUGESA</c:v>
                </c:pt>
                <c:pt idx="5">
                  <c:v>SAMAY I</c:v>
                </c:pt>
                <c:pt idx="6">
                  <c:v>ATRIA</c:v>
                </c:pt>
                <c:pt idx="7">
                  <c:v>SDF ENERGIA</c:v>
                </c:pt>
                <c:pt idx="8">
                  <c:v>PLANTA  ETEN</c:v>
                </c:pt>
                <c:pt idx="9">
                  <c:v>CENTRALES SANTA ROSA</c:v>
                </c:pt>
                <c:pt idx="10">
                  <c:v>TERMOSELVA</c:v>
                </c:pt>
                <c:pt idx="11">
                  <c:v>SAN JACINTO</c:v>
                </c:pt>
                <c:pt idx="12">
                  <c:v>HIDROCAÑETE</c:v>
                </c:pt>
                <c:pt idx="13">
                  <c:v>MAJA ENERGIA</c:v>
                </c:pt>
                <c:pt idx="14">
                  <c:v>ELECTRICA YANAPAMPA</c:v>
                </c:pt>
                <c:pt idx="15">
                  <c:v>CERRO VERDE</c:v>
                </c:pt>
                <c:pt idx="16">
                  <c:v>REPARTICION</c:v>
                </c:pt>
                <c:pt idx="17">
                  <c:v>EGECSAC</c:v>
                </c:pt>
                <c:pt idx="18">
                  <c:v>MAJES</c:v>
                </c:pt>
                <c:pt idx="19">
                  <c:v>MOQUEGUA FV</c:v>
                </c:pt>
                <c:pt idx="20">
                  <c:v>AIPSA</c:v>
                </c:pt>
                <c:pt idx="21">
                  <c:v>PANAMERICANA SOLAR</c:v>
                </c:pt>
                <c:pt idx="22">
                  <c:v>GR PAINO</c:v>
                </c:pt>
                <c:pt idx="23">
                  <c:v>TACNA SOLAR</c:v>
                </c:pt>
                <c:pt idx="24">
                  <c:v>BIOENERGIA</c:v>
                </c:pt>
                <c:pt idx="25">
                  <c:v>GR TARUCA</c:v>
                </c:pt>
                <c:pt idx="26">
                  <c:v>PETRAMAS</c:v>
                </c:pt>
                <c:pt idx="27">
                  <c:v>EGESUR</c:v>
                </c:pt>
                <c:pt idx="28">
                  <c:v>P.E. MARCONA</c:v>
                </c:pt>
                <c:pt idx="29">
                  <c:v>HUAURA POWER</c:v>
                </c:pt>
                <c:pt idx="30">
                  <c:v>ANDEAN POWER</c:v>
                </c:pt>
                <c:pt idx="31">
                  <c:v>RIO DOBLE</c:v>
                </c:pt>
                <c:pt idx="32">
                  <c:v>CELEPSA RENOVABLES</c:v>
                </c:pt>
                <c:pt idx="33">
                  <c:v>INVERSION DE ENERGÍA RENOVABLES</c:v>
                </c:pt>
                <c:pt idx="34">
                  <c:v>HIDROELECTRICA HUANCHOR</c:v>
                </c:pt>
                <c:pt idx="35">
                  <c:v>SANTA ANA</c:v>
                </c:pt>
                <c:pt idx="36">
                  <c:v>RIO BAÑOS</c:v>
                </c:pt>
                <c:pt idx="37">
                  <c:v>AGUA AZUL</c:v>
                </c:pt>
                <c:pt idx="38">
                  <c:v>SINERSA</c:v>
                </c:pt>
                <c:pt idx="39">
                  <c:v>ENERGÍA EÓLICA</c:v>
                </c:pt>
                <c:pt idx="40">
                  <c:v>GENERACIÓN ANDINA</c:v>
                </c:pt>
                <c:pt idx="41">
                  <c:v>P.E. TRES HERMANAS</c:v>
                </c:pt>
                <c:pt idx="42">
                  <c:v>EMGE HUANZA</c:v>
                </c:pt>
                <c:pt idx="43">
                  <c:v>ENEL GREEN POWER PERU</c:v>
                </c:pt>
                <c:pt idx="44">
                  <c:v>GEPSA</c:v>
                </c:pt>
                <c:pt idx="45">
                  <c:v>EMGE JUNÍN</c:v>
                </c:pt>
                <c:pt idx="46">
                  <c:v>LA VIRGEN</c:v>
                </c:pt>
                <c:pt idx="47">
                  <c:v>ENEL GENERACION PIURA</c:v>
                </c:pt>
                <c:pt idx="48">
                  <c:v>INLAND</c:v>
                </c:pt>
                <c:pt idx="49">
                  <c:v>SAN GABAN</c:v>
                </c:pt>
                <c:pt idx="50">
                  <c:v>TERMOCHILCA</c:v>
                </c:pt>
                <c:pt idx="51">
                  <c:v>EGASA</c:v>
                </c:pt>
                <c:pt idx="52">
                  <c:v>EGEMSA</c:v>
                </c:pt>
                <c:pt idx="53">
                  <c:v>CHINANGO</c:v>
                </c:pt>
                <c:pt idx="54">
                  <c:v>CELEPSA</c:v>
                </c:pt>
                <c:pt idx="55">
                  <c:v>ORAZUL ENERGY PERÚ</c:v>
                </c:pt>
                <c:pt idx="56">
                  <c:v>STATKRAFT</c:v>
                </c:pt>
                <c:pt idx="57">
                  <c:v>EMGE HUALLAGA</c:v>
                </c:pt>
                <c:pt idx="58">
                  <c:v>FENIX POWER</c:v>
                </c:pt>
                <c:pt idx="59">
                  <c:v>ENGIE</c:v>
                </c:pt>
                <c:pt idx="60">
                  <c:v>ENEL GENERACION PERU</c:v>
                </c:pt>
                <c:pt idx="61">
                  <c:v>ELECTROPERU</c:v>
                </c:pt>
              </c:strCache>
            </c:strRef>
          </c:cat>
          <c:val>
            <c:numRef>
              <c:f>'7. Generacion empresa'!$O$4:$O$65</c:f>
              <c:numCache>
                <c:formatCode>General</c:formatCode>
                <c:ptCount val="62"/>
                <c:pt idx="0">
                  <c:v>0.27635500000000002</c:v>
                </c:pt>
                <c:pt idx="1">
                  <c:v>0</c:v>
                </c:pt>
                <c:pt idx="2">
                  <c:v>0.17689199999999999</c:v>
                </c:pt>
                <c:pt idx="3">
                  <c:v>0.40749669999999999</c:v>
                </c:pt>
                <c:pt idx="4">
                  <c:v>3.384604495</c:v>
                </c:pt>
                <c:pt idx="5">
                  <c:v>0</c:v>
                </c:pt>
                <c:pt idx="6">
                  <c:v>0.31054206749999996</c:v>
                </c:pt>
                <c:pt idx="7">
                  <c:v>17.791702910000001</c:v>
                </c:pt>
                <c:pt idx="8">
                  <c:v>1.6403910000000001E-2</c:v>
                </c:pt>
                <c:pt idx="9">
                  <c:v>1.66658325</c:v>
                </c:pt>
                <c:pt idx="10">
                  <c:v>7.5406091050000006</c:v>
                </c:pt>
                <c:pt idx="11">
                  <c:v>0.36941843000000002</c:v>
                </c:pt>
                <c:pt idx="12">
                  <c:v>2.2706999999999997</c:v>
                </c:pt>
                <c:pt idx="13">
                  <c:v>2.1246458749999997</c:v>
                </c:pt>
                <c:pt idx="14">
                  <c:v>2.3666678000000001</c:v>
                </c:pt>
                <c:pt idx="15">
                  <c:v>0.39049348</c:v>
                </c:pt>
                <c:pt idx="16">
                  <c:v>3.2033306800000001</c:v>
                </c:pt>
                <c:pt idx="17">
                  <c:v>2.6829282049999996</c:v>
                </c:pt>
                <c:pt idx="18">
                  <c:v>3.5959666000000001</c:v>
                </c:pt>
                <c:pt idx="19">
                  <c:v>3.9109825825</c:v>
                </c:pt>
                <c:pt idx="20">
                  <c:v>7.4996974325000005</c:v>
                </c:pt>
                <c:pt idx="21">
                  <c:v>4.7377803075000005</c:v>
                </c:pt>
                <c:pt idx="22">
                  <c:v>2.3865346024999998</c:v>
                </c:pt>
                <c:pt idx="23">
                  <c:v>4.8764394000000006</c:v>
                </c:pt>
                <c:pt idx="24">
                  <c:v>5.8084564274999995</c:v>
                </c:pt>
                <c:pt idx="25">
                  <c:v>3.176344555</c:v>
                </c:pt>
                <c:pt idx="26">
                  <c:v>6.4533672749999997</c:v>
                </c:pt>
                <c:pt idx="27">
                  <c:v>18.370950002499999</c:v>
                </c:pt>
                <c:pt idx="28">
                  <c:v>14.5104917025</c:v>
                </c:pt>
                <c:pt idx="29">
                  <c:v>10.500089599999999</c:v>
                </c:pt>
                <c:pt idx="30">
                  <c:v>9.9216563375</c:v>
                </c:pt>
                <c:pt idx="31">
                  <c:v>11.773653069999998</c:v>
                </c:pt>
                <c:pt idx="32">
                  <c:v>11.382516770000001</c:v>
                </c:pt>
                <c:pt idx="33">
                  <c:v>11.336722740000001</c:v>
                </c:pt>
                <c:pt idx="34">
                  <c:v>12.5927930175</c:v>
                </c:pt>
                <c:pt idx="35">
                  <c:v>13.0702062675</c:v>
                </c:pt>
                <c:pt idx="36">
                  <c:v>13.1609892075</c:v>
                </c:pt>
                <c:pt idx="37">
                  <c:v>13.060900607500001</c:v>
                </c:pt>
                <c:pt idx="38">
                  <c:v>18.065279367500001</c:v>
                </c:pt>
                <c:pt idx="39">
                  <c:v>26.319048575</c:v>
                </c:pt>
                <c:pt idx="40">
                  <c:v>18.110857612499998</c:v>
                </c:pt>
                <c:pt idx="41">
                  <c:v>40.589682267500002</c:v>
                </c:pt>
                <c:pt idx="42">
                  <c:v>19.557200052500001</c:v>
                </c:pt>
                <c:pt idx="43">
                  <c:v>73.593435999999997</c:v>
                </c:pt>
                <c:pt idx="44">
                  <c:v>43.146944687499996</c:v>
                </c:pt>
                <c:pt idx="45">
                  <c:v>44.315105762499996</c:v>
                </c:pt>
                <c:pt idx="46">
                  <c:v>41.624914912500003</c:v>
                </c:pt>
                <c:pt idx="47">
                  <c:v>29.031294249999995</c:v>
                </c:pt>
                <c:pt idx="48">
                  <c:v>59.271970699999997</c:v>
                </c:pt>
                <c:pt idx="49">
                  <c:v>71.997302307499993</c:v>
                </c:pt>
                <c:pt idx="50">
                  <c:v>129.95889207499999</c:v>
                </c:pt>
                <c:pt idx="51">
                  <c:v>65.775956440000002</c:v>
                </c:pt>
                <c:pt idx="52">
                  <c:v>106.97428047</c:v>
                </c:pt>
                <c:pt idx="53">
                  <c:v>107.22554574999999</c:v>
                </c:pt>
                <c:pt idx="54">
                  <c:v>131.39487875</c:v>
                </c:pt>
                <c:pt idx="55">
                  <c:v>228.84824375000002</c:v>
                </c:pt>
                <c:pt idx="56">
                  <c:v>243.72024154750002</c:v>
                </c:pt>
                <c:pt idx="57">
                  <c:v>290.2292862475</c:v>
                </c:pt>
                <c:pt idx="58">
                  <c:v>323.40601878249998</c:v>
                </c:pt>
                <c:pt idx="59">
                  <c:v>220.10488226500001</c:v>
                </c:pt>
                <c:pt idx="60">
                  <c:v>456.40198625000011</c:v>
                </c:pt>
                <c:pt idx="61">
                  <c:v>561.09198647999995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2023</c:v>
                </c:pt>
                <c:pt idx="1">
                  <c:v>2022</c:v>
                </c:pt>
                <c:pt idx="2">
                  <c:v>2021</c:v>
                </c:pt>
              </c:numCache>
            </c:numRef>
          </c:cat>
          <c:val>
            <c:numRef>
              <c:f>('8. Max Potencia'!$G$10:$H$10,'8. Max Potencia'!$J$10)</c:f>
              <c:numCache>
                <c:formatCode>_(* #,##0.00_);_(* \(#,##0.00\);_(* "-"??_);_(@_)</c:formatCode>
                <c:ptCount val="3"/>
                <c:pt idx="0">
                  <c:v>3984.4396500000003</c:v>
                </c:pt>
                <c:pt idx="1">
                  <c:v>4553.9270599999991</c:v>
                </c:pt>
                <c:pt idx="2">
                  <c:v>4594.55105</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2023</c:v>
                </c:pt>
                <c:pt idx="1">
                  <c:v>2022</c:v>
                </c:pt>
                <c:pt idx="2">
                  <c:v>2021</c:v>
                </c:pt>
              </c:numCache>
            </c:numRef>
          </c:cat>
          <c:val>
            <c:numRef>
              <c:f>('8. Max Potencia'!$G$11:$H$11,'8. Max Potencia'!$J$11)</c:f>
              <c:numCache>
                <c:formatCode>_(* #,##0.00_);_(* \(#,##0.00\);_(* "-"??_);_(@_)</c:formatCode>
                <c:ptCount val="3"/>
                <c:pt idx="0">
                  <c:v>3116.3002300000003</c:v>
                </c:pt>
                <c:pt idx="1">
                  <c:v>2455.9372199999998</c:v>
                </c:pt>
                <c:pt idx="2">
                  <c:v>2012.4400399999995</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2023</c:v>
                </c:pt>
                <c:pt idx="1">
                  <c:v>2022</c:v>
                </c:pt>
                <c:pt idx="2">
                  <c:v>2021</c:v>
                </c:pt>
              </c:numCache>
            </c:numRef>
          </c:cat>
          <c:val>
            <c:numRef>
              <c:f>('8. Max Potencia'!$G$12:$H$12,'8. Max Potencia'!$J$12)</c:f>
              <c:numCache>
                <c:formatCode>_(* #,##0.00_);_(* \(#,##0.00\);_(* "-"??_);_(@_)</c:formatCode>
                <c:ptCount val="3"/>
                <c:pt idx="0">
                  <c:v>276.00648000000001</c:v>
                </c:pt>
                <c:pt idx="1">
                  <c:v>136.90030000000002</c:v>
                </c:pt>
                <c:pt idx="2">
                  <c:v>302.64609999999999</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Empresa'!$N$6</c:f>
              <c:strCache>
                <c:ptCount val="1"/>
                <c:pt idx="0">
                  <c:v>2023</c:v>
                </c:pt>
              </c:strCache>
            </c:strRef>
          </c:tx>
          <c:spPr>
            <a:solidFill>
              <a:srgbClr val="0077A5"/>
            </a:solidFill>
          </c:spPr>
          <c:invertIfNegative val="0"/>
          <c:cat>
            <c:strRef>
              <c:f>'9. Pot. Empresa'!$M$7:$M$69</c:f>
              <c:strCache>
                <c:ptCount val="63"/>
                <c:pt idx="0">
                  <c:v>HYDRO PATAPO</c:v>
                </c:pt>
                <c:pt idx="1">
                  <c:v>SAN JACINTO</c:v>
                </c:pt>
                <c:pt idx="2">
                  <c:v>SHOUGESA</c:v>
                </c:pt>
                <c:pt idx="3">
                  <c:v>SDF ENERGIA</c:v>
                </c:pt>
                <c:pt idx="4">
                  <c:v>SAMAY I</c:v>
                </c:pt>
                <c:pt idx="5">
                  <c:v>PLANTA  ETEN</c:v>
                </c:pt>
                <c:pt idx="6">
                  <c:v>IYEPSA</c:v>
                </c:pt>
                <c:pt idx="7">
                  <c:v>CERRO VERDE</c:v>
                </c:pt>
                <c:pt idx="8">
                  <c:v>AIPSA</c:v>
                </c:pt>
                <c:pt idx="9">
                  <c:v>AGROAURORA</c:v>
                </c:pt>
                <c:pt idx="10">
                  <c:v>COLCA SOLAR</c:v>
                </c:pt>
                <c:pt idx="11">
                  <c:v>TACNA SOLAR</c:v>
                </c:pt>
                <c:pt idx="12">
                  <c:v>REPARTICION</c:v>
                </c:pt>
                <c:pt idx="13">
                  <c:v>CENTRALES SANTA ROSA</c:v>
                </c:pt>
                <c:pt idx="14">
                  <c:v>ATRIA</c:v>
                </c:pt>
                <c:pt idx="15">
                  <c:v>MAJES</c:v>
                </c:pt>
                <c:pt idx="16">
                  <c:v>HIDROCAÑETE</c:v>
                </c:pt>
                <c:pt idx="17">
                  <c:v>ELECTRICA YANAPAMPA</c:v>
                </c:pt>
                <c:pt idx="18">
                  <c:v>MAJA ENERGIA</c:v>
                </c:pt>
                <c:pt idx="19">
                  <c:v>EGECSAC</c:v>
                </c:pt>
                <c:pt idx="20">
                  <c:v>MOQUEGUA FV</c:v>
                </c:pt>
                <c:pt idx="21">
                  <c:v>PANAMERICANA SOLAR</c:v>
                </c:pt>
                <c:pt idx="22">
                  <c:v>GR PAINO</c:v>
                </c:pt>
                <c:pt idx="23">
                  <c:v>BIOENERGIA</c:v>
                </c:pt>
                <c:pt idx="24">
                  <c:v>PETRAMAS</c:v>
                </c:pt>
                <c:pt idx="25">
                  <c:v>AGUA AZUL</c:v>
                </c:pt>
                <c:pt idx="26">
                  <c:v>GR TARUCA</c:v>
                </c:pt>
                <c:pt idx="27">
                  <c:v>ANDEAN POWER</c:v>
                </c:pt>
                <c:pt idx="28">
                  <c:v>P.E. MARCONA</c:v>
                </c:pt>
                <c:pt idx="29">
                  <c:v>HUAURA POWER</c:v>
                </c:pt>
                <c:pt idx="30">
                  <c:v>RIO DOBLE</c:v>
                </c:pt>
                <c:pt idx="31">
                  <c:v>HIDROELECTRICA HUANCHOR</c:v>
                </c:pt>
                <c:pt idx="32">
                  <c:v>CELEPSA RENOVABLES</c:v>
                </c:pt>
                <c:pt idx="33">
                  <c:v>INVERSION DE ENERGÍA RENOVABLES</c:v>
                </c:pt>
                <c:pt idx="34">
                  <c:v>RIO BAÑOS</c:v>
                </c:pt>
                <c:pt idx="35">
                  <c:v>SANTA ANA</c:v>
                </c:pt>
                <c:pt idx="36">
                  <c:v>ENERGÍA EÓLICA</c:v>
                </c:pt>
                <c:pt idx="37">
                  <c:v>SINERSA</c:v>
                </c:pt>
                <c:pt idx="38">
                  <c:v>EGESUR</c:v>
                </c:pt>
                <c:pt idx="39">
                  <c:v>GENERACIÓN ANDINA</c:v>
                </c:pt>
                <c:pt idx="40">
                  <c:v>P.E. TRES HERMANAS</c:v>
                </c:pt>
                <c:pt idx="41">
                  <c:v>EMGE HUANZA</c:v>
                </c:pt>
                <c:pt idx="42">
                  <c:v>GEPSA</c:v>
                </c:pt>
                <c:pt idx="43">
                  <c:v>LA VIRGEN</c:v>
                </c:pt>
                <c:pt idx="44">
                  <c:v>TERMOSELVA</c:v>
                </c:pt>
                <c:pt idx="45">
                  <c:v>EGASA</c:v>
                </c:pt>
                <c:pt idx="46">
                  <c:v>EMGE JUNÍN</c:v>
                </c:pt>
                <c:pt idx="47">
                  <c:v>ENEL GENERACION PIURA</c:v>
                </c:pt>
                <c:pt idx="48">
                  <c:v>INLAND</c:v>
                </c:pt>
                <c:pt idx="49">
                  <c:v>SAN GABAN</c:v>
                </c:pt>
                <c:pt idx="50">
                  <c:v>ENEL GREEN POWER PERU</c:v>
                </c:pt>
                <c:pt idx="51">
                  <c:v>CELEPSA</c:v>
                </c:pt>
                <c:pt idx="52">
                  <c:v>EGEMSA</c:v>
                </c:pt>
                <c:pt idx="53">
                  <c:v>CHINANGO</c:v>
                </c:pt>
                <c:pt idx="54">
                  <c:v>STATKRAFT</c:v>
                </c:pt>
                <c:pt idx="55">
                  <c:v>TERMOCHILCA</c:v>
                </c:pt>
                <c:pt idx="56">
                  <c:v>EMGE HUALLAGA</c:v>
                </c:pt>
                <c:pt idx="57">
                  <c:v>ORAZUL ENERGY PERÚ</c:v>
                </c:pt>
                <c:pt idx="58">
                  <c:v>FENIX POWER</c:v>
                </c:pt>
                <c:pt idx="59">
                  <c:v>ENEL GENERACION PERU</c:v>
                </c:pt>
                <c:pt idx="60">
                  <c:v>ELECTROPERU</c:v>
                </c:pt>
                <c:pt idx="61">
                  <c:v>ENGIE</c:v>
                </c:pt>
                <c:pt idx="62">
                  <c:v>KALLPA</c:v>
                </c:pt>
              </c:strCache>
            </c:strRef>
          </c:cat>
          <c:val>
            <c:numRef>
              <c:f>'9. Pot. Empresa'!$N$7:$N$69</c:f>
              <c:numCache>
                <c:formatCode>0</c:formatCode>
                <c:ptCount val="63"/>
                <c:pt idx="1">
                  <c:v>0</c:v>
                </c:pt>
                <c:pt idx="2">
                  <c:v>0</c:v>
                </c:pt>
                <c:pt idx="3">
                  <c:v>0</c:v>
                </c:pt>
                <c:pt idx="4">
                  <c:v>0</c:v>
                </c:pt>
                <c:pt idx="5">
                  <c:v>0</c:v>
                </c:pt>
                <c:pt idx="6">
                  <c:v>0</c:v>
                </c:pt>
                <c:pt idx="7">
                  <c:v>0</c:v>
                </c:pt>
                <c:pt idx="8">
                  <c:v>0</c:v>
                </c:pt>
                <c:pt idx="9">
                  <c:v>0</c:v>
                </c:pt>
                <c:pt idx="10">
                  <c:v>1.4E-2</c:v>
                </c:pt>
                <c:pt idx="11">
                  <c:v>2.0389999999999998E-2</c:v>
                </c:pt>
                <c:pt idx="12">
                  <c:v>0.51100000000000001</c:v>
                </c:pt>
                <c:pt idx="13">
                  <c:v>0.90869</c:v>
                </c:pt>
                <c:pt idx="14">
                  <c:v>1.2694399999999999</c:v>
                </c:pt>
                <c:pt idx="15">
                  <c:v>2.96</c:v>
                </c:pt>
                <c:pt idx="16">
                  <c:v>3.2</c:v>
                </c:pt>
                <c:pt idx="17">
                  <c:v>3.5679999999999996</c:v>
                </c:pt>
                <c:pt idx="18">
                  <c:v>3.597</c:v>
                </c:pt>
                <c:pt idx="19">
                  <c:v>4.3477100000000002</c:v>
                </c:pt>
                <c:pt idx="20">
                  <c:v>5.9037800000000002</c:v>
                </c:pt>
                <c:pt idx="21">
                  <c:v>6.8206699999999998</c:v>
                </c:pt>
                <c:pt idx="22">
                  <c:v>7.8878199999999996</c:v>
                </c:pt>
                <c:pt idx="23">
                  <c:v>8.25</c:v>
                </c:pt>
                <c:pt idx="24">
                  <c:v>9.9507000000000012</c:v>
                </c:pt>
                <c:pt idx="25">
                  <c:v>9.9996899999999993</c:v>
                </c:pt>
                <c:pt idx="26">
                  <c:v>10.745760000000001</c:v>
                </c:pt>
                <c:pt idx="27">
                  <c:v>16.150320000000001</c:v>
                </c:pt>
                <c:pt idx="28">
                  <c:v>16.313020000000002</c:v>
                </c:pt>
                <c:pt idx="29">
                  <c:v>18.052</c:v>
                </c:pt>
                <c:pt idx="30">
                  <c:v>18.830680000000001</c:v>
                </c:pt>
                <c:pt idx="31">
                  <c:v>18.918289999999999</c:v>
                </c:pt>
                <c:pt idx="32">
                  <c:v>19.727370000000001</c:v>
                </c:pt>
                <c:pt idx="33">
                  <c:v>19.915039999999998</c:v>
                </c:pt>
                <c:pt idx="34">
                  <c:v>19.980229999999999</c:v>
                </c:pt>
                <c:pt idx="35">
                  <c:v>20.89264</c:v>
                </c:pt>
                <c:pt idx="36">
                  <c:v>24.139200000000002</c:v>
                </c:pt>
                <c:pt idx="37">
                  <c:v>24.244960000000003</c:v>
                </c:pt>
                <c:pt idx="38">
                  <c:v>26.121200000000002</c:v>
                </c:pt>
                <c:pt idx="39">
                  <c:v>29.360679999999995</c:v>
                </c:pt>
                <c:pt idx="40">
                  <c:v>45.714469999999999</c:v>
                </c:pt>
                <c:pt idx="41">
                  <c:v>46.626989999999999</c:v>
                </c:pt>
                <c:pt idx="42">
                  <c:v>55.347809999999996</c:v>
                </c:pt>
                <c:pt idx="43">
                  <c:v>59.895870000000002</c:v>
                </c:pt>
                <c:pt idx="44">
                  <c:v>60.794280000000001</c:v>
                </c:pt>
                <c:pt idx="45">
                  <c:v>69.017170000000007</c:v>
                </c:pt>
                <c:pt idx="46">
                  <c:v>69.939610000000002</c:v>
                </c:pt>
                <c:pt idx="47">
                  <c:v>87.534000000000006</c:v>
                </c:pt>
                <c:pt idx="48">
                  <c:v>90.691609999999997</c:v>
                </c:pt>
                <c:pt idx="49">
                  <c:v>109.95885000000001</c:v>
                </c:pt>
                <c:pt idx="50">
                  <c:v>126.879</c:v>
                </c:pt>
                <c:pt idx="51">
                  <c:v>160.30700000000002</c:v>
                </c:pt>
                <c:pt idx="52">
                  <c:v>166.03899999999999</c:v>
                </c:pt>
                <c:pt idx="53">
                  <c:v>173.173</c:v>
                </c:pt>
                <c:pt idx="54">
                  <c:v>216.00424000000004</c:v>
                </c:pt>
                <c:pt idx="55">
                  <c:v>278.49730999999997</c:v>
                </c:pt>
                <c:pt idx="56">
                  <c:v>321.04184999999995</c:v>
                </c:pt>
                <c:pt idx="57">
                  <c:v>338.88740999999999</c:v>
                </c:pt>
                <c:pt idx="58">
                  <c:v>550.43043999999998</c:v>
                </c:pt>
                <c:pt idx="59">
                  <c:v>795.97600000000011</c:v>
                </c:pt>
                <c:pt idx="60">
                  <c:v>818.88095999999996</c:v>
                </c:pt>
                <c:pt idx="61">
                  <c:v>1078.4821800000002</c:v>
                </c:pt>
                <c:pt idx="62">
                  <c:v>1324.3345899999999</c:v>
                </c:pt>
              </c:numCache>
            </c:numRef>
          </c:val>
          <c:extLst>
            <c:ext xmlns:c16="http://schemas.microsoft.com/office/drawing/2014/chart" uri="{C3380CC4-5D6E-409C-BE32-E72D297353CC}">
              <c16:uniqueId val="{00000000-2FE3-4C80-BE80-2E47F9F8F14C}"/>
            </c:ext>
          </c:extLst>
        </c:ser>
        <c:ser>
          <c:idx val="1"/>
          <c:order val="1"/>
          <c:tx>
            <c:strRef>
              <c:f>'9. Pot. Empresa'!$O$6</c:f>
              <c:strCache>
                <c:ptCount val="1"/>
                <c:pt idx="0">
                  <c:v>2022</c:v>
                </c:pt>
              </c:strCache>
            </c:strRef>
          </c:tx>
          <c:spPr>
            <a:solidFill>
              <a:srgbClr val="FF6600"/>
            </a:solidFill>
          </c:spPr>
          <c:invertIfNegative val="0"/>
          <c:cat>
            <c:strRef>
              <c:f>'9. Pot. Empresa'!$M$7:$M$69</c:f>
              <c:strCache>
                <c:ptCount val="63"/>
                <c:pt idx="0">
                  <c:v>HYDRO PATAPO</c:v>
                </c:pt>
                <c:pt idx="1">
                  <c:v>SAN JACINTO</c:v>
                </c:pt>
                <c:pt idx="2">
                  <c:v>SHOUGESA</c:v>
                </c:pt>
                <c:pt idx="3">
                  <c:v>SDF ENERGIA</c:v>
                </c:pt>
                <c:pt idx="4">
                  <c:v>SAMAY I</c:v>
                </c:pt>
                <c:pt idx="5">
                  <c:v>PLANTA  ETEN</c:v>
                </c:pt>
                <c:pt idx="6">
                  <c:v>IYEPSA</c:v>
                </c:pt>
                <c:pt idx="7">
                  <c:v>CERRO VERDE</c:v>
                </c:pt>
                <c:pt idx="8">
                  <c:v>AIPSA</c:v>
                </c:pt>
                <c:pt idx="9">
                  <c:v>AGROAURORA</c:v>
                </c:pt>
                <c:pt idx="10">
                  <c:v>COLCA SOLAR</c:v>
                </c:pt>
                <c:pt idx="11">
                  <c:v>TACNA SOLAR</c:v>
                </c:pt>
                <c:pt idx="12">
                  <c:v>REPARTICION</c:v>
                </c:pt>
                <c:pt idx="13">
                  <c:v>CENTRALES SANTA ROSA</c:v>
                </c:pt>
                <c:pt idx="14">
                  <c:v>ATRIA</c:v>
                </c:pt>
                <c:pt idx="15">
                  <c:v>MAJES</c:v>
                </c:pt>
                <c:pt idx="16">
                  <c:v>HIDROCAÑETE</c:v>
                </c:pt>
                <c:pt idx="17">
                  <c:v>ELECTRICA YANAPAMPA</c:v>
                </c:pt>
                <c:pt idx="18">
                  <c:v>MAJA ENERGIA</c:v>
                </c:pt>
                <c:pt idx="19">
                  <c:v>EGECSAC</c:v>
                </c:pt>
                <c:pt idx="20">
                  <c:v>MOQUEGUA FV</c:v>
                </c:pt>
                <c:pt idx="21">
                  <c:v>PANAMERICANA SOLAR</c:v>
                </c:pt>
                <c:pt idx="22">
                  <c:v>GR PAINO</c:v>
                </c:pt>
                <c:pt idx="23">
                  <c:v>BIOENERGIA</c:v>
                </c:pt>
                <c:pt idx="24">
                  <c:v>PETRAMAS</c:v>
                </c:pt>
                <c:pt idx="25">
                  <c:v>AGUA AZUL</c:v>
                </c:pt>
                <c:pt idx="26">
                  <c:v>GR TARUCA</c:v>
                </c:pt>
                <c:pt idx="27">
                  <c:v>ANDEAN POWER</c:v>
                </c:pt>
                <c:pt idx="28">
                  <c:v>P.E. MARCONA</c:v>
                </c:pt>
                <c:pt idx="29">
                  <c:v>HUAURA POWER</c:v>
                </c:pt>
                <c:pt idx="30">
                  <c:v>RIO DOBLE</c:v>
                </c:pt>
                <c:pt idx="31">
                  <c:v>HIDROELECTRICA HUANCHOR</c:v>
                </c:pt>
                <c:pt idx="32">
                  <c:v>CELEPSA RENOVABLES</c:v>
                </c:pt>
                <c:pt idx="33">
                  <c:v>INVERSION DE ENERGÍA RENOVABLES</c:v>
                </c:pt>
                <c:pt idx="34">
                  <c:v>RIO BAÑOS</c:v>
                </c:pt>
                <c:pt idx="35">
                  <c:v>SANTA ANA</c:v>
                </c:pt>
                <c:pt idx="36">
                  <c:v>ENERGÍA EÓLICA</c:v>
                </c:pt>
                <c:pt idx="37">
                  <c:v>SINERSA</c:v>
                </c:pt>
                <c:pt idx="38">
                  <c:v>EGESUR</c:v>
                </c:pt>
                <c:pt idx="39">
                  <c:v>GENERACIÓN ANDINA</c:v>
                </c:pt>
                <c:pt idx="40">
                  <c:v>P.E. TRES HERMANAS</c:v>
                </c:pt>
                <c:pt idx="41">
                  <c:v>EMGE HUANZA</c:v>
                </c:pt>
                <c:pt idx="42">
                  <c:v>GEPSA</c:v>
                </c:pt>
                <c:pt idx="43">
                  <c:v>LA VIRGEN</c:v>
                </c:pt>
                <c:pt idx="44">
                  <c:v>TERMOSELVA</c:v>
                </c:pt>
                <c:pt idx="45">
                  <c:v>EGASA</c:v>
                </c:pt>
                <c:pt idx="46">
                  <c:v>EMGE JUNÍN</c:v>
                </c:pt>
                <c:pt idx="47">
                  <c:v>ENEL GENERACION PIURA</c:v>
                </c:pt>
                <c:pt idx="48">
                  <c:v>INLAND</c:v>
                </c:pt>
                <c:pt idx="49">
                  <c:v>SAN GABAN</c:v>
                </c:pt>
                <c:pt idx="50">
                  <c:v>ENEL GREEN POWER PERU</c:v>
                </c:pt>
                <c:pt idx="51">
                  <c:v>CELEPSA</c:v>
                </c:pt>
                <c:pt idx="52">
                  <c:v>EGEMSA</c:v>
                </c:pt>
                <c:pt idx="53">
                  <c:v>CHINANGO</c:v>
                </c:pt>
                <c:pt idx="54">
                  <c:v>STATKRAFT</c:v>
                </c:pt>
                <c:pt idx="55">
                  <c:v>TERMOCHILCA</c:v>
                </c:pt>
                <c:pt idx="56">
                  <c:v>EMGE HUALLAGA</c:v>
                </c:pt>
                <c:pt idx="57">
                  <c:v>ORAZUL ENERGY PERÚ</c:v>
                </c:pt>
                <c:pt idx="58">
                  <c:v>FENIX POWER</c:v>
                </c:pt>
                <c:pt idx="59">
                  <c:v>ENEL GENERACION PERU</c:v>
                </c:pt>
                <c:pt idx="60">
                  <c:v>ELECTROPERU</c:v>
                </c:pt>
                <c:pt idx="61">
                  <c:v>ENGIE</c:v>
                </c:pt>
                <c:pt idx="62">
                  <c:v>KALLPA</c:v>
                </c:pt>
              </c:strCache>
            </c:strRef>
          </c:cat>
          <c:val>
            <c:numRef>
              <c:f>'9. Pot. Empresa'!$O$7:$O$69</c:f>
              <c:numCache>
                <c:formatCode>0</c:formatCode>
                <c:ptCount val="63"/>
                <c:pt idx="0">
                  <c:v>0</c:v>
                </c:pt>
                <c:pt idx="1">
                  <c:v>0</c:v>
                </c:pt>
                <c:pt idx="2">
                  <c:v>0</c:v>
                </c:pt>
                <c:pt idx="3">
                  <c:v>26.05641</c:v>
                </c:pt>
                <c:pt idx="4">
                  <c:v>0</c:v>
                </c:pt>
                <c:pt idx="5">
                  <c:v>0</c:v>
                </c:pt>
                <c:pt idx="6">
                  <c:v>0</c:v>
                </c:pt>
                <c:pt idx="7">
                  <c:v>0</c:v>
                </c:pt>
                <c:pt idx="8">
                  <c:v>13.233359999999999</c:v>
                </c:pt>
                <c:pt idx="9">
                  <c:v>0</c:v>
                </c:pt>
                <c:pt idx="10">
                  <c:v>0</c:v>
                </c:pt>
                <c:pt idx="11">
                  <c:v>0</c:v>
                </c:pt>
                <c:pt idx="12">
                  <c:v>0</c:v>
                </c:pt>
                <c:pt idx="13">
                  <c:v>3.1549499999999999</c:v>
                </c:pt>
                <c:pt idx="14">
                  <c:v>0.52566999999999997</c:v>
                </c:pt>
                <c:pt idx="15">
                  <c:v>0</c:v>
                </c:pt>
                <c:pt idx="16">
                  <c:v>2.8</c:v>
                </c:pt>
                <c:pt idx="17">
                  <c:v>3.7050000000000001</c:v>
                </c:pt>
                <c:pt idx="18">
                  <c:v>3.694</c:v>
                </c:pt>
                <c:pt idx="19">
                  <c:v>5.1179000000000006</c:v>
                </c:pt>
                <c:pt idx="20">
                  <c:v>0</c:v>
                </c:pt>
                <c:pt idx="21">
                  <c:v>0</c:v>
                </c:pt>
                <c:pt idx="22">
                  <c:v>5.8799999999999998E-3</c:v>
                </c:pt>
                <c:pt idx="23">
                  <c:v>9.4425799999999995</c:v>
                </c:pt>
                <c:pt idx="24">
                  <c:v>10.316599999999999</c:v>
                </c:pt>
                <c:pt idx="25">
                  <c:v>19.972529999999999</c:v>
                </c:pt>
                <c:pt idx="26">
                  <c:v>1.1910000000000001</c:v>
                </c:pt>
                <c:pt idx="27">
                  <c:v>19.175850000000001</c:v>
                </c:pt>
                <c:pt idx="28">
                  <c:v>13.748060000000001</c:v>
                </c:pt>
                <c:pt idx="29">
                  <c:v>9.3076899999999991</c:v>
                </c:pt>
                <c:pt idx="30">
                  <c:v>18.51557</c:v>
                </c:pt>
                <c:pt idx="31">
                  <c:v>19.016210000000001</c:v>
                </c:pt>
                <c:pt idx="32">
                  <c:v>19.82855</c:v>
                </c:pt>
                <c:pt idx="33">
                  <c:v>19.462150000000001</c:v>
                </c:pt>
                <c:pt idx="34">
                  <c:v>19.959029999999998</c:v>
                </c:pt>
                <c:pt idx="35">
                  <c:v>20.125959999999999</c:v>
                </c:pt>
                <c:pt idx="36">
                  <c:v>29.963999999999999</c:v>
                </c:pt>
                <c:pt idx="37">
                  <c:v>27.460039999999999</c:v>
                </c:pt>
                <c:pt idx="38">
                  <c:v>48.132210000000001</c:v>
                </c:pt>
                <c:pt idx="39">
                  <c:v>27.306080000000001</c:v>
                </c:pt>
                <c:pt idx="40">
                  <c:v>43.980359999999997</c:v>
                </c:pt>
                <c:pt idx="41">
                  <c:v>47.372480000000003</c:v>
                </c:pt>
                <c:pt idx="42">
                  <c:v>67.763549999999995</c:v>
                </c:pt>
                <c:pt idx="43">
                  <c:v>74.250879999999995</c:v>
                </c:pt>
                <c:pt idx="44">
                  <c:v>0</c:v>
                </c:pt>
                <c:pt idx="45">
                  <c:v>109.46476999999999</c:v>
                </c:pt>
                <c:pt idx="46">
                  <c:v>62.914439999999999</c:v>
                </c:pt>
                <c:pt idx="47">
                  <c:v>47.892000000000003</c:v>
                </c:pt>
                <c:pt idx="48">
                  <c:v>90.378320000000002</c:v>
                </c:pt>
                <c:pt idx="49">
                  <c:v>110.72104</c:v>
                </c:pt>
                <c:pt idx="50">
                  <c:v>48.011000000000003</c:v>
                </c:pt>
                <c:pt idx="51">
                  <c:v>204.80700000000002</c:v>
                </c:pt>
                <c:pt idx="52">
                  <c:v>162.03138999999999</c:v>
                </c:pt>
                <c:pt idx="53">
                  <c:v>168.965</c:v>
                </c:pt>
                <c:pt idx="54">
                  <c:v>409.38409999999999</c:v>
                </c:pt>
                <c:pt idx="55">
                  <c:v>282.49957000000001</c:v>
                </c:pt>
                <c:pt idx="56">
                  <c:v>469.51247000000001</c:v>
                </c:pt>
                <c:pt idx="57">
                  <c:v>362.99900000000002</c:v>
                </c:pt>
                <c:pt idx="58">
                  <c:v>562.50548000000003</c:v>
                </c:pt>
                <c:pt idx="59">
                  <c:v>823.12299999999993</c:v>
                </c:pt>
                <c:pt idx="60">
                  <c:v>864.28847999999994</c:v>
                </c:pt>
                <c:pt idx="61">
                  <c:v>476.75297</c:v>
                </c:pt>
                <c:pt idx="62">
                  <c:v>1265.93</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mayo 2022
INFSGI-MES-05-2022
14/06/2022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2021</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c:v>225.2599945</c:v>
                </c:pt>
                <c:pt idx="18">
                  <c:v>225.3280029</c:v>
                </c:pt>
                <c:pt idx="19">
                  <c:v>225.2279968</c:v>
                </c:pt>
                <c:pt idx="20">
                  <c:v>225.25399780000001</c:v>
                </c:pt>
                <c:pt idx="21">
                  <c:v>223.9129944</c:v>
                </c:pt>
                <c:pt idx="22">
                  <c:v>221.64599609999999</c:v>
                </c:pt>
                <c:pt idx="23">
                  <c:v>218.4100037</c:v>
                </c:pt>
                <c:pt idx="24">
                  <c:v>215.33500670000001</c:v>
                </c:pt>
                <c:pt idx="25">
                  <c:v>212.2720032</c:v>
                </c:pt>
                <c:pt idx="26">
                  <c:v>209.19900509999999</c:v>
                </c:pt>
                <c:pt idx="27">
                  <c:v>207.8560028</c:v>
                </c:pt>
                <c:pt idx="28">
                  <c:v>200.68699649999999</c:v>
                </c:pt>
                <c:pt idx="29">
                  <c:v>197.3999939</c:v>
                </c:pt>
                <c:pt idx="30">
                  <c:v>193.71000670000001</c:v>
                </c:pt>
                <c:pt idx="31">
                  <c:v>187.46000670000001</c:v>
                </c:pt>
                <c:pt idx="32">
                  <c:v>186.17300420000001</c:v>
                </c:pt>
                <c:pt idx="33">
                  <c:v>181.1710052</c:v>
                </c:pt>
                <c:pt idx="34">
                  <c:v>176.38999939999999</c:v>
                </c:pt>
                <c:pt idx="35">
                  <c:v>173.66999820000001</c:v>
                </c:pt>
                <c:pt idx="36">
                  <c:v>170.7400055</c:v>
                </c:pt>
                <c:pt idx="37">
                  <c:v>167.64599609999999</c:v>
                </c:pt>
                <c:pt idx="38">
                  <c:v>157.6900024</c:v>
                </c:pt>
                <c:pt idx="39">
                  <c:v>154.1900024</c:v>
                </c:pt>
                <c:pt idx="40">
                  <c:v>148.9620056</c:v>
                </c:pt>
                <c:pt idx="41">
                  <c:v>144.58599849999999</c:v>
                </c:pt>
                <c:pt idx="42">
                  <c:v>140.38000489999999</c:v>
                </c:pt>
                <c:pt idx="43">
                  <c:v>133.1060028</c:v>
                </c:pt>
                <c:pt idx="44">
                  <c:v>128.5500031</c:v>
                </c:pt>
                <c:pt idx="45">
                  <c:v>123.4499969</c:v>
                </c:pt>
                <c:pt idx="46">
                  <c:v>121.12899779999999</c:v>
                </c:pt>
                <c:pt idx="47">
                  <c:v>122.5419998</c:v>
                </c:pt>
                <c:pt idx="48">
                  <c:v>129.1600037</c:v>
                </c:pt>
                <c:pt idx="49">
                  <c:v>131.85099790000001</c:v>
                </c:pt>
                <c:pt idx="50">
                  <c:v>128.24499510000001</c:v>
                </c:pt>
                <c:pt idx="51">
                  <c:v>127.295997619628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2022</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126.9000015</c:v>
                </c:pt>
                <c:pt idx="1">
                  <c:v>126.61000060000001</c:v>
                </c:pt>
                <c:pt idx="2">
                  <c:v>130.51999660000001</c:v>
                </c:pt>
                <c:pt idx="3">
                  <c:v>137.43000029999999</c:v>
                </c:pt>
                <c:pt idx="4">
                  <c:v>153.3059998</c:v>
                </c:pt>
                <c:pt idx="5">
                  <c:v>137.3439941</c:v>
                </c:pt>
                <c:pt idx="6">
                  <c:v>148.73699569999999</c:v>
                </c:pt>
                <c:pt idx="7">
                  <c:v>152.691</c:v>
                </c:pt>
                <c:pt idx="8">
                  <c:v>167.3399963</c:v>
                </c:pt>
                <c:pt idx="9">
                  <c:v>164.90809684999999</c:v>
                </c:pt>
                <c:pt idx="10">
                  <c:v>184.82999999999998</c:v>
                </c:pt>
                <c:pt idx="11">
                  <c:v>191.4409943</c:v>
                </c:pt>
                <c:pt idx="12">
                  <c:v>207.84</c:v>
                </c:pt>
                <c:pt idx="13">
                  <c:v>216.294998168945</c:v>
                </c:pt>
                <c:pt idx="14">
                  <c:v>220.08099369999999</c:v>
                </c:pt>
                <c:pt idx="15">
                  <c:v>221.83999633789</c:v>
                </c:pt>
                <c:pt idx="16">
                  <c:v>220.96049318788999</c:v>
                </c:pt>
                <c:pt idx="17">
                  <c:v>221.41</c:v>
                </c:pt>
                <c:pt idx="18">
                  <c:v>222.52999877929599</c:v>
                </c:pt>
                <c:pt idx="19">
                  <c:v>222.47799682617099</c:v>
                </c:pt>
                <c:pt idx="20">
                  <c:v>221.33000183105401</c:v>
                </c:pt>
                <c:pt idx="21">
                  <c:v>221.8000031</c:v>
                </c:pt>
                <c:pt idx="22">
                  <c:v>218.83000183105401</c:v>
                </c:pt>
                <c:pt idx="23">
                  <c:v>217.02000430000001</c:v>
                </c:pt>
                <c:pt idx="24">
                  <c:v>214.76800539999999</c:v>
                </c:pt>
                <c:pt idx="25">
                  <c:v>212.9750061</c:v>
                </c:pt>
                <c:pt idx="26">
                  <c:v>210.75</c:v>
                </c:pt>
                <c:pt idx="27">
                  <c:v>207.5500031</c:v>
                </c:pt>
                <c:pt idx="28">
                  <c:v>204.99000549316401</c:v>
                </c:pt>
                <c:pt idx="29">
                  <c:v>195.11000060000001</c:v>
                </c:pt>
                <c:pt idx="30">
                  <c:v>191.32699584960901</c:v>
                </c:pt>
                <c:pt idx="31">
                  <c:v>187.98199462890599</c:v>
                </c:pt>
                <c:pt idx="32">
                  <c:v>184.75399780000001</c:v>
                </c:pt>
                <c:pt idx="33">
                  <c:v>181.1710052</c:v>
                </c:pt>
                <c:pt idx="34">
                  <c:v>173.61999511718699</c:v>
                </c:pt>
                <c:pt idx="35">
                  <c:v>168.88000489999999</c:v>
                </c:pt>
                <c:pt idx="36">
                  <c:v>163.31300355859301</c:v>
                </c:pt>
                <c:pt idx="37">
                  <c:v>160.03999328613199</c:v>
                </c:pt>
                <c:pt idx="38">
                  <c:v>154.0410004</c:v>
                </c:pt>
                <c:pt idx="39">
                  <c:v>137.69400024414</c:v>
                </c:pt>
                <c:pt idx="40">
                  <c:v>133.05799866484401</c:v>
                </c:pt>
                <c:pt idx="41">
                  <c:v>135.26800539999999</c:v>
                </c:pt>
                <c:pt idx="42">
                  <c:v>131.78599548339801</c:v>
                </c:pt>
                <c:pt idx="43">
                  <c:v>122.9000015</c:v>
                </c:pt>
                <c:pt idx="44">
                  <c:v>115.61799621582</c:v>
                </c:pt>
                <c:pt idx="45">
                  <c:v>109.3000031</c:v>
                </c:pt>
                <c:pt idx="46">
                  <c:v>102.5579987</c:v>
                </c:pt>
                <c:pt idx="47">
                  <c:v>93.499000549316406</c:v>
                </c:pt>
                <c:pt idx="48">
                  <c:v>86.319999690000003</c:v>
                </c:pt>
                <c:pt idx="49">
                  <c:v>82.027000430000001</c:v>
                </c:pt>
                <c:pt idx="50">
                  <c:v>79.66999817</c:v>
                </c:pt>
                <c:pt idx="51">
                  <c:v>77.312995909999998</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2023</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_(* #,##0.00_);_(* \(#,##0.00\);_(* "-"??_);_(@_)</c:formatCode>
                <c:ptCount val="53"/>
                <c:pt idx="0">
                  <c:v>80.403999330000005</c:v>
                </c:pt>
                <c:pt idx="1">
                  <c:v>84.577003480000002</c:v>
                </c:pt>
                <c:pt idx="2">
                  <c:v>84.956001281738196</c:v>
                </c:pt>
                <c:pt idx="3">
                  <c:v>88.667999269999996</c:v>
                </c:pt>
                <c:pt idx="4">
                  <c:v>92.379997258261795</c:v>
                </c:pt>
                <c:pt idx="5">
                  <c:v>102.379997253418</c:v>
                </c:pt>
                <c:pt idx="6">
                  <c:v>108.6900024</c:v>
                </c:pt>
                <c:pt idx="7">
                  <c:v>120.7900009</c:v>
                </c:pt>
                <c:pt idx="8">
                  <c:v>135.97399902343699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2020</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c:v>310.60000609999997</c:v>
                </c:pt>
                <c:pt idx="14">
                  <c:v>308.24200439999998</c:v>
                </c:pt>
                <c:pt idx="15">
                  <c:v>302.9590149</c:v>
                </c:pt>
                <c:pt idx="16">
                  <c:v>304.71600339999998</c:v>
                </c:pt>
                <c:pt idx="17">
                  <c:v>301.20498659999998</c:v>
                </c:pt>
                <c:pt idx="18">
                  <c:v>301.78900149999998</c:v>
                </c:pt>
                <c:pt idx="19">
                  <c:v>305.30300899999997</c:v>
                </c:pt>
                <c:pt idx="20">
                  <c:v>308.24200439999998</c:v>
                </c:pt>
                <c:pt idx="21">
                  <c:v>307.6530151</c:v>
                </c:pt>
                <c:pt idx="22">
                  <c:v>302.9590149</c:v>
                </c:pt>
                <c:pt idx="23">
                  <c:v>291.91101070000002</c:v>
                </c:pt>
                <c:pt idx="24">
                  <c:v>282.14498900000001</c:v>
                </c:pt>
                <c:pt idx="25">
                  <c:v>270.23800660000001</c:v>
                </c:pt>
                <c:pt idx="26">
                  <c:v>251.32600400000001</c:v>
                </c:pt>
                <c:pt idx="27">
                  <c:v>243.66999820000001</c:v>
                </c:pt>
                <c:pt idx="28">
                  <c:v>236.0899963</c:v>
                </c:pt>
                <c:pt idx="29">
                  <c:v>223.80499270000001</c:v>
                </c:pt>
                <c:pt idx="30">
                  <c:v>211.72599790000001</c:v>
                </c:pt>
                <c:pt idx="31">
                  <c:v>200.36700440000001</c:v>
                </c:pt>
                <c:pt idx="32">
                  <c:v>187.18600459999999</c:v>
                </c:pt>
                <c:pt idx="33">
                  <c:v>176.73300169999999</c:v>
                </c:pt>
                <c:pt idx="34">
                  <c:v>168.8840027</c:v>
                </c:pt>
                <c:pt idx="35">
                  <c:v>158.2559967</c:v>
                </c:pt>
                <c:pt idx="36">
                  <c:v>147.34800720000001</c:v>
                </c:pt>
                <c:pt idx="37">
                  <c:v>131.14500430000001</c:v>
                </c:pt>
                <c:pt idx="38">
                  <c:v>117.1940002</c:v>
                </c:pt>
                <c:pt idx="39">
                  <c:v>113.2139969</c:v>
                </c:pt>
                <c:pt idx="40">
                  <c:v>105.78199770000001</c:v>
                </c:pt>
                <c:pt idx="41">
                  <c:v>94.636001590000006</c:v>
                </c:pt>
                <c:pt idx="42">
                  <c:v>83.753997799999993</c:v>
                </c:pt>
                <c:pt idx="43">
                  <c:v>73.136001590000006</c:v>
                </c:pt>
                <c:pt idx="44">
                  <c:v>72.33000183</c:v>
                </c:pt>
                <c:pt idx="45">
                  <c:v>66.33699799</c:v>
                </c:pt>
                <c:pt idx="46">
                  <c:v>59.261001589999999</c:v>
                </c:pt>
                <c:pt idx="47">
                  <c:v>59.261001589999999</c:v>
                </c:pt>
                <c:pt idx="48">
                  <c:v>47.749000549999998</c:v>
                </c:pt>
                <c:pt idx="49">
                  <c:v>46.993999479999999</c:v>
                </c:pt>
                <c:pt idx="50">
                  <c:v>35.858001710000003</c:v>
                </c:pt>
                <c:pt idx="51">
                  <c:v>31.502000809999998</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2022</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35.493000029999997</c:v>
                </c:pt>
                <c:pt idx="1">
                  <c:v>56.155998230000002</c:v>
                </c:pt>
                <c:pt idx="2">
                  <c:v>68.723999019999994</c:v>
                </c:pt>
                <c:pt idx="3">
                  <c:v>95.908996579999993</c:v>
                </c:pt>
                <c:pt idx="4">
                  <c:v>122.54900360000001</c:v>
                </c:pt>
                <c:pt idx="5">
                  <c:v>164.02999879999999</c:v>
                </c:pt>
                <c:pt idx="6">
                  <c:v>195.61700188</c:v>
                </c:pt>
                <c:pt idx="7">
                  <c:v>273.05700683593699</c:v>
                </c:pt>
                <c:pt idx="8">
                  <c:v>291.33300780000002</c:v>
                </c:pt>
                <c:pt idx="9">
                  <c:v>290.13098150000002</c:v>
                </c:pt>
                <c:pt idx="10">
                  <c:v>306.47698974609301</c:v>
                </c:pt>
                <c:pt idx="11">
                  <c:v>307.06500240000003</c:v>
                </c:pt>
                <c:pt idx="12">
                  <c:v>308.24</c:v>
                </c:pt>
                <c:pt idx="13">
                  <c:v>316.52200317382801</c:v>
                </c:pt>
                <c:pt idx="14">
                  <c:v>323.08200069999998</c:v>
                </c:pt>
                <c:pt idx="15">
                  <c:v>320.093994140625</c:v>
                </c:pt>
                <c:pt idx="16">
                  <c:v>317.51499449062499</c:v>
                </c:pt>
                <c:pt idx="17">
                  <c:v>286.73</c:v>
                </c:pt>
                <c:pt idx="18">
                  <c:v>294.225006103515</c:v>
                </c:pt>
                <c:pt idx="19">
                  <c:v>298.29000854492102</c:v>
                </c:pt>
                <c:pt idx="20">
                  <c:v>302.95901489257801</c:v>
                </c:pt>
                <c:pt idx="21">
                  <c:v>306.47698969999999</c:v>
                </c:pt>
                <c:pt idx="22">
                  <c:v>304.13000488281199</c:v>
                </c:pt>
                <c:pt idx="23">
                  <c:v>295.9649963</c:v>
                </c:pt>
                <c:pt idx="24">
                  <c:v>285.57900999999998</c:v>
                </c:pt>
                <c:pt idx="25">
                  <c:v>274.75399779999998</c:v>
                </c:pt>
                <c:pt idx="26">
                  <c:v>261.83898929999998</c:v>
                </c:pt>
                <c:pt idx="27">
                  <c:v>249.13000489999999</c:v>
                </c:pt>
                <c:pt idx="28">
                  <c:v>235.552001953125</c:v>
                </c:pt>
                <c:pt idx="29">
                  <c:v>235.55200199999999</c:v>
                </c:pt>
                <c:pt idx="30">
                  <c:v>204.47599792480401</c:v>
                </c:pt>
                <c:pt idx="31">
                  <c:v>190.20399475097599</c:v>
                </c:pt>
                <c:pt idx="32">
                  <c:v>187.18600459999999</c:v>
                </c:pt>
                <c:pt idx="33">
                  <c:v>173.7779999</c:v>
                </c:pt>
                <c:pt idx="34">
                  <c:v>169.37899780273401</c:v>
                </c:pt>
                <c:pt idx="35">
                  <c:v>165.48199460000001</c:v>
                </c:pt>
                <c:pt idx="36">
                  <c:v>142.98404230134</c:v>
                </c:pt>
                <c:pt idx="37">
                  <c:v>132.51499938964801</c:v>
                </c:pt>
                <c:pt idx="38">
                  <c:v>131.60099790000001</c:v>
                </c:pt>
                <c:pt idx="39">
                  <c:v>127.05599975585901</c:v>
                </c:pt>
                <c:pt idx="40">
                  <c:v>113.457096562483</c:v>
                </c:pt>
                <c:pt idx="41">
                  <c:v>110.13999939999999</c:v>
                </c:pt>
                <c:pt idx="42">
                  <c:v>91.259002685546804</c:v>
                </c:pt>
                <c:pt idx="43">
                  <c:v>69.921997070000003</c:v>
                </c:pt>
                <c:pt idx="44">
                  <c:v>66.931999206542898</c:v>
                </c:pt>
                <c:pt idx="45">
                  <c:v>50.784000399999996</c:v>
                </c:pt>
                <c:pt idx="46">
                  <c:v>43.990001679999999</c:v>
                </c:pt>
                <c:pt idx="47">
                  <c:v>28.9869995117187</c:v>
                </c:pt>
                <c:pt idx="48">
                  <c:v>14.64000034</c:v>
                </c:pt>
                <c:pt idx="49">
                  <c:v>29.344999309999999</c:v>
                </c:pt>
                <c:pt idx="50">
                  <c:v>24.719999309999999</c:v>
                </c:pt>
                <c:pt idx="51">
                  <c:v>32.981665290000002</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2023</c:v>
                </c:pt>
              </c:strCache>
            </c:strRef>
          </c:tx>
          <c:spPr>
            <a:ln w="6350"/>
          </c:spPr>
          <c:val>
            <c:numRef>
              <c:f>'11. Volúmenes'!$R$6:$R$58</c:f>
              <c:numCache>
                <c:formatCode>_(* #,##0.00_);_(* \(#,##0.00\);_(* "-"??_);_(@_)</c:formatCode>
                <c:ptCount val="53"/>
                <c:pt idx="0">
                  <c:v>33.673000340000002</c:v>
                </c:pt>
                <c:pt idx="1">
                  <c:v>30.78100014</c:v>
                </c:pt>
                <c:pt idx="2">
                  <c:v>34.400001525878899</c:v>
                </c:pt>
                <c:pt idx="3">
                  <c:v>34.0359993</c:v>
                </c:pt>
                <c:pt idx="4">
                  <c:v>41.573</c:v>
                </c:pt>
                <c:pt idx="5">
                  <c:v>58.094001770019503</c:v>
                </c:pt>
                <c:pt idx="6">
                  <c:v>69.123001099999996</c:v>
                </c:pt>
                <c:pt idx="7">
                  <c:v>91.259002690000003</c:v>
                </c:pt>
                <c:pt idx="8">
                  <c:v>113.653999328613</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2020</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194.494995117</c:v>
                </c:pt>
                <c:pt idx="1">
                  <c:v>212.15300178999999</c:v>
                </c:pt>
                <c:pt idx="2">
                  <c:v>213.71899984999999</c:v>
                </c:pt>
                <c:pt idx="3">
                  <c:v>219.56099320000001</c:v>
                </c:pt>
                <c:pt idx="4">
                  <c:v>285.12099838256813</c:v>
                </c:pt>
                <c:pt idx="5">
                  <c:v>329.34199910000001</c:v>
                </c:pt>
                <c:pt idx="6">
                  <c:v>352.60932731628355</c:v>
                </c:pt>
                <c:pt idx="7">
                  <c:v>377.95000650999998</c:v>
                </c:pt>
                <c:pt idx="8">
                  <c:v>383.25900259000002</c:v>
                </c:pt>
                <c:pt idx="9">
                  <c:v>394.92200288000009</c:v>
                </c:pt>
                <c:pt idx="10">
                  <c:v>390.290998458861</c:v>
                </c:pt>
                <c:pt idx="11">
                  <c:v>402.17499160766499</c:v>
                </c:pt>
                <c:pt idx="12">
                  <c:v>398.93495940999998</c:v>
                </c:pt>
                <c:pt idx="13">
                  <c:v>388.01895332999999</c:v>
                </c:pt>
                <c:pt idx="14">
                  <c:v>383.39695458999995</c:v>
                </c:pt>
                <c:pt idx="15">
                  <c:v>381.56399345397853</c:v>
                </c:pt>
                <c:pt idx="16">
                  <c:v>379.87400246999994</c:v>
                </c:pt>
                <c:pt idx="17">
                  <c:v>375.69400404000004</c:v>
                </c:pt>
                <c:pt idx="18">
                  <c:v>370.56599616999995</c:v>
                </c:pt>
                <c:pt idx="19">
                  <c:v>365.52200794219863</c:v>
                </c:pt>
                <c:pt idx="20">
                  <c:v>359.19900507300002</c:v>
                </c:pt>
                <c:pt idx="21">
                  <c:v>354.24799921000005</c:v>
                </c:pt>
                <c:pt idx="22">
                  <c:v>348.87000203132561</c:v>
                </c:pt>
                <c:pt idx="23">
                  <c:v>343.83099551700002</c:v>
                </c:pt>
                <c:pt idx="24">
                  <c:v>338.47100355099997</c:v>
                </c:pt>
                <c:pt idx="25">
                  <c:v>333.23996639251612</c:v>
                </c:pt>
                <c:pt idx="26">
                  <c:v>327.71050074999999</c:v>
                </c:pt>
                <c:pt idx="27">
                  <c:v>322.11699965099996</c:v>
                </c:pt>
                <c:pt idx="28">
                  <c:v>316.39600081599997</c:v>
                </c:pt>
                <c:pt idx="29">
                  <c:v>310.66199637099999</c:v>
                </c:pt>
                <c:pt idx="30">
                  <c:v>304.63100243800005</c:v>
                </c:pt>
                <c:pt idx="31">
                  <c:v>299.14499665</c:v>
                </c:pt>
                <c:pt idx="32">
                  <c:v>293.22399712800001</c:v>
                </c:pt>
                <c:pt idx="33">
                  <c:v>287.11000061035065</c:v>
                </c:pt>
                <c:pt idx="34">
                  <c:v>280.34500217437699</c:v>
                </c:pt>
                <c:pt idx="35">
                  <c:v>273.90200042724575</c:v>
                </c:pt>
                <c:pt idx="36">
                  <c:v>267.16300058364783</c:v>
                </c:pt>
                <c:pt idx="37">
                  <c:v>262.426999588</c:v>
                </c:pt>
                <c:pt idx="38">
                  <c:v>258.968997</c:v>
                </c:pt>
                <c:pt idx="39">
                  <c:v>255.76199719799999</c:v>
                </c:pt>
                <c:pt idx="40">
                  <c:v>251.31199836730943</c:v>
                </c:pt>
                <c:pt idx="41">
                  <c:v>245.88199755799999</c:v>
                </c:pt>
                <c:pt idx="42">
                  <c:v>239.051002463</c:v>
                </c:pt>
                <c:pt idx="43">
                  <c:v>232.679000852</c:v>
                </c:pt>
                <c:pt idx="44">
                  <c:v>225.80399990800001</c:v>
                </c:pt>
                <c:pt idx="45">
                  <c:v>219.24500608799997</c:v>
                </c:pt>
                <c:pt idx="46">
                  <c:v>212.09200192</c:v>
                </c:pt>
                <c:pt idx="47">
                  <c:v>206.70499944799997</c:v>
                </c:pt>
                <c:pt idx="48">
                  <c:v>200.08300209800001</c:v>
                </c:pt>
                <c:pt idx="49">
                  <c:v>200.81900405299996</c:v>
                </c:pt>
                <c:pt idx="50">
                  <c:v>217.92999649000001</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2021</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c:v>396.33900255999993</c:v>
                </c:pt>
                <c:pt idx="14">
                  <c:v>407.79200167999994</c:v>
                </c:pt>
                <c:pt idx="15">
                  <c:v>404.66700356000001</c:v>
                </c:pt>
                <c:pt idx="16">
                  <c:v>401.20799636000004</c:v>
                </c:pt>
                <c:pt idx="17">
                  <c:v>398.68500135999994</c:v>
                </c:pt>
                <c:pt idx="18">
                  <c:v>396.22801973000003</c:v>
                </c:pt>
                <c:pt idx="19">
                  <c:v>391.74099727000004</c:v>
                </c:pt>
                <c:pt idx="20">
                  <c:v>387.63294980000006</c:v>
                </c:pt>
                <c:pt idx="21">
                  <c:v>383.63200570999999</c:v>
                </c:pt>
                <c:pt idx="22">
                  <c:v>379.05501368</c:v>
                </c:pt>
                <c:pt idx="23">
                  <c:v>374.35099984999999</c:v>
                </c:pt>
                <c:pt idx="24">
                  <c:v>369.41900067</c:v>
                </c:pt>
                <c:pt idx="25">
                  <c:v>363.95100021999997</c:v>
                </c:pt>
                <c:pt idx="26">
                  <c:v>358.46099474000005</c:v>
                </c:pt>
                <c:pt idx="27">
                  <c:v>352.90699958999994</c:v>
                </c:pt>
                <c:pt idx="28">
                  <c:v>346.83199694000007</c:v>
                </c:pt>
                <c:pt idx="29">
                  <c:v>340.42700004</c:v>
                </c:pt>
                <c:pt idx="30">
                  <c:v>333.77900123000001</c:v>
                </c:pt>
                <c:pt idx="31">
                  <c:v>326.91499899999997</c:v>
                </c:pt>
                <c:pt idx="32">
                  <c:v>320.04999731999993</c:v>
                </c:pt>
                <c:pt idx="33">
                  <c:v>312.22399334000005</c:v>
                </c:pt>
                <c:pt idx="34">
                  <c:v>304.73300071000006</c:v>
                </c:pt>
                <c:pt idx="35">
                  <c:v>297.47899814000004</c:v>
                </c:pt>
                <c:pt idx="36">
                  <c:v>289.18600270099995</c:v>
                </c:pt>
                <c:pt idx="37">
                  <c:v>281.63800617199996</c:v>
                </c:pt>
                <c:pt idx="38">
                  <c:v>274.41000078900004</c:v>
                </c:pt>
                <c:pt idx="39">
                  <c:v>267.74887463900001</c:v>
                </c:pt>
                <c:pt idx="40">
                  <c:v>261.11699532200004</c:v>
                </c:pt>
                <c:pt idx="41">
                  <c:v>255.18400193299999</c:v>
                </c:pt>
                <c:pt idx="42">
                  <c:v>247.82599997900002</c:v>
                </c:pt>
                <c:pt idx="43">
                  <c:v>240.19699645200001</c:v>
                </c:pt>
                <c:pt idx="44">
                  <c:v>232.069998986</c:v>
                </c:pt>
                <c:pt idx="45">
                  <c:v>224.04500101899998</c:v>
                </c:pt>
                <c:pt idx="46">
                  <c:v>219.29099989100001</c:v>
                </c:pt>
                <c:pt idx="47">
                  <c:v>216.02500223999999</c:v>
                </c:pt>
                <c:pt idx="48">
                  <c:v>215.407995212</c:v>
                </c:pt>
                <c:pt idx="49">
                  <c:v>212.33400107200001</c:v>
                </c:pt>
                <c:pt idx="50">
                  <c:v>207.130002496</c:v>
                </c:pt>
                <c:pt idx="51">
                  <c:v>207.130002496</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2022</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204.009998798</c:v>
                </c:pt>
                <c:pt idx="1">
                  <c:v>226.30700303700002</c:v>
                </c:pt>
                <c:pt idx="2">
                  <c:v>246.70599747499998</c:v>
                </c:pt>
                <c:pt idx="3">
                  <c:v>284.02000140000001</c:v>
                </c:pt>
                <c:pt idx="4">
                  <c:v>316.55300431000006</c:v>
                </c:pt>
                <c:pt idx="5">
                  <c:v>327.15899755999999</c:v>
                </c:pt>
                <c:pt idx="6">
                  <c:v>354.25649632083298</c:v>
                </c:pt>
                <c:pt idx="7">
                  <c:v>356.44099426269452</c:v>
                </c:pt>
                <c:pt idx="8">
                  <c:v>371.62199979000002</c:v>
                </c:pt>
                <c:pt idx="9">
                  <c:v>380.60428970547002</c:v>
                </c:pt>
                <c:pt idx="10">
                  <c:v>384.68100166320727</c:v>
                </c:pt>
                <c:pt idx="11">
                  <c:v>387.41699027999999</c:v>
                </c:pt>
                <c:pt idx="12">
                  <c:v>387.17</c:v>
                </c:pt>
                <c:pt idx="13">
                  <c:v>389.18700027465661</c:v>
                </c:pt>
                <c:pt idx="14">
                  <c:v>391.56700128</c:v>
                </c:pt>
                <c:pt idx="15">
                  <c:v>387.48099899291947</c:v>
                </c:pt>
                <c:pt idx="16">
                  <c:v>384.68462114530365</c:v>
                </c:pt>
                <c:pt idx="17">
                  <c:v>375.79000000000008</c:v>
                </c:pt>
                <c:pt idx="18">
                  <c:v>370.16600227355934</c:v>
                </c:pt>
                <c:pt idx="19">
                  <c:v>364.40299987792889</c:v>
                </c:pt>
                <c:pt idx="20">
                  <c:v>358.7700004577631</c:v>
                </c:pt>
                <c:pt idx="21">
                  <c:v>353.17899700999999</c:v>
                </c:pt>
                <c:pt idx="22">
                  <c:v>347.3810005187978</c:v>
                </c:pt>
                <c:pt idx="23">
                  <c:v>341.67700381999998</c:v>
                </c:pt>
                <c:pt idx="24">
                  <c:v>335.75800323999999</c:v>
                </c:pt>
                <c:pt idx="25">
                  <c:v>330.74199960999994</c:v>
                </c:pt>
                <c:pt idx="26">
                  <c:v>325.96500109999999</c:v>
                </c:pt>
                <c:pt idx="27">
                  <c:v>319.04200172500003</c:v>
                </c:pt>
                <c:pt idx="28">
                  <c:v>313.23499679565401</c:v>
                </c:pt>
                <c:pt idx="29">
                  <c:v>308.18499564899997</c:v>
                </c:pt>
                <c:pt idx="30">
                  <c:v>300.29800155758841</c:v>
                </c:pt>
                <c:pt idx="31">
                  <c:v>292.89500425755955</c:v>
                </c:pt>
                <c:pt idx="32">
                  <c:v>302.95999780999995</c:v>
                </c:pt>
                <c:pt idx="33">
                  <c:v>277.92099988699999</c:v>
                </c:pt>
                <c:pt idx="34">
                  <c:v>270.68900412321057</c:v>
                </c:pt>
                <c:pt idx="35">
                  <c:v>263.03699629800002</c:v>
                </c:pt>
                <c:pt idx="36">
                  <c:v>267.3754964899627</c:v>
                </c:pt>
                <c:pt idx="37">
                  <c:v>247.34099905192824</c:v>
                </c:pt>
                <c:pt idx="38">
                  <c:v>239.01999990799999</c:v>
                </c:pt>
                <c:pt idx="39">
                  <c:v>230.88899938762165</c:v>
                </c:pt>
                <c:pt idx="40">
                  <c:v>221.89513753580701</c:v>
                </c:pt>
                <c:pt idx="41">
                  <c:v>214.51600204000002</c:v>
                </c:pt>
                <c:pt idx="42">
                  <c:v>206.5210008025168</c:v>
                </c:pt>
                <c:pt idx="43">
                  <c:v>205.3030003903163</c:v>
                </c:pt>
                <c:pt idx="44">
                  <c:v>197.31799500565413</c:v>
                </c:pt>
                <c:pt idx="45">
                  <c:v>182.13499730299998</c:v>
                </c:pt>
                <c:pt idx="46">
                  <c:v>175.02100271200001</c:v>
                </c:pt>
                <c:pt idx="47">
                  <c:v>167.88399881124482</c:v>
                </c:pt>
                <c:pt idx="48">
                  <c:v>163.290001034</c:v>
                </c:pt>
                <c:pt idx="49">
                  <c:v>164.16899752900002</c:v>
                </c:pt>
                <c:pt idx="50">
                  <c:v>159.756001709</c:v>
                </c:pt>
                <c:pt idx="51">
                  <c:v>158.87100076566699</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2023</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151.66299939000001</c:v>
                </c:pt>
                <c:pt idx="1">
                  <c:v>148.510999441</c:v>
                </c:pt>
                <c:pt idx="2">
                  <c:v>143.81200027465798</c:v>
                </c:pt>
                <c:pt idx="3">
                  <c:v>140.23999690700001</c:v>
                </c:pt>
                <c:pt idx="4">
                  <c:v>149.94700005392335</c:v>
                </c:pt>
                <c:pt idx="5">
                  <c:v>183.37299919128398</c:v>
                </c:pt>
                <c:pt idx="6">
                  <c:v>222.42599583999998</c:v>
                </c:pt>
                <c:pt idx="7">
                  <c:v>223.43000031000003</c:v>
                </c:pt>
                <c:pt idx="8">
                  <c:v>223.83099651336642</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NATURALES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'12.Caudales'!$J$4:$K$168</c:f>
              <c:multiLvlStrCache>
                <c:ptCount val="165"/>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lvl>
                <c:lvl>
                  <c:pt idx="0">
                    <c:v>2020</c:v>
                  </c:pt>
                  <c:pt idx="52">
                    <c:v>2021</c:v>
                  </c:pt>
                  <c:pt idx="104">
                    <c:v>2022</c:v>
                  </c:pt>
                  <c:pt idx="156">
                    <c:v>2023</c:v>
                  </c:pt>
                </c:lvl>
              </c:multiLvlStrCache>
            </c:multiLvlStrRef>
          </c:cat>
          <c:val>
            <c:numRef>
              <c:f>'12.Caudales'!$N$4:$N$168</c:f>
              <c:numCache>
                <c:formatCode>0.0</c:formatCode>
                <c:ptCount val="165"/>
                <c:pt idx="0">
                  <c:v>129.33128356933543</c:v>
                </c:pt>
                <c:pt idx="1">
                  <c:v>73.393001012857141</c:v>
                </c:pt>
                <c:pt idx="2">
                  <c:v>73.092571804285726</c:v>
                </c:pt>
                <c:pt idx="3">
                  <c:v>140.69343129999999</c:v>
                </c:pt>
                <c:pt idx="4">
                  <c:v>189.96014404285714</c:v>
                </c:pt>
                <c:pt idx="5">
                  <c:v>184.55100359235459</c:v>
                </c:pt>
                <c:pt idx="6">
                  <c:v>141.4891401142857</c:v>
                </c:pt>
                <c:pt idx="7">
                  <c:v>83.969571794782198</c:v>
                </c:pt>
                <c:pt idx="8">
                  <c:v>124.34114185428572</c:v>
                </c:pt>
                <c:pt idx="9">
                  <c:v>110.96499854142857</c:v>
                </c:pt>
                <c:pt idx="10">
                  <c:v>130.17914037142856</c:v>
                </c:pt>
                <c:pt idx="11">
                  <c:v>127.86657169886942</c:v>
                </c:pt>
                <c:pt idx="12">
                  <c:v>138.12900325230143</c:v>
                </c:pt>
                <c:pt idx="13">
                  <c:v>109.14457049285714</c:v>
                </c:pt>
                <c:pt idx="14">
                  <c:v>80.133571635714276</c:v>
                </c:pt>
                <c:pt idx="15">
                  <c:v>57.13714327142857</c:v>
                </c:pt>
                <c:pt idx="16">
                  <c:v>55.184285845075259</c:v>
                </c:pt>
                <c:pt idx="17">
                  <c:v>80.201000221428572</c:v>
                </c:pt>
                <c:pt idx="18">
                  <c:v>73.398713792857151</c:v>
                </c:pt>
                <c:pt idx="19">
                  <c:v>57.629714421428567</c:v>
                </c:pt>
                <c:pt idx="20">
                  <c:v>47.208427974155924</c:v>
                </c:pt>
                <c:pt idx="21">
                  <c:v>39.635571071428572</c:v>
                </c:pt>
                <c:pt idx="22">
                  <c:v>49.136857168571431</c:v>
                </c:pt>
                <c:pt idx="23">
                  <c:v>34.150428227015844</c:v>
                </c:pt>
                <c:pt idx="24">
                  <c:v>32.288857598571425</c:v>
                </c:pt>
                <c:pt idx="25">
                  <c:v>29.45585686714286</c:v>
                </c:pt>
                <c:pt idx="26">
                  <c:v>27.986428669520745</c:v>
                </c:pt>
                <c:pt idx="27">
                  <c:v>24.371857235714284</c:v>
                </c:pt>
                <c:pt idx="28">
                  <c:v>23.620857238571428</c:v>
                </c:pt>
                <c:pt idx="29">
                  <c:v>26.757428577142853</c:v>
                </c:pt>
                <c:pt idx="30">
                  <c:v>26.481285638571428</c:v>
                </c:pt>
                <c:pt idx="31">
                  <c:v>25.506571633475126</c:v>
                </c:pt>
                <c:pt idx="32">
                  <c:v>31.441428594285707</c:v>
                </c:pt>
                <c:pt idx="33">
                  <c:v>33.365713935714282</c:v>
                </c:pt>
                <c:pt idx="34">
                  <c:v>29.068999699183816</c:v>
                </c:pt>
                <c:pt idx="35">
                  <c:v>26.005428859165701</c:v>
                </c:pt>
                <c:pt idx="36">
                  <c:v>25.021857125418485</c:v>
                </c:pt>
                <c:pt idx="37">
                  <c:v>27.854714257376486</c:v>
                </c:pt>
                <c:pt idx="38">
                  <c:v>27.986571175714282</c:v>
                </c:pt>
                <c:pt idx="39">
                  <c:v>25.258999961428572</c:v>
                </c:pt>
                <c:pt idx="40">
                  <c:v>25.185571671428566</c:v>
                </c:pt>
                <c:pt idx="41">
                  <c:v>33.125999450683558</c:v>
                </c:pt>
                <c:pt idx="42">
                  <c:v>41.127143314285711</c:v>
                </c:pt>
                <c:pt idx="43">
                  <c:v>33.038428169999996</c:v>
                </c:pt>
                <c:pt idx="44">
                  <c:v>40.115713391428571</c:v>
                </c:pt>
                <c:pt idx="45">
                  <c:v>43.881571090000001</c:v>
                </c:pt>
                <c:pt idx="46">
                  <c:v>42.811571392857147</c:v>
                </c:pt>
                <c:pt idx="47">
                  <c:v>66.262570518571422</c:v>
                </c:pt>
                <c:pt idx="48">
                  <c:v>122.24228668571428</c:v>
                </c:pt>
                <c:pt idx="49">
                  <c:v>78.250285555714285</c:v>
                </c:pt>
                <c:pt idx="50">
                  <c:v>123.13128661428571</c:v>
                </c:pt>
                <c:pt idx="51">
                  <c:v>151.04400198571429</c:v>
                </c:pt>
                <c:pt idx="52">
                  <c:v>194.93985855714286</c:v>
                </c:pt>
                <c:pt idx="53">
                  <c:v>191.56657192857145</c:v>
                </c:pt>
                <c:pt idx="54">
                  <c:v>253.28128705714289</c:v>
                </c:pt>
                <c:pt idx="55">
                  <c:v>244.7925720428571</c:v>
                </c:pt>
                <c:pt idx="56">
                  <c:v>220.6247188142857</c:v>
                </c:pt>
                <c:pt idx="57">
                  <c:v>163.06042698571429</c:v>
                </c:pt>
                <c:pt idx="58">
                  <c:v>104.39303571428574</c:v>
                </c:pt>
                <c:pt idx="59">
                  <c:v>61.820178571428535</c:v>
                </c:pt>
                <c:pt idx="60">
                  <c:v>85.507331848144418</c:v>
                </c:pt>
                <c:pt idx="61">
                  <c:v>173.29428537142854</c:v>
                </c:pt>
                <c:pt idx="62">
                  <c:v>159.83856852857141</c:v>
                </c:pt>
                <c:pt idx="63">
                  <c:v>160.54285757142858</c:v>
                </c:pt>
                <c:pt idx="64">
                  <c:v>171.07471574285714</c:v>
                </c:pt>
                <c:pt idx="65">
                  <c:v>185.56500027142857</c:v>
                </c:pt>
                <c:pt idx="66">
                  <c:v>151.56014580000002</c:v>
                </c:pt>
                <c:pt idx="67">
                  <c:v>109.84099905714285</c:v>
                </c:pt>
                <c:pt idx="68">
                  <c:v>85.840285168571427</c:v>
                </c:pt>
                <c:pt idx="69">
                  <c:v>69.64942932142857</c:v>
                </c:pt>
                <c:pt idx="70">
                  <c:v>58.010286058571431</c:v>
                </c:pt>
                <c:pt idx="71">
                  <c:v>51.498000008571424</c:v>
                </c:pt>
                <c:pt idx="72">
                  <c:v>49.923428127142856</c:v>
                </c:pt>
                <c:pt idx="73">
                  <c:v>43.104427882857138</c:v>
                </c:pt>
                <c:pt idx="74">
                  <c:v>39.534857068571434</c:v>
                </c:pt>
                <c:pt idx="75">
                  <c:v>36.393142699999999</c:v>
                </c:pt>
                <c:pt idx="76">
                  <c:v>33.557857241428572</c:v>
                </c:pt>
                <c:pt idx="77">
                  <c:v>29.931428365714286</c:v>
                </c:pt>
                <c:pt idx="78">
                  <c:v>26.386999947142861</c:v>
                </c:pt>
                <c:pt idx="79">
                  <c:v>26.172000340000004</c:v>
                </c:pt>
                <c:pt idx="80">
                  <c:v>25.836714065714286</c:v>
                </c:pt>
                <c:pt idx="81">
                  <c:v>25.251428605714288</c:v>
                </c:pt>
                <c:pt idx="82">
                  <c:v>27.221714565714283</c:v>
                </c:pt>
                <c:pt idx="83">
                  <c:v>26.08357157</c:v>
                </c:pt>
                <c:pt idx="84">
                  <c:v>25.724999837142857</c:v>
                </c:pt>
                <c:pt idx="85">
                  <c:v>26.040285657142856</c:v>
                </c:pt>
                <c:pt idx="86">
                  <c:v>26.61128562</c:v>
                </c:pt>
                <c:pt idx="87">
                  <c:v>31.371142795714288</c:v>
                </c:pt>
                <c:pt idx="88">
                  <c:v>34.193142751428567</c:v>
                </c:pt>
                <c:pt idx="89">
                  <c:v>24.62042835714286</c:v>
                </c:pt>
                <c:pt idx="90">
                  <c:v>21.341285980000002</c:v>
                </c:pt>
                <c:pt idx="91">
                  <c:v>39.983428410000002</c:v>
                </c:pt>
                <c:pt idx="92">
                  <c:v>51.178142545714287</c:v>
                </c:pt>
                <c:pt idx="93">
                  <c:v>58.491857255714294</c:v>
                </c:pt>
                <c:pt idx="94">
                  <c:v>49.28842871714285</c:v>
                </c:pt>
                <c:pt idx="95">
                  <c:v>50.456999099999997</c:v>
                </c:pt>
                <c:pt idx="96">
                  <c:v>55.461713520000004</c:v>
                </c:pt>
                <c:pt idx="97">
                  <c:v>52.329856329999991</c:v>
                </c:pt>
                <c:pt idx="98">
                  <c:v>73.723714555714295</c:v>
                </c:pt>
                <c:pt idx="99">
                  <c:v>112.8014285714287</c:v>
                </c:pt>
                <c:pt idx="100">
                  <c:v>251.49200183333332</c:v>
                </c:pt>
                <c:pt idx="101">
                  <c:v>142.42614309857143</c:v>
                </c:pt>
                <c:pt idx="102">
                  <c:v>77.181571959999999</c:v>
                </c:pt>
                <c:pt idx="103">
                  <c:v>62.12314333285714</c:v>
                </c:pt>
                <c:pt idx="104">
                  <c:v>71.095855168571433</c:v>
                </c:pt>
                <c:pt idx="105">
                  <c:v>56.996714454285716</c:v>
                </c:pt>
                <c:pt idx="106">
                  <c:v>56.568285805714289</c:v>
                </c:pt>
                <c:pt idx="107">
                  <c:v>96.856569555714273</c:v>
                </c:pt>
                <c:pt idx="108">
                  <c:v>81.592857355714287</c:v>
                </c:pt>
                <c:pt idx="109">
                  <c:v>136.49742887285714</c:v>
                </c:pt>
                <c:pt idx="110">
                  <c:v>140.91017132499999</c:v>
                </c:pt>
                <c:pt idx="111">
                  <c:v>136.49742889404237</c:v>
                </c:pt>
                <c:pt idx="112">
                  <c:v>201.53699821428572</c:v>
                </c:pt>
                <c:pt idx="113">
                  <c:v>203.423558556426</c:v>
                </c:pt>
                <c:pt idx="114">
                  <c:v>322.04871477399513</c:v>
                </c:pt>
                <c:pt idx="115">
                  <c:v>190.45399911063015</c:v>
                </c:pt>
                <c:pt idx="116">
                  <c:v>246.19428571428574</c:v>
                </c:pt>
                <c:pt idx="117">
                  <c:v>299.53485761369933</c:v>
                </c:pt>
                <c:pt idx="118">
                  <c:v>161.58600069999997</c:v>
                </c:pt>
                <c:pt idx="119">
                  <c:v>100.25114222935244</c:v>
                </c:pt>
                <c:pt idx="120">
                  <c:v>98.251142229351998</c:v>
                </c:pt>
                <c:pt idx="121">
                  <c:v>58.212857142857146</c:v>
                </c:pt>
                <c:pt idx="122">
                  <c:v>54.184856959751606</c:v>
                </c:pt>
                <c:pt idx="123">
                  <c:v>62.818143027169334</c:v>
                </c:pt>
                <c:pt idx="124">
                  <c:v>55.007428305489626</c:v>
                </c:pt>
                <c:pt idx="125">
                  <c:v>46.462857382857138</c:v>
                </c:pt>
                <c:pt idx="126">
                  <c:v>44.122500737508098</c:v>
                </c:pt>
                <c:pt idx="127">
                  <c:v>40.649428780000001</c:v>
                </c:pt>
                <c:pt idx="128">
                  <c:v>36.63071441571428</c:v>
                </c:pt>
                <c:pt idx="129">
                  <c:v>34.614857537142861</c:v>
                </c:pt>
                <c:pt idx="130">
                  <c:v>26.614571161428568</c:v>
                </c:pt>
                <c:pt idx="131">
                  <c:v>27.269166944999998</c:v>
                </c:pt>
                <c:pt idx="132">
                  <c:v>27.957999638148667</c:v>
                </c:pt>
                <c:pt idx="133">
                  <c:v>25.709142960000001</c:v>
                </c:pt>
                <c:pt idx="134">
                  <c:v>24.763571058000789</c:v>
                </c:pt>
                <c:pt idx="135">
                  <c:v>24.089857101440373</c:v>
                </c:pt>
                <c:pt idx="136">
                  <c:v>22.760285514285709</c:v>
                </c:pt>
                <c:pt idx="137">
                  <c:v>25.360285895714288</c:v>
                </c:pt>
                <c:pt idx="138">
                  <c:v>25.920999526977486</c:v>
                </c:pt>
                <c:pt idx="139">
                  <c:v>27.733714512857141</c:v>
                </c:pt>
                <c:pt idx="140">
                  <c:v>24.191236087402601</c:v>
                </c:pt>
                <c:pt idx="141">
                  <c:v>37.008142471313427</c:v>
                </c:pt>
                <c:pt idx="142">
                  <c:v>43.941286359999992</c:v>
                </c:pt>
                <c:pt idx="143">
                  <c:v>35.542857851300859</c:v>
                </c:pt>
                <c:pt idx="144">
                  <c:v>42.2230343138324</c:v>
                </c:pt>
                <c:pt idx="145">
                  <c:v>38.873856951428571</c:v>
                </c:pt>
                <c:pt idx="146">
                  <c:v>37.477428436279276</c:v>
                </c:pt>
                <c:pt idx="147">
                  <c:v>41.068570818571423</c:v>
                </c:pt>
                <c:pt idx="148">
                  <c:v>45.284285954066661</c:v>
                </c:pt>
                <c:pt idx="149">
                  <c:v>40.058000837142856</c:v>
                </c:pt>
                <c:pt idx="150">
                  <c:v>46.268857138497467</c:v>
                </c:pt>
                <c:pt idx="151">
                  <c:v>45.240856715611031</c:v>
                </c:pt>
                <c:pt idx="152">
                  <c:v>43.306000301428575</c:v>
                </c:pt>
                <c:pt idx="153">
                  <c:v>46.609286172857139</c:v>
                </c:pt>
                <c:pt idx="154">
                  <c:v>70.499713898571443</c:v>
                </c:pt>
                <c:pt idx="155">
                  <c:v>65.301143102857139</c:v>
                </c:pt>
                <c:pt idx="156">
                  <c:v>79.502428327142866</c:v>
                </c:pt>
                <c:pt idx="157">
                  <c:v>82.984999520000002</c:v>
                </c:pt>
                <c:pt idx="158">
                  <c:v>85.672571454729152</c:v>
                </c:pt>
                <c:pt idx="159">
                  <c:v>119.73214174285714</c:v>
                </c:pt>
                <c:pt idx="160">
                  <c:v>93.18</c:v>
                </c:pt>
                <c:pt idx="161">
                  <c:v>76.965286254882741</c:v>
                </c:pt>
                <c:pt idx="162">
                  <c:v>100.04</c:v>
                </c:pt>
                <c:pt idx="163">
                  <c:v>127.76542662857143</c:v>
                </c:pt>
                <c:pt idx="164">
                  <c:v>152.0637141636436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'12.Caudales'!$J$4:$K$168</c:f>
              <c:multiLvlStrCache>
                <c:ptCount val="165"/>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lvl>
                <c:lvl>
                  <c:pt idx="0">
                    <c:v>2020</c:v>
                  </c:pt>
                  <c:pt idx="52">
                    <c:v>2021</c:v>
                  </c:pt>
                  <c:pt idx="104">
                    <c:v>2022</c:v>
                  </c:pt>
                  <c:pt idx="156">
                    <c:v>2023</c:v>
                  </c:pt>
                </c:lvl>
              </c:multiLvlStrCache>
            </c:multiLvlStrRef>
          </c:cat>
          <c:val>
            <c:numRef>
              <c:f>'12.Caudales'!$O$4:$O$168</c:f>
              <c:numCache>
                <c:formatCode>0.0</c:formatCode>
                <c:ptCount val="165"/>
                <c:pt idx="0">
                  <c:v>35.412713732038192</c:v>
                </c:pt>
                <c:pt idx="1">
                  <c:v>22.044856754285714</c:v>
                </c:pt>
                <c:pt idx="2">
                  <c:v>18.210142817142859</c:v>
                </c:pt>
                <c:pt idx="3">
                  <c:v>15.934428624285713</c:v>
                </c:pt>
                <c:pt idx="4">
                  <c:v>16.347999845714288</c:v>
                </c:pt>
                <c:pt idx="5">
                  <c:v>24.545571190970243</c:v>
                </c:pt>
                <c:pt idx="6">
                  <c:v>17.933714184285712</c:v>
                </c:pt>
                <c:pt idx="7">
                  <c:v>15.5625712530953</c:v>
                </c:pt>
                <c:pt idx="8">
                  <c:v>23.340428760000002</c:v>
                </c:pt>
                <c:pt idx="9">
                  <c:v>51.143429344285714</c:v>
                </c:pt>
                <c:pt idx="10">
                  <c:v>73.820713587142862</c:v>
                </c:pt>
                <c:pt idx="11">
                  <c:v>34.1388571602957</c:v>
                </c:pt>
                <c:pt idx="12">
                  <c:v>66.457714898245612</c:v>
                </c:pt>
                <c:pt idx="13">
                  <c:v>82.626999985714278</c:v>
                </c:pt>
                <c:pt idx="14">
                  <c:v>89.91342707714287</c:v>
                </c:pt>
                <c:pt idx="15">
                  <c:v>73.487428932857142</c:v>
                </c:pt>
                <c:pt idx="16">
                  <c:v>80.585714067731558</c:v>
                </c:pt>
                <c:pt idx="17">
                  <c:v>93.131286082857144</c:v>
                </c:pt>
                <c:pt idx="18">
                  <c:v>43.960427964285714</c:v>
                </c:pt>
                <c:pt idx="19">
                  <c:v>29.038571492857141</c:v>
                </c:pt>
                <c:pt idx="20">
                  <c:v>20.747856957571798</c:v>
                </c:pt>
                <c:pt idx="21">
                  <c:v>28.597570964285715</c:v>
                </c:pt>
                <c:pt idx="22">
                  <c:v>19.104714530000003</c:v>
                </c:pt>
                <c:pt idx="23">
                  <c:v>14.211285591125442</c:v>
                </c:pt>
                <c:pt idx="24">
                  <c:v>11.628714288571429</c:v>
                </c:pt>
                <c:pt idx="25">
                  <c:v>11.67571422</c:v>
                </c:pt>
                <c:pt idx="26">
                  <c:v>27.48885754176543</c:v>
                </c:pt>
                <c:pt idx="27">
                  <c:v>32.395143782857147</c:v>
                </c:pt>
                <c:pt idx="28">
                  <c:v>14.974999971428572</c:v>
                </c:pt>
                <c:pt idx="29">
                  <c:v>14.12842846</c:v>
                </c:pt>
                <c:pt idx="30">
                  <c:v>10.121857098285714</c:v>
                </c:pt>
                <c:pt idx="31">
                  <c:v>7.7241428239004906</c:v>
                </c:pt>
                <c:pt idx="32">
                  <c:v>8.5772858349999996</c:v>
                </c:pt>
                <c:pt idx="33">
                  <c:v>6.7090001108571427</c:v>
                </c:pt>
                <c:pt idx="34">
                  <c:v>5.7295714105878517</c:v>
                </c:pt>
                <c:pt idx="35">
                  <c:v>5.6865714618137853</c:v>
                </c:pt>
                <c:pt idx="36">
                  <c:v>5.3568570954459016</c:v>
                </c:pt>
                <c:pt idx="37">
                  <c:v>6.9268571308680906</c:v>
                </c:pt>
                <c:pt idx="38">
                  <c:v>9.9768571861428565</c:v>
                </c:pt>
                <c:pt idx="39">
                  <c:v>7.1328571184285705</c:v>
                </c:pt>
                <c:pt idx="40">
                  <c:v>4.9102856772857146</c:v>
                </c:pt>
                <c:pt idx="41">
                  <c:v>6.3367142677306969</c:v>
                </c:pt>
                <c:pt idx="42">
                  <c:v>11.867142950714285</c:v>
                </c:pt>
                <c:pt idx="43">
                  <c:v>5.2337141718571427</c:v>
                </c:pt>
                <c:pt idx="44">
                  <c:v>5.0682858059999996</c:v>
                </c:pt>
                <c:pt idx="45">
                  <c:v>4.7745714188571426</c:v>
                </c:pt>
                <c:pt idx="46">
                  <c:v>5.635714394571429</c:v>
                </c:pt>
                <c:pt idx="47">
                  <c:v>27.02714340957143</c:v>
                </c:pt>
                <c:pt idx="48">
                  <c:v>80.020142697142845</c:v>
                </c:pt>
                <c:pt idx="49">
                  <c:v>98.373141695714281</c:v>
                </c:pt>
                <c:pt idx="50">
                  <c:v>141.80585590000001</c:v>
                </c:pt>
                <c:pt idx="51">
                  <c:v>62.055856431428573</c:v>
                </c:pt>
                <c:pt idx="52">
                  <c:v>38.49128532428572</c:v>
                </c:pt>
                <c:pt idx="53">
                  <c:v>52.185428618571436</c:v>
                </c:pt>
                <c:pt idx="54">
                  <c:v>72.971142360000002</c:v>
                </c:pt>
                <c:pt idx="55">
                  <c:v>82.663999837142867</c:v>
                </c:pt>
                <c:pt idx="56">
                  <c:v>54.198429654285711</c:v>
                </c:pt>
                <c:pt idx="57">
                  <c:v>42.827428274285715</c:v>
                </c:pt>
                <c:pt idx="58">
                  <c:v>28.153690476190491</c:v>
                </c:pt>
                <c:pt idx="59">
                  <c:v>19.304999999999993</c:v>
                </c:pt>
                <c:pt idx="60">
                  <c:v>82.847664833068805</c:v>
                </c:pt>
                <c:pt idx="61">
                  <c:v>214.06428527142856</c:v>
                </c:pt>
                <c:pt idx="62">
                  <c:v>132.61828504285714</c:v>
                </c:pt>
                <c:pt idx="63">
                  <c:v>87.668715342857141</c:v>
                </c:pt>
                <c:pt idx="64">
                  <c:v>94.954141882857144</c:v>
                </c:pt>
                <c:pt idx="65">
                  <c:v>151.11671445714288</c:v>
                </c:pt>
                <c:pt idx="66">
                  <c:v>111.99457114285714</c:v>
                </c:pt>
                <c:pt idx="67">
                  <c:v>90.672572548571438</c:v>
                </c:pt>
                <c:pt idx="68">
                  <c:v>75.281570977142863</c:v>
                </c:pt>
                <c:pt idx="69">
                  <c:v>93.952999661428592</c:v>
                </c:pt>
                <c:pt idx="70">
                  <c:v>72.684429168571427</c:v>
                </c:pt>
                <c:pt idx="71">
                  <c:v>98.886571605714281</c:v>
                </c:pt>
                <c:pt idx="72">
                  <c:v>58.580000197142859</c:v>
                </c:pt>
                <c:pt idx="73">
                  <c:v>38.582285198571427</c:v>
                </c:pt>
                <c:pt idx="74">
                  <c:v>58.388999669999997</c:v>
                </c:pt>
                <c:pt idx="75">
                  <c:v>52.608856201428573</c:v>
                </c:pt>
                <c:pt idx="76">
                  <c:v>30.324857167142856</c:v>
                </c:pt>
                <c:pt idx="77">
                  <c:v>42.18199975142857</c:v>
                </c:pt>
                <c:pt idx="78">
                  <c:v>23.356142859999999</c:v>
                </c:pt>
                <c:pt idx="79">
                  <c:v>19.029285704285716</c:v>
                </c:pt>
                <c:pt idx="80">
                  <c:v>17.854285240000003</c:v>
                </c:pt>
                <c:pt idx="81">
                  <c:v>12.897285600000002</c:v>
                </c:pt>
                <c:pt idx="82">
                  <c:v>10.959428514999999</c:v>
                </c:pt>
                <c:pt idx="83">
                  <c:v>9.4098570685714282</c:v>
                </c:pt>
                <c:pt idx="84">
                  <c:v>11.666285786000001</c:v>
                </c:pt>
                <c:pt idx="85">
                  <c:v>14.739857265714283</c:v>
                </c:pt>
                <c:pt idx="86">
                  <c:v>23.257428305714285</c:v>
                </c:pt>
                <c:pt idx="87">
                  <c:v>24.894000052857141</c:v>
                </c:pt>
                <c:pt idx="88">
                  <c:v>23.149857660000002</c:v>
                </c:pt>
                <c:pt idx="89">
                  <c:v>13.527142932857144</c:v>
                </c:pt>
                <c:pt idx="90">
                  <c:v>10.351999963428572</c:v>
                </c:pt>
                <c:pt idx="91">
                  <c:v>63.700570922857146</c:v>
                </c:pt>
                <c:pt idx="92">
                  <c:v>63.922285895714289</c:v>
                </c:pt>
                <c:pt idx="93">
                  <c:v>72.515429361428573</c:v>
                </c:pt>
                <c:pt idx="94">
                  <c:v>61.990286690000005</c:v>
                </c:pt>
                <c:pt idx="95">
                  <c:v>58.057570867142864</c:v>
                </c:pt>
                <c:pt idx="96">
                  <c:v>51.101286207142849</c:v>
                </c:pt>
                <c:pt idx="97">
                  <c:v>29.017713818571433</c:v>
                </c:pt>
                <c:pt idx="98">
                  <c:v>26.885714667142853</c:v>
                </c:pt>
                <c:pt idx="99">
                  <c:v>24.753715515714301</c:v>
                </c:pt>
                <c:pt idx="100">
                  <c:v>44.843001048333328</c:v>
                </c:pt>
                <c:pt idx="101">
                  <c:v>60.681712559999994</c:v>
                </c:pt>
                <c:pt idx="102">
                  <c:v>114.8148585642857</c:v>
                </c:pt>
                <c:pt idx="103">
                  <c:v>50.073429108571432</c:v>
                </c:pt>
                <c:pt idx="104">
                  <c:v>42.987713951428574</c:v>
                </c:pt>
                <c:pt idx="105">
                  <c:v>27.815714701428572</c:v>
                </c:pt>
                <c:pt idx="106">
                  <c:v>25.573857171428568</c:v>
                </c:pt>
                <c:pt idx="107">
                  <c:v>46.27</c:v>
                </c:pt>
                <c:pt idx="108">
                  <c:v>30.758285522857143</c:v>
                </c:pt>
                <c:pt idx="109">
                  <c:v>66.892999371428573</c:v>
                </c:pt>
                <c:pt idx="110">
                  <c:v>69.485213547142905</c:v>
                </c:pt>
                <c:pt idx="111">
                  <c:v>66.892999376569193</c:v>
                </c:pt>
                <c:pt idx="112">
                  <c:v>202.43557085714284</c:v>
                </c:pt>
                <c:pt idx="113">
                  <c:v>221.61685711214301</c:v>
                </c:pt>
                <c:pt idx="114">
                  <c:v>75.359285627092575</c:v>
                </c:pt>
                <c:pt idx="115">
                  <c:v>126.76628439766976</c:v>
                </c:pt>
                <c:pt idx="116">
                  <c:v>182.03142857142853</c:v>
                </c:pt>
                <c:pt idx="117">
                  <c:v>126.58499799455872</c:v>
                </c:pt>
                <c:pt idx="118">
                  <c:v>108.36571609857143</c:v>
                </c:pt>
                <c:pt idx="119">
                  <c:v>80.749999999999957</c:v>
                </c:pt>
                <c:pt idx="120">
                  <c:v>74.78</c:v>
                </c:pt>
                <c:pt idx="121">
                  <c:v>55.015714285714289</c:v>
                </c:pt>
                <c:pt idx="122">
                  <c:v>63.114713941301552</c:v>
                </c:pt>
                <c:pt idx="123">
                  <c:v>74.948570251464801</c:v>
                </c:pt>
                <c:pt idx="124">
                  <c:v>40.69300024850024</c:v>
                </c:pt>
                <c:pt idx="125">
                  <c:v>34.15499986857143</c:v>
                </c:pt>
                <c:pt idx="126">
                  <c:v>38.822832743326785</c:v>
                </c:pt>
                <c:pt idx="127">
                  <c:v>43.344285420000006</c:v>
                </c:pt>
                <c:pt idx="128">
                  <c:v>27.371428898571427</c:v>
                </c:pt>
                <c:pt idx="129">
                  <c:v>25.336999892857143</c:v>
                </c:pt>
                <c:pt idx="130">
                  <c:v>17.011999948571425</c:v>
                </c:pt>
                <c:pt idx="131">
                  <c:v>15.456000011666667</c:v>
                </c:pt>
                <c:pt idx="132">
                  <c:v>12.983142989022358</c:v>
                </c:pt>
                <c:pt idx="133">
                  <c:v>13.575857162857142</c:v>
                </c:pt>
                <c:pt idx="134">
                  <c:v>11.669857025146444</c:v>
                </c:pt>
                <c:pt idx="135">
                  <c:v>19.260286058698341</c:v>
                </c:pt>
                <c:pt idx="136">
                  <c:v>11.767142841428575</c:v>
                </c:pt>
                <c:pt idx="137">
                  <c:v>9.6848572311428569</c:v>
                </c:pt>
                <c:pt idx="138">
                  <c:v>10.140166600545237</c:v>
                </c:pt>
                <c:pt idx="139">
                  <c:v>7.178428649999999</c:v>
                </c:pt>
                <c:pt idx="140">
                  <c:v>7.178428649999999</c:v>
                </c:pt>
                <c:pt idx="141">
                  <c:v>21.733428410121345</c:v>
                </c:pt>
                <c:pt idx="142">
                  <c:v>13.527142932857144</c:v>
                </c:pt>
                <c:pt idx="143">
                  <c:v>14.786999974931945</c:v>
                </c:pt>
                <c:pt idx="144">
                  <c:v>20.704649510407599</c:v>
                </c:pt>
                <c:pt idx="145">
                  <c:v>25.138142720000001</c:v>
                </c:pt>
                <c:pt idx="146">
                  <c:v>25.216714314051995</c:v>
                </c:pt>
                <c:pt idx="147">
                  <c:v>14.095285688571428</c:v>
                </c:pt>
                <c:pt idx="148">
                  <c:v>11.297285897391143</c:v>
                </c:pt>
                <c:pt idx="149">
                  <c:v>9.971571377428571</c:v>
                </c:pt>
                <c:pt idx="150">
                  <c:v>9.063428674425392</c:v>
                </c:pt>
                <c:pt idx="151">
                  <c:v>7.7819999286106594</c:v>
                </c:pt>
                <c:pt idx="152">
                  <c:v>6.0248571805714279</c:v>
                </c:pt>
                <c:pt idx="153">
                  <c:v>10.802999973571429</c:v>
                </c:pt>
                <c:pt idx="154">
                  <c:v>13.546999929285715</c:v>
                </c:pt>
                <c:pt idx="155">
                  <c:v>13.057714190571428</c:v>
                </c:pt>
                <c:pt idx="156">
                  <c:v>32.061142784285714</c:v>
                </c:pt>
                <c:pt idx="157">
                  <c:v>34.175857135714288</c:v>
                </c:pt>
                <c:pt idx="158">
                  <c:v>53.2630004882812</c:v>
                </c:pt>
                <c:pt idx="159">
                  <c:v>106.51171438857143</c:v>
                </c:pt>
                <c:pt idx="160">
                  <c:v>42.072000000000003</c:v>
                </c:pt>
                <c:pt idx="161">
                  <c:v>29.099428721836585</c:v>
                </c:pt>
                <c:pt idx="162">
                  <c:v>90.14</c:v>
                </c:pt>
                <c:pt idx="163">
                  <c:v>119.39471545714287</c:v>
                </c:pt>
                <c:pt idx="164">
                  <c:v>71.975428444998542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w="25400">
              <a:solidFill>
                <a:schemeClr val="accent1">
                  <a:lumMod val="75000"/>
                </a:schemeClr>
              </a:solidFill>
            </a:ln>
          </c:spPr>
          <c:marker>
            <c:symbol val="none"/>
          </c:marker>
          <c:cat>
            <c:multiLvlStrRef>
              <c:f>'12.Caudales'!$J$4:$K$168</c:f>
              <c:multiLvlStrCache>
                <c:ptCount val="165"/>
                <c:lvl>
                  <c:pt idx="7">
                    <c:v>8</c:v>
                  </c:pt>
                  <c:pt idx="15">
                    <c:v>16</c:v>
                  </c:pt>
                  <c:pt idx="23">
                    <c:v>24</c:v>
                  </c:pt>
                  <c:pt idx="31">
                    <c:v>32</c:v>
                  </c:pt>
                  <c:pt idx="39">
                    <c:v>40</c:v>
                  </c:pt>
                  <c:pt idx="51">
                    <c:v>52</c:v>
                  </c:pt>
                  <c:pt idx="64">
                    <c:v>13</c:v>
                  </c:pt>
                  <c:pt idx="77">
                    <c:v>26</c:v>
                  </c:pt>
                  <c:pt idx="95">
                    <c:v>44</c:v>
                  </c:pt>
                  <c:pt idx="103">
                    <c:v>52</c:v>
                  </c:pt>
                  <c:pt idx="109">
                    <c:v>6</c:v>
                  </c:pt>
                  <c:pt idx="121">
                    <c:v>18</c:v>
                  </c:pt>
                  <c:pt idx="129">
                    <c:v>26</c:v>
                  </c:pt>
                  <c:pt idx="141">
                    <c:v>38</c:v>
                  </c:pt>
                  <c:pt idx="155">
                    <c:v>52</c:v>
                  </c:pt>
                  <c:pt idx="164">
                    <c:v>9</c:v>
                  </c:pt>
                </c:lvl>
                <c:lvl>
                  <c:pt idx="0">
                    <c:v>2020</c:v>
                  </c:pt>
                  <c:pt idx="52">
                    <c:v>2021</c:v>
                  </c:pt>
                  <c:pt idx="104">
                    <c:v>2022</c:v>
                  </c:pt>
                  <c:pt idx="156">
                    <c:v>2023</c:v>
                  </c:pt>
                </c:lvl>
              </c:multiLvlStrCache>
            </c:multiLvlStrRef>
          </c:cat>
          <c:val>
            <c:numRef>
              <c:f>'12.Caudales'!$M$4:$M$168</c:f>
              <c:numCache>
                <c:formatCode>0.0</c:formatCode>
                <c:ptCount val="165"/>
                <c:pt idx="0">
                  <c:v>42.7519994463239</c:v>
                </c:pt>
                <c:pt idx="1">
                  <c:v>30.679571151428568</c:v>
                </c:pt>
                <c:pt idx="2">
                  <c:v>46.443999700000006</c:v>
                </c:pt>
                <c:pt idx="3">
                  <c:v>56.559571404285713</c:v>
                </c:pt>
                <c:pt idx="4">
                  <c:v>85.997285015714283</c:v>
                </c:pt>
                <c:pt idx="5">
                  <c:v>79.643857683454215</c:v>
                </c:pt>
                <c:pt idx="6">
                  <c:v>62.11542837857143</c:v>
                </c:pt>
                <c:pt idx="7">
                  <c:v>41.134571620396166</c:v>
                </c:pt>
                <c:pt idx="8">
                  <c:v>70.027142117142859</c:v>
                </c:pt>
                <c:pt idx="9">
                  <c:v>51.713285718571434</c:v>
                </c:pt>
                <c:pt idx="10">
                  <c:v>64.999999455714274</c:v>
                </c:pt>
                <c:pt idx="11">
                  <c:v>70.530143192836164</c:v>
                </c:pt>
                <c:pt idx="12">
                  <c:v>73.710714612688278</c:v>
                </c:pt>
                <c:pt idx="13">
                  <c:v>57.796857017142862</c:v>
                </c:pt>
                <c:pt idx="14">
                  <c:v>44.430285317142861</c:v>
                </c:pt>
                <c:pt idx="15">
                  <c:v>30.701856885714285</c:v>
                </c:pt>
                <c:pt idx="16">
                  <c:v>24.932857240949314</c:v>
                </c:pt>
                <c:pt idx="17">
                  <c:v>46.867285591428576</c:v>
                </c:pt>
                <c:pt idx="18">
                  <c:v>39.880857740000003</c:v>
                </c:pt>
                <c:pt idx="19">
                  <c:v>34.332998821428575</c:v>
                </c:pt>
                <c:pt idx="20">
                  <c:v>28.39914212908057</c:v>
                </c:pt>
                <c:pt idx="21">
                  <c:v>19.016142710000004</c:v>
                </c:pt>
                <c:pt idx="22">
                  <c:v>16.323713982857143</c:v>
                </c:pt>
                <c:pt idx="23">
                  <c:v>14.458999906267413</c:v>
                </c:pt>
                <c:pt idx="24">
                  <c:v>13.476999827142858</c:v>
                </c:pt>
                <c:pt idx="25">
                  <c:v>14.175142699999999</c:v>
                </c:pt>
                <c:pt idx="26">
                  <c:v>12.859571456909155</c:v>
                </c:pt>
                <c:pt idx="27">
                  <c:v>11.472142902857144</c:v>
                </c:pt>
                <c:pt idx="28">
                  <c:v>11.32885715142857</c:v>
                </c:pt>
                <c:pt idx="29">
                  <c:v>11.152000155714285</c:v>
                </c:pt>
                <c:pt idx="30">
                  <c:v>10.852571488571428</c:v>
                </c:pt>
                <c:pt idx="31">
                  <c:v>10.338285718645329</c:v>
                </c:pt>
                <c:pt idx="32">
                  <c:v>11.413999967142857</c:v>
                </c:pt>
                <c:pt idx="33">
                  <c:v>11.662143027142859</c:v>
                </c:pt>
                <c:pt idx="34">
                  <c:v>11.541428702218141</c:v>
                </c:pt>
                <c:pt idx="35">
                  <c:v>13.286857196262856</c:v>
                </c:pt>
                <c:pt idx="36">
                  <c:v>15.49071434565947</c:v>
                </c:pt>
                <c:pt idx="37">
                  <c:v>16.166143281119158</c:v>
                </c:pt>
                <c:pt idx="38">
                  <c:v>16.810999734285712</c:v>
                </c:pt>
                <c:pt idx="39">
                  <c:v>14.579285758571428</c:v>
                </c:pt>
                <c:pt idx="40">
                  <c:v>13.048857279999998</c:v>
                </c:pt>
                <c:pt idx="41">
                  <c:v>14.871000289916955</c:v>
                </c:pt>
                <c:pt idx="42">
                  <c:v>21.991714477142857</c:v>
                </c:pt>
                <c:pt idx="43">
                  <c:v>13.904857091428573</c:v>
                </c:pt>
                <c:pt idx="44">
                  <c:v>13.184428621428571</c:v>
                </c:pt>
                <c:pt idx="45">
                  <c:v>13.14228561857143</c:v>
                </c:pt>
                <c:pt idx="46">
                  <c:v>15.124714305714289</c:v>
                </c:pt>
                <c:pt idx="47">
                  <c:v>27.692142758571432</c:v>
                </c:pt>
                <c:pt idx="48">
                  <c:v>64.694000790000004</c:v>
                </c:pt>
                <c:pt idx="49">
                  <c:v>43.356857299999994</c:v>
                </c:pt>
                <c:pt idx="50">
                  <c:v>66.695286888571431</c:v>
                </c:pt>
                <c:pt idx="51">
                  <c:v>79.132000515714282</c:v>
                </c:pt>
                <c:pt idx="52">
                  <c:v>93.616000575714295</c:v>
                </c:pt>
                <c:pt idx="53">
                  <c:v>109.19371577142856</c:v>
                </c:pt>
                <c:pt idx="54">
                  <c:v>111.32100131428571</c:v>
                </c:pt>
                <c:pt idx="55">
                  <c:v>111.11885721428568</c:v>
                </c:pt>
                <c:pt idx="56">
                  <c:v>108.66071318571429</c:v>
                </c:pt>
                <c:pt idx="57">
                  <c:v>90.469143462857147</c:v>
                </c:pt>
                <c:pt idx="58">
                  <c:v>58.4</c:v>
                </c:pt>
                <c:pt idx="59">
                  <c:v>45.103515238095234</c:v>
                </c:pt>
                <c:pt idx="60">
                  <c:v>56.496856689453068</c:v>
                </c:pt>
                <c:pt idx="61">
                  <c:v>90.554714198571432</c:v>
                </c:pt>
                <c:pt idx="62">
                  <c:v>98.085857941428586</c:v>
                </c:pt>
                <c:pt idx="63">
                  <c:v>87.426713118571428</c:v>
                </c:pt>
                <c:pt idx="64">
                  <c:v>85.733285082857151</c:v>
                </c:pt>
                <c:pt idx="65">
                  <c:v>98.095142921428561</c:v>
                </c:pt>
                <c:pt idx="66">
                  <c:v>83.773572649999991</c:v>
                </c:pt>
                <c:pt idx="67">
                  <c:v>56.958000185714283</c:v>
                </c:pt>
                <c:pt idx="68">
                  <c:v>48.746000017142855</c:v>
                </c:pt>
                <c:pt idx="69">
                  <c:v>40.494427817142864</c:v>
                </c:pt>
                <c:pt idx="70">
                  <c:v>35.466286249999996</c:v>
                </c:pt>
                <c:pt idx="71">
                  <c:v>28.18171392</c:v>
                </c:pt>
                <c:pt idx="72">
                  <c:v>26.549999781428571</c:v>
                </c:pt>
                <c:pt idx="73">
                  <c:v>21.825286048571424</c:v>
                </c:pt>
                <c:pt idx="74">
                  <c:v>20.536714282857144</c:v>
                </c:pt>
                <c:pt idx="75">
                  <c:v>18.521000181428573</c:v>
                </c:pt>
                <c:pt idx="76">
                  <c:v>17.337857111428569</c:v>
                </c:pt>
                <c:pt idx="77">
                  <c:v>16.257714270000001</c:v>
                </c:pt>
                <c:pt idx="78">
                  <c:v>15.06657137</c:v>
                </c:pt>
                <c:pt idx="79">
                  <c:v>14.248142924285716</c:v>
                </c:pt>
                <c:pt idx="80">
                  <c:v>13.477857045714286</c:v>
                </c:pt>
                <c:pt idx="81">
                  <c:v>12.691000122857146</c:v>
                </c:pt>
                <c:pt idx="82">
                  <c:v>13.016714095714283</c:v>
                </c:pt>
                <c:pt idx="83">
                  <c:v>11.867571422857141</c:v>
                </c:pt>
                <c:pt idx="84">
                  <c:v>11.566857065714288</c:v>
                </c:pt>
                <c:pt idx="85">
                  <c:v>13.598856790000001</c:v>
                </c:pt>
                <c:pt idx="86">
                  <c:v>18.389285224285715</c:v>
                </c:pt>
                <c:pt idx="87">
                  <c:v>17.729570935714285</c:v>
                </c:pt>
                <c:pt idx="88">
                  <c:v>17.365428380000001</c:v>
                </c:pt>
                <c:pt idx="89">
                  <c:v>17.876142775714285</c:v>
                </c:pt>
                <c:pt idx="90">
                  <c:v>17.151999882857144</c:v>
                </c:pt>
                <c:pt idx="91">
                  <c:v>24.65814318</c:v>
                </c:pt>
                <c:pt idx="92">
                  <c:v>24.683571132857143</c:v>
                </c:pt>
                <c:pt idx="93">
                  <c:v>30.132285525714284</c:v>
                </c:pt>
                <c:pt idx="94">
                  <c:v>21.635857172857147</c:v>
                </c:pt>
                <c:pt idx="95">
                  <c:v>18.680143085714285</c:v>
                </c:pt>
                <c:pt idx="96">
                  <c:v>19.11199978285714</c:v>
                </c:pt>
                <c:pt idx="97">
                  <c:v>17.194857187142855</c:v>
                </c:pt>
                <c:pt idx="98">
                  <c:v>18.301142828571432</c:v>
                </c:pt>
                <c:pt idx="99">
                  <c:v>48.1</c:v>
                </c:pt>
                <c:pt idx="100">
                  <c:v>72.532000404285711</c:v>
                </c:pt>
                <c:pt idx="101">
                  <c:v>52.053428651428568</c:v>
                </c:pt>
                <c:pt idx="102">
                  <c:v>30.144714355714289</c:v>
                </c:pt>
                <c:pt idx="103">
                  <c:v>24.471428735714284</c:v>
                </c:pt>
                <c:pt idx="104">
                  <c:v>27.003000530000001</c:v>
                </c:pt>
                <c:pt idx="105">
                  <c:v>21.311000005714284</c:v>
                </c:pt>
                <c:pt idx="106">
                  <c:v>18.403857367142855</c:v>
                </c:pt>
                <c:pt idx="107">
                  <c:v>39.156999861428574</c:v>
                </c:pt>
                <c:pt idx="108">
                  <c:v>43.204429082857139</c:v>
                </c:pt>
                <c:pt idx="109">
                  <c:v>79.27385765999999</c:v>
                </c:pt>
                <c:pt idx="110">
                  <c:v>82.487914902714195</c:v>
                </c:pt>
                <c:pt idx="111">
                  <c:v>69.997998918805749</c:v>
                </c:pt>
                <c:pt idx="112">
                  <c:v>88.40642874285713</c:v>
                </c:pt>
                <c:pt idx="113">
                  <c:v>97.012568035088606</c:v>
                </c:pt>
                <c:pt idx="114">
                  <c:v>119.25400107247444</c:v>
                </c:pt>
                <c:pt idx="115">
                  <c:v>87.219570704868829</c:v>
                </c:pt>
                <c:pt idx="116">
                  <c:v>94.784285714285701</c:v>
                </c:pt>
                <c:pt idx="117">
                  <c:v>107.18971470424081</c:v>
                </c:pt>
                <c:pt idx="118">
                  <c:v>81.303429194285712</c:v>
                </c:pt>
                <c:pt idx="119">
                  <c:v>57.173570905412909</c:v>
                </c:pt>
                <c:pt idx="120">
                  <c:v>56.173570905412902</c:v>
                </c:pt>
                <c:pt idx="121">
                  <c:v>32.715714285714284</c:v>
                </c:pt>
                <c:pt idx="122">
                  <c:v>28.384857177734325</c:v>
                </c:pt>
                <c:pt idx="123">
                  <c:v>29.131428854806028</c:v>
                </c:pt>
                <c:pt idx="124">
                  <c:v>24.248714174543085</c:v>
                </c:pt>
                <c:pt idx="125">
                  <c:v>20.351571764285715</c:v>
                </c:pt>
                <c:pt idx="126">
                  <c:v>18.67642865862161</c:v>
                </c:pt>
                <c:pt idx="127">
                  <c:v>17.118428638571427</c:v>
                </c:pt>
                <c:pt idx="128">
                  <c:v>15.889428547142858</c:v>
                </c:pt>
                <c:pt idx="129">
                  <c:v>14.38928576857143</c:v>
                </c:pt>
                <c:pt idx="130">
                  <c:v>12.591143065714286</c:v>
                </c:pt>
                <c:pt idx="131">
                  <c:v>12.568143027142856</c:v>
                </c:pt>
                <c:pt idx="132">
                  <c:v>12.436285836355987</c:v>
                </c:pt>
                <c:pt idx="133">
                  <c:v>12.081000189999999</c:v>
                </c:pt>
                <c:pt idx="134">
                  <c:v>11.596285820007285</c:v>
                </c:pt>
                <c:pt idx="135">
                  <c:v>11.720571517944299</c:v>
                </c:pt>
                <c:pt idx="136">
                  <c:v>12.527428762857143</c:v>
                </c:pt>
                <c:pt idx="137">
                  <c:v>16.307285444285718</c:v>
                </c:pt>
                <c:pt idx="138">
                  <c:v>16.3159999847412</c:v>
                </c:pt>
                <c:pt idx="139">
                  <c:v>16.338571412285699</c:v>
                </c:pt>
                <c:pt idx="140">
                  <c:v>10.549342727592901</c:v>
                </c:pt>
                <c:pt idx="141">
                  <c:v>16.446428843906887</c:v>
                </c:pt>
                <c:pt idx="142">
                  <c:v>16.413428580000001</c:v>
                </c:pt>
                <c:pt idx="143">
                  <c:v>16.787428447178375</c:v>
                </c:pt>
                <c:pt idx="144">
                  <c:v>15.8430898672582</c:v>
                </c:pt>
                <c:pt idx="145">
                  <c:v>5.7759999548571432</c:v>
                </c:pt>
                <c:pt idx="146">
                  <c:v>11.382285799298913</c:v>
                </c:pt>
                <c:pt idx="147">
                  <c:v>5.2291429382857144</c:v>
                </c:pt>
                <c:pt idx="148">
                  <c:v>10.919857297624844</c:v>
                </c:pt>
                <c:pt idx="149">
                  <c:v>11.464714461428573</c:v>
                </c:pt>
                <c:pt idx="150">
                  <c:v>11.333428791591084</c:v>
                </c:pt>
                <c:pt idx="151">
                  <c:v>11.195143154689243</c:v>
                </c:pt>
                <c:pt idx="152">
                  <c:v>11.129571504285716</c:v>
                </c:pt>
                <c:pt idx="153">
                  <c:v>12.79414286142857</c:v>
                </c:pt>
                <c:pt idx="154">
                  <c:v>21.320999690000001</c:v>
                </c:pt>
                <c:pt idx="155">
                  <c:v>21.088856832857143</c:v>
                </c:pt>
                <c:pt idx="156">
                  <c:v>26.193571361428578</c:v>
                </c:pt>
                <c:pt idx="157">
                  <c:v>39.929000037142863</c:v>
                </c:pt>
                <c:pt idx="158">
                  <c:v>38.682570866176015</c:v>
                </c:pt>
                <c:pt idx="159">
                  <c:v>53.584285738571431</c:v>
                </c:pt>
                <c:pt idx="160">
                  <c:v>57.720571248725399</c:v>
                </c:pt>
                <c:pt idx="161">
                  <c:v>45.188856942313009</c:v>
                </c:pt>
                <c:pt idx="162">
                  <c:v>61.49</c:v>
                </c:pt>
                <c:pt idx="163">
                  <c:v>94.627143865714288</c:v>
                </c:pt>
                <c:pt idx="164">
                  <c:v>88.105715070451865</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2887.08964904</c:v>
                </c:pt>
                <c:pt idx="1">
                  <c:v>1220.1452458575002</c:v>
                </c:pt>
                <c:pt idx="2">
                  <c:v>0</c:v>
                </c:pt>
                <c:pt idx="3">
                  <c:v>4.5894430424999992</c:v>
                </c:pt>
                <c:pt idx="4">
                  <c:v>20.130939565000002</c:v>
                </c:pt>
                <c:pt idx="5">
                  <c:v>126.1483259525</c:v>
                </c:pt>
                <c:pt idx="6">
                  <c:v>63.138670817499992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1412.7406565250005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6.0439482299999998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17.0847209625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105.83284567250001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54.311310517500011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NATURALES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TAMBORAQUE (RÍMAC)</c:v>
                </c:pt>
              </c:strCache>
            </c:strRef>
          </c:tx>
          <c:spPr>
            <a:solidFill>
              <a:schemeClr val="accent5">
                <a:lumMod val="60000"/>
                <a:lumOff val="40000"/>
              </a:schemeClr>
            </a:solidFill>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'13.Caudales'!$Q$4:$Q$168</c:f>
              <c:numCache>
                <c:formatCode>_(* #,##0.00_);_(* \(#,##0.00\);_(* "-"??_);_(@_)</c:formatCode>
                <c:ptCount val="165"/>
                <c:pt idx="0">
                  <c:v>12.763571330479184</c:v>
                </c:pt>
                <c:pt idx="1">
                  <c:v>13.386285781428571</c:v>
                </c:pt>
                <c:pt idx="2">
                  <c:v>15.196428435714285</c:v>
                </c:pt>
                <c:pt idx="3">
                  <c:v>16.57199968714286</c:v>
                </c:pt>
                <c:pt idx="4">
                  <c:v>25.675428661428576</c:v>
                </c:pt>
                <c:pt idx="5">
                  <c:v>22.638571330479174</c:v>
                </c:pt>
                <c:pt idx="6">
                  <c:v>24.818285805714286</c:v>
                </c:pt>
                <c:pt idx="7">
                  <c:v>16.877285957336387</c:v>
                </c:pt>
                <c:pt idx="8">
                  <c:v>20.463000162857146</c:v>
                </c:pt>
                <c:pt idx="9">
                  <c:v>20.001714159999999</c:v>
                </c:pt>
                <c:pt idx="10">
                  <c:v>20.464285714285715</c:v>
                </c:pt>
                <c:pt idx="11">
                  <c:v>23.032714026314846</c:v>
                </c:pt>
                <c:pt idx="12">
                  <c:v>27.558857236589642</c:v>
                </c:pt>
                <c:pt idx="13">
                  <c:v>18.795857294285714</c:v>
                </c:pt>
                <c:pt idx="14">
                  <c:v>16.380999974285714</c:v>
                </c:pt>
                <c:pt idx="15">
                  <c:v>15.142857142857142</c:v>
                </c:pt>
                <c:pt idx="16">
                  <c:v>14.535142626081141</c:v>
                </c:pt>
                <c:pt idx="17">
                  <c:v>15.919285638571427</c:v>
                </c:pt>
                <c:pt idx="18">
                  <c:v>16.148714472857144</c:v>
                </c:pt>
                <c:pt idx="19">
                  <c:v>13.91285719</c:v>
                </c:pt>
                <c:pt idx="20">
                  <c:v>12.832571710859</c:v>
                </c:pt>
                <c:pt idx="21">
                  <c:v>11.589857237142857</c:v>
                </c:pt>
                <c:pt idx="22">
                  <c:v>10.866000038571428</c:v>
                </c:pt>
                <c:pt idx="23">
                  <c:v>10.893428530011814</c:v>
                </c:pt>
                <c:pt idx="24">
                  <c:v>9.7685713087142858</c:v>
                </c:pt>
                <c:pt idx="25">
                  <c:v>9.3011428291428579</c:v>
                </c:pt>
                <c:pt idx="26">
                  <c:v>9.0898572376796078</c:v>
                </c:pt>
                <c:pt idx="27">
                  <c:v>8.3315715788571421</c:v>
                </c:pt>
                <c:pt idx="28">
                  <c:v>8.7399999755714273</c:v>
                </c:pt>
                <c:pt idx="29">
                  <c:v>8.2612857819999999</c:v>
                </c:pt>
                <c:pt idx="30">
                  <c:v>7.5295715331428577</c:v>
                </c:pt>
                <c:pt idx="31">
                  <c:v>7.1332857268197154</c:v>
                </c:pt>
                <c:pt idx="32">
                  <c:v>7.307000092</c:v>
                </c:pt>
                <c:pt idx="33">
                  <c:v>6.8864285605714288</c:v>
                </c:pt>
                <c:pt idx="34">
                  <c:v>6.9537143707275364</c:v>
                </c:pt>
                <c:pt idx="35">
                  <c:v>6.8990000316074882</c:v>
                </c:pt>
                <c:pt idx="36">
                  <c:v>6.6838571003505107</c:v>
                </c:pt>
                <c:pt idx="37">
                  <c:v>7.5399999618530247</c:v>
                </c:pt>
                <c:pt idx="38">
                  <c:v>6.875</c:v>
                </c:pt>
                <c:pt idx="39">
                  <c:v>6.0911429268571426</c:v>
                </c:pt>
                <c:pt idx="40">
                  <c:v>5.8652857372857152</c:v>
                </c:pt>
                <c:pt idx="41">
                  <c:v>6.6280000550406255</c:v>
                </c:pt>
                <c:pt idx="42">
                  <c:v>7.1351429394285715</c:v>
                </c:pt>
                <c:pt idx="43">
                  <c:v>6.1070000102857147</c:v>
                </c:pt>
                <c:pt idx="44">
                  <c:v>5.6735714502857144</c:v>
                </c:pt>
                <c:pt idx="45">
                  <c:v>5.9637143271428581</c:v>
                </c:pt>
                <c:pt idx="46">
                  <c:v>6.7792857034285712</c:v>
                </c:pt>
                <c:pt idx="47">
                  <c:v>8.2138571738571429</c:v>
                </c:pt>
                <c:pt idx="48">
                  <c:v>17.68042864142857</c:v>
                </c:pt>
                <c:pt idx="49">
                  <c:v>12.617142812857141</c:v>
                </c:pt>
                <c:pt idx="50">
                  <c:v>19.502285685714288</c:v>
                </c:pt>
                <c:pt idx="51">
                  <c:v>24.478714262857146</c:v>
                </c:pt>
                <c:pt idx="52">
                  <c:v>32.471142904285713</c:v>
                </c:pt>
                <c:pt idx="53">
                  <c:v>29.357571737142859</c:v>
                </c:pt>
                <c:pt idx="54">
                  <c:v>27.718428745714288</c:v>
                </c:pt>
                <c:pt idx="55">
                  <c:v>30.739285877142859</c:v>
                </c:pt>
                <c:pt idx="56">
                  <c:v>25.584571565714288</c:v>
                </c:pt>
                <c:pt idx="57">
                  <c:v>18.677976190476191</c:v>
                </c:pt>
                <c:pt idx="58">
                  <c:v>18.677976190476191</c:v>
                </c:pt>
                <c:pt idx="59">
                  <c:v>15.895833333333314</c:v>
                </c:pt>
                <c:pt idx="60">
                  <c:v>16.03157152448377</c:v>
                </c:pt>
                <c:pt idx="61">
                  <c:v>28.276142392857142</c:v>
                </c:pt>
                <c:pt idx="62">
                  <c:v>28.634571619999999</c:v>
                </c:pt>
                <c:pt idx="63">
                  <c:v>28.223285404285715</c:v>
                </c:pt>
                <c:pt idx="64">
                  <c:v>27.516571317142855</c:v>
                </c:pt>
                <c:pt idx="65">
                  <c:v>29.126714707142856</c:v>
                </c:pt>
                <c:pt idx="66">
                  <c:v>28.420428685714288</c:v>
                </c:pt>
                <c:pt idx="67">
                  <c:v>21.880999702857146</c:v>
                </c:pt>
                <c:pt idx="68">
                  <c:v>18.000999994285714</c:v>
                </c:pt>
                <c:pt idx="69">
                  <c:v>16.076714378571427</c:v>
                </c:pt>
                <c:pt idx="70">
                  <c:v>15.213571411428573</c:v>
                </c:pt>
                <c:pt idx="71">
                  <c:v>14.241714205714286</c:v>
                </c:pt>
                <c:pt idx="72">
                  <c:v>14.091571398571428</c:v>
                </c:pt>
                <c:pt idx="73">
                  <c:v>12.206428662857144</c:v>
                </c:pt>
                <c:pt idx="74">
                  <c:v>10.714285714285714</c:v>
                </c:pt>
                <c:pt idx="75">
                  <c:v>10.648285731428571</c:v>
                </c:pt>
                <c:pt idx="76">
                  <c:v>10.931000164428569</c:v>
                </c:pt>
                <c:pt idx="77">
                  <c:v>9.871286118714286</c:v>
                </c:pt>
                <c:pt idx="78">
                  <c:v>9.2658571514285715</c:v>
                </c:pt>
                <c:pt idx="79">
                  <c:v>8.3581429888571428</c:v>
                </c:pt>
                <c:pt idx="80">
                  <c:v>8.2642856324285709</c:v>
                </c:pt>
                <c:pt idx="81">
                  <c:v>7.629714148142857</c:v>
                </c:pt>
                <c:pt idx="82">
                  <c:v>7.8445713860000001</c:v>
                </c:pt>
                <c:pt idx="83">
                  <c:v>7.8535714147142865</c:v>
                </c:pt>
                <c:pt idx="84">
                  <c:v>7.8434285441428573</c:v>
                </c:pt>
                <c:pt idx="85">
                  <c:v>8.0232857294285722</c:v>
                </c:pt>
                <c:pt idx="86">
                  <c:v>9.1238570895714286</c:v>
                </c:pt>
                <c:pt idx="87">
                  <c:v>8.2869999062857129</c:v>
                </c:pt>
                <c:pt idx="88">
                  <c:v>7.2742856564285701</c:v>
                </c:pt>
                <c:pt idx="89">
                  <c:v>5.7302856442857149</c:v>
                </c:pt>
                <c:pt idx="90">
                  <c:v>5.3494285172857152</c:v>
                </c:pt>
                <c:pt idx="91">
                  <c:v>5.4815714698571432</c:v>
                </c:pt>
                <c:pt idx="92">
                  <c:v>6.414142881000001</c:v>
                </c:pt>
                <c:pt idx="93">
                  <c:v>7.0597143174285719</c:v>
                </c:pt>
                <c:pt idx="94">
                  <c:v>6.5518571988571432</c:v>
                </c:pt>
                <c:pt idx="95">
                  <c:v>6.2178571565714282</c:v>
                </c:pt>
                <c:pt idx="96">
                  <c:v>5.7207142285714285</c:v>
                </c:pt>
                <c:pt idx="97">
                  <c:v>5.8224285672857139</c:v>
                </c:pt>
                <c:pt idx="98">
                  <c:v>8.7129998894285716</c:v>
                </c:pt>
                <c:pt idx="99">
                  <c:v>9.7443332226190496</c:v>
                </c:pt>
                <c:pt idx="100">
                  <c:v>15.740428922857143</c:v>
                </c:pt>
                <c:pt idx="101">
                  <c:v>11.458857127</c:v>
                </c:pt>
                <c:pt idx="102">
                  <c:v>9.4554285322857137</c:v>
                </c:pt>
                <c:pt idx="103">
                  <c:v>10.030285698</c:v>
                </c:pt>
                <c:pt idx="104">
                  <c:v>11.54385730142857</c:v>
                </c:pt>
                <c:pt idx="105">
                  <c:v>10.532571247428569</c:v>
                </c:pt>
                <c:pt idx="106">
                  <c:v>12.373285701428571</c:v>
                </c:pt>
                <c:pt idx="107">
                  <c:v>13.78142860857143</c:v>
                </c:pt>
                <c:pt idx="108">
                  <c:v>16.13685744</c:v>
                </c:pt>
                <c:pt idx="109">
                  <c:v>18.235713957142856</c:v>
                </c:pt>
                <c:pt idx="110">
                  <c:v>20.117499826428599</c:v>
                </c:pt>
                <c:pt idx="111">
                  <c:v>25.340999875749826</c:v>
                </c:pt>
                <c:pt idx="112">
                  <c:v>27.784285954285711</c:v>
                </c:pt>
                <c:pt idx="113">
                  <c:v>28.093753942631899</c:v>
                </c:pt>
                <c:pt idx="114">
                  <c:v>33.420857293265151</c:v>
                </c:pt>
                <c:pt idx="115">
                  <c:v>23.805857249668641</c:v>
                </c:pt>
                <c:pt idx="116">
                  <c:v>28.491428571428571</c:v>
                </c:pt>
                <c:pt idx="117">
                  <c:v>27.723999840872604</c:v>
                </c:pt>
                <c:pt idx="118">
                  <c:v>22.026428767142853</c:v>
                </c:pt>
                <c:pt idx="119">
                  <c:v>15.928285734994029</c:v>
                </c:pt>
                <c:pt idx="120">
                  <c:v>14.988285734993999</c:v>
                </c:pt>
                <c:pt idx="121">
                  <c:v>13.782857142857143</c:v>
                </c:pt>
                <c:pt idx="122">
                  <c:v>12.89642851693287</c:v>
                </c:pt>
                <c:pt idx="123">
                  <c:v>12.223428453717887</c:v>
                </c:pt>
                <c:pt idx="124">
                  <c:v>10.884428433009543</c:v>
                </c:pt>
                <c:pt idx="125">
                  <c:v>10.348285540285715</c:v>
                </c:pt>
                <c:pt idx="126">
                  <c:v>9.2024285452706458</c:v>
                </c:pt>
                <c:pt idx="127">
                  <c:v>9.7554287231428578</c:v>
                </c:pt>
                <c:pt idx="128">
                  <c:v>9.0029998505714293</c:v>
                </c:pt>
                <c:pt idx="129">
                  <c:v>8.8088571004285718</c:v>
                </c:pt>
                <c:pt idx="130">
                  <c:v>8.6749999188571429</c:v>
                </c:pt>
                <c:pt idx="131">
                  <c:v>8.5319998604285718</c:v>
                </c:pt>
                <c:pt idx="132">
                  <c:v>7.5015713146754646</c:v>
                </c:pt>
                <c:pt idx="133">
                  <c:v>6.9631428037142857</c:v>
                </c:pt>
                <c:pt idx="134">
                  <c:v>6.8165713718959227</c:v>
                </c:pt>
                <c:pt idx="135">
                  <c:v>6.7767143249511674</c:v>
                </c:pt>
                <c:pt idx="136">
                  <c:v>6.6272856167142846</c:v>
                </c:pt>
                <c:pt idx="137">
                  <c:v>6.5701428822857153</c:v>
                </c:pt>
                <c:pt idx="138">
                  <c:v>6.5428572382245695</c:v>
                </c:pt>
                <c:pt idx="139">
                  <c:v>6.3227143287142855</c:v>
                </c:pt>
                <c:pt idx="140">
                  <c:v>6.2865810394126704</c:v>
                </c:pt>
                <c:pt idx="141">
                  <c:v>5.793857097625728</c:v>
                </c:pt>
                <c:pt idx="142">
                  <c:v>5.9811427934285719</c:v>
                </c:pt>
                <c:pt idx="143">
                  <c:v>5.635571479797358</c:v>
                </c:pt>
                <c:pt idx="144">
                  <c:v>5.5000561646503403</c:v>
                </c:pt>
                <c:pt idx="145">
                  <c:v>4.9938571794285718</c:v>
                </c:pt>
                <c:pt idx="146">
                  <c:v>5.6268571444920088</c:v>
                </c:pt>
                <c:pt idx="147">
                  <c:v>5.2291429382857144</c:v>
                </c:pt>
                <c:pt idx="148">
                  <c:v>5.4345714705330943</c:v>
                </c:pt>
                <c:pt idx="149">
                  <c:v>5.3250000135714286</c:v>
                </c:pt>
                <c:pt idx="150">
                  <c:v>5.2195714201245949</c:v>
                </c:pt>
                <c:pt idx="151">
                  <c:v>5.7077142170497295</c:v>
                </c:pt>
                <c:pt idx="152">
                  <c:v>6.1595714432857145</c:v>
                </c:pt>
                <c:pt idx="153">
                  <c:v>8.2302858491428559</c:v>
                </c:pt>
                <c:pt idx="154">
                  <c:v>8.6974285665714284</c:v>
                </c:pt>
                <c:pt idx="155">
                  <c:v>12.067857061428571</c:v>
                </c:pt>
                <c:pt idx="156">
                  <c:v>15.932143074285715</c:v>
                </c:pt>
                <c:pt idx="157">
                  <c:v>13.622000012857143</c:v>
                </c:pt>
                <c:pt idx="158">
                  <c:v>14.96771430969237</c:v>
                </c:pt>
                <c:pt idx="159">
                  <c:v>13.91128580857143</c:v>
                </c:pt>
                <c:pt idx="160">
                  <c:v>16.3</c:v>
                </c:pt>
                <c:pt idx="161">
                  <c:v>21.669000080653571</c:v>
                </c:pt>
                <c:pt idx="162">
                  <c:v>23.23</c:v>
                </c:pt>
                <c:pt idx="163">
                  <c:v>30.719714572857139</c:v>
                </c:pt>
                <c:pt idx="164">
                  <c:v>22.826571600777726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SHEQUE (SANTA EULALIA)</c:v>
                </c:pt>
              </c:strCache>
            </c:strRef>
          </c:tx>
          <c:spPr>
            <a:solidFill>
              <a:srgbClr val="0077A5"/>
            </a:solidFill>
            <a:ln w="25400">
              <a:noFill/>
            </a:ln>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'13.Caudales'!$R$4:$R$168</c:f>
              <c:numCache>
                <c:formatCode>_(* #,##0.00_);_(* \(#,##0.00\);_(* "-"??_);_(@_)</c:formatCode>
                <c:ptCount val="165"/>
                <c:pt idx="0">
                  <c:v>7.4842857292720009</c:v>
                </c:pt>
                <c:pt idx="1">
                  <c:v>6.9174285272857139</c:v>
                </c:pt>
                <c:pt idx="2">
                  <c:v>11.330428599714283</c:v>
                </c:pt>
                <c:pt idx="3">
                  <c:v>12.821999958571428</c:v>
                </c:pt>
                <c:pt idx="4">
                  <c:v>18.254856927142857</c:v>
                </c:pt>
                <c:pt idx="5">
                  <c:v>17.332571574619813</c:v>
                </c:pt>
                <c:pt idx="6">
                  <c:v>19.436000279999998</c:v>
                </c:pt>
                <c:pt idx="7">
                  <c:v>13.084142684936484</c:v>
                </c:pt>
                <c:pt idx="8">
                  <c:v>16.131428717142857</c:v>
                </c:pt>
                <c:pt idx="9">
                  <c:v>16.133428572857145</c:v>
                </c:pt>
                <c:pt idx="10">
                  <c:v>16.275285719999999</c:v>
                </c:pt>
                <c:pt idx="11">
                  <c:v>20.180714198521169</c:v>
                </c:pt>
                <c:pt idx="12">
                  <c:v>21.319143022809669</c:v>
                </c:pt>
                <c:pt idx="13">
                  <c:v>18.168000220000003</c:v>
                </c:pt>
                <c:pt idx="14">
                  <c:v>14.786285537142858</c:v>
                </c:pt>
                <c:pt idx="15">
                  <c:v>11.113285608857142</c:v>
                </c:pt>
                <c:pt idx="16">
                  <c:v>7.95871441704886</c:v>
                </c:pt>
                <c:pt idx="17">
                  <c:v>12.133857388142859</c:v>
                </c:pt>
                <c:pt idx="18">
                  <c:v>14.776714189999998</c:v>
                </c:pt>
                <c:pt idx="19">
                  <c:v>10.484285559</c:v>
                </c:pt>
                <c:pt idx="20">
                  <c:v>8.7072857448032899</c:v>
                </c:pt>
                <c:pt idx="21">
                  <c:v>7.6087141037142851</c:v>
                </c:pt>
                <c:pt idx="22">
                  <c:v>6.6898570742857144</c:v>
                </c:pt>
                <c:pt idx="23">
                  <c:v>6.3937142235892095</c:v>
                </c:pt>
                <c:pt idx="24">
                  <c:v>5.4858571460000007</c:v>
                </c:pt>
                <c:pt idx="25">
                  <c:v>5.6422856875714285</c:v>
                </c:pt>
                <c:pt idx="26">
                  <c:v>4.8411428587777223</c:v>
                </c:pt>
                <c:pt idx="27">
                  <c:v>4.0902857780000001</c:v>
                </c:pt>
                <c:pt idx="28">
                  <c:v>3.3690000857142857</c:v>
                </c:pt>
                <c:pt idx="29">
                  <c:v>3.9334286622857135</c:v>
                </c:pt>
                <c:pt idx="30">
                  <c:v>3.8718570981428577</c:v>
                </c:pt>
                <c:pt idx="31">
                  <c:v>3.9694285733359158</c:v>
                </c:pt>
                <c:pt idx="32">
                  <c:v>4.0542857307142848</c:v>
                </c:pt>
                <c:pt idx="33">
                  <c:v>3.8852857181428568</c:v>
                </c:pt>
                <c:pt idx="34">
                  <c:v>3.3560000147138283</c:v>
                </c:pt>
                <c:pt idx="35">
                  <c:v>3.1212857110159686</c:v>
                </c:pt>
                <c:pt idx="36">
                  <c:v>3.6978571414947474</c:v>
                </c:pt>
                <c:pt idx="37">
                  <c:v>4.336428608285714</c:v>
                </c:pt>
                <c:pt idx="38">
                  <c:v>3.7</c:v>
                </c:pt>
                <c:pt idx="39">
                  <c:v>3.501428569857143</c:v>
                </c:pt>
                <c:pt idx="40">
                  <c:v>4.2169999735714283</c:v>
                </c:pt>
                <c:pt idx="41">
                  <c:v>4.7599999564034556</c:v>
                </c:pt>
                <c:pt idx="42">
                  <c:v>5.693714175857143</c:v>
                </c:pt>
                <c:pt idx="43">
                  <c:v>4.3958570957142857</c:v>
                </c:pt>
                <c:pt idx="44">
                  <c:v>4.5134285178571432</c:v>
                </c:pt>
                <c:pt idx="45">
                  <c:v>5.3014286587142854</c:v>
                </c:pt>
                <c:pt idx="46">
                  <c:v>3.8094285555714285</c:v>
                </c:pt>
                <c:pt idx="47">
                  <c:v>5.0787143024285717</c:v>
                </c:pt>
                <c:pt idx="48">
                  <c:v>12.998142924285714</c:v>
                </c:pt>
                <c:pt idx="49">
                  <c:v>11.908142771714285</c:v>
                </c:pt>
                <c:pt idx="50">
                  <c:v>17.91042859142857</c:v>
                </c:pt>
                <c:pt idx="51">
                  <c:v>20.052142824285713</c:v>
                </c:pt>
                <c:pt idx="52">
                  <c:v>23.040428705714284</c:v>
                </c:pt>
                <c:pt idx="53">
                  <c:v>22.506999971428574</c:v>
                </c:pt>
                <c:pt idx="54">
                  <c:v>21.345142638571424</c:v>
                </c:pt>
                <c:pt idx="55">
                  <c:v>24.126143047142854</c:v>
                </c:pt>
                <c:pt idx="56">
                  <c:v>22.874571391428567</c:v>
                </c:pt>
                <c:pt idx="57">
                  <c:v>19.115142824285716</c:v>
                </c:pt>
                <c:pt idx="58">
                  <c:v>18.677976190476191</c:v>
                </c:pt>
                <c:pt idx="59">
                  <c:v>8.1069999999999993</c:v>
                </c:pt>
                <c:pt idx="60">
                  <c:v>10.70885712759833</c:v>
                </c:pt>
                <c:pt idx="61">
                  <c:v>21.731714248571429</c:v>
                </c:pt>
                <c:pt idx="62">
                  <c:v>21.524857657142856</c:v>
                </c:pt>
                <c:pt idx="63">
                  <c:v>22.087285995714286</c:v>
                </c:pt>
                <c:pt idx="64">
                  <c:v>23.321285792857143</c:v>
                </c:pt>
                <c:pt idx="65">
                  <c:v>26.810000011428574</c:v>
                </c:pt>
                <c:pt idx="66">
                  <c:v>22.159857068571426</c:v>
                </c:pt>
                <c:pt idx="67">
                  <c:v>20.447000231428571</c:v>
                </c:pt>
                <c:pt idx="68">
                  <c:v>14.095428602857144</c:v>
                </c:pt>
                <c:pt idx="69">
                  <c:v>12.509142604285715</c:v>
                </c:pt>
                <c:pt idx="70">
                  <c:v>8.5715713499999993</c:v>
                </c:pt>
                <c:pt idx="71">
                  <c:v>7.0702857972857149</c:v>
                </c:pt>
                <c:pt idx="72">
                  <c:v>7.0830000470000005</c:v>
                </c:pt>
                <c:pt idx="73">
                  <c:v>6.5260000228571426</c:v>
                </c:pt>
                <c:pt idx="74">
                  <c:v>6.0984286581428568</c:v>
                </c:pt>
                <c:pt idx="75">
                  <c:v>5.3554284574285722</c:v>
                </c:pt>
                <c:pt idx="76">
                  <c:v>6.0032857149999996</c:v>
                </c:pt>
                <c:pt idx="77">
                  <c:v>4.9715714455714286</c:v>
                </c:pt>
                <c:pt idx="78">
                  <c:v>4.8162857462857147</c:v>
                </c:pt>
                <c:pt idx="79">
                  <c:v>4.1457142830000002</c:v>
                </c:pt>
                <c:pt idx="80">
                  <c:v>4.2404285498571426</c:v>
                </c:pt>
                <c:pt idx="81">
                  <c:v>3.9339999471428575</c:v>
                </c:pt>
                <c:pt idx="82">
                  <c:v>4.2642856665714284</c:v>
                </c:pt>
                <c:pt idx="83">
                  <c:v>4.0602857387142857</c:v>
                </c:pt>
                <c:pt idx="84">
                  <c:v>3.7991428715714286</c:v>
                </c:pt>
                <c:pt idx="85">
                  <c:v>3.6017142020000001</c:v>
                </c:pt>
                <c:pt idx="86">
                  <c:v>6.7515713490000007</c:v>
                </c:pt>
                <c:pt idx="87">
                  <c:v>5.5024285997142854</c:v>
                </c:pt>
                <c:pt idx="88">
                  <c:v>5.7037142345714287</c:v>
                </c:pt>
                <c:pt idx="89">
                  <c:v>4.6181428091428574</c:v>
                </c:pt>
                <c:pt idx="90">
                  <c:v>4.7248570578571423</c:v>
                </c:pt>
                <c:pt idx="91">
                  <c:v>5.3951427595714279</c:v>
                </c:pt>
                <c:pt idx="92">
                  <c:v>5.6744286329999998</c:v>
                </c:pt>
                <c:pt idx="93">
                  <c:v>5.6411428450000001</c:v>
                </c:pt>
                <c:pt idx="94">
                  <c:v>5.278142861428571</c:v>
                </c:pt>
                <c:pt idx="95">
                  <c:v>3.7729999678571429</c:v>
                </c:pt>
                <c:pt idx="96">
                  <c:v>4.0865714210000004</c:v>
                </c:pt>
                <c:pt idx="97">
                  <c:v>4.1967142989999999</c:v>
                </c:pt>
                <c:pt idx="98">
                  <c:v>6.8662857328571425</c:v>
                </c:pt>
                <c:pt idx="99">
                  <c:v>7.8295714628095201</c:v>
                </c:pt>
                <c:pt idx="100">
                  <c:v>16.272571155571431</c:v>
                </c:pt>
                <c:pt idx="101">
                  <c:v>8.6871428825714272</c:v>
                </c:pt>
                <c:pt idx="102">
                  <c:v>4.7284286361428576</c:v>
                </c:pt>
                <c:pt idx="103">
                  <c:v>6.3814284807142858</c:v>
                </c:pt>
                <c:pt idx="104">
                  <c:v>6.3410000120000003</c:v>
                </c:pt>
                <c:pt idx="105">
                  <c:v>5.6152856691428568</c:v>
                </c:pt>
                <c:pt idx="106">
                  <c:v>6.7777144562857146</c:v>
                </c:pt>
                <c:pt idx="107">
                  <c:v>10.307714326428572</c:v>
                </c:pt>
                <c:pt idx="108">
                  <c:v>10.226857389000001</c:v>
                </c:pt>
                <c:pt idx="109">
                  <c:v>10.726285798285716</c:v>
                </c:pt>
                <c:pt idx="110">
                  <c:v>12.450857264642901</c:v>
                </c:pt>
                <c:pt idx="111">
                  <c:v>18.084142684936488</c:v>
                </c:pt>
                <c:pt idx="112">
                  <c:v>17.056714467142857</c:v>
                </c:pt>
                <c:pt idx="113">
                  <c:v>19.095928647332201</c:v>
                </c:pt>
                <c:pt idx="114">
                  <c:v>21.210571697780029</c:v>
                </c:pt>
                <c:pt idx="115">
                  <c:v>19.053143092564113</c:v>
                </c:pt>
                <c:pt idx="116">
                  <c:v>22.648571428571426</c:v>
                </c:pt>
                <c:pt idx="117">
                  <c:v>25.617999758039169</c:v>
                </c:pt>
                <c:pt idx="118">
                  <c:v>20.249143055714288</c:v>
                </c:pt>
                <c:pt idx="119">
                  <c:v>13.163428579057927</c:v>
                </c:pt>
                <c:pt idx="120">
                  <c:v>14.963714392629401</c:v>
                </c:pt>
                <c:pt idx="121">
                  <c:v>9.805714285714286</c:v>
                </c:pt>
                <c:pt idx="122">
                  <c:v>8.2621427263532308</c:v>
                </c:pt>
                <c:pt idx="123">
                  <c:v>8.1970000267028773</c:v>
                </c:pt>
                <c:pt idx="124">
                  <c:v>7.9334286281040693</c:v>
                </c:pt>
                <c:pt idx="125">
                  <c:v>7.5271429334285713</c:v>
                </c:pt>
                <c:pt idx="126">
                  <c:v>7.8158572060721223</c:v>
                </c:pt>
                <c:pt idx="127">
                  <c:v>6.7071426938571426</c:v>
                </c:pt>
                <c:pt idx="128">
                  <c:v>5.0975714409999995</c:v>
                </c:pt>
                <c:pt idx="129">
                  <c:v>4.9562855787142857</c:v>
                </c:pt>
                <c:pt idx="130">
                  <c:v>5.8004284587142854</c:v>
                </c:pt>
                <c:pt idx="131">
                  <c:v>4.793428557285714</c:v>
                </c:pt>
                <c:pt idx="132">
                  <c:v>4.1201429026467418</c:v>
                </c:pt>
                <c:pt idx="133">
                  <c:v>3.7525714465714288</c:v>
                </c:pt>
                <c:pt idx="134">
                  <c:v>3.3494285855974431</c:v>
                </c:pt>
                <c:pt idx="135">
                  <c:v>3.2958571570260142</c:v>
                </c:pt>
                <c:pt idx="136">
                  <c:v>3.2975714547142858</c:v>
                </c:pt>
                <c:pt idx="137">
                  <c:v>3.5422857148571425</c:v>
                </c:pt>
                <c:pt idx="138">
                  <c:v>3.660142830439971</c:v>
                </c:pt>
                <c:pt idx="139">
                  <c:v>4.3679998937142859</c:v>
                </c:pt>
                <c:pt idx="140">
                  <c:v>3.77252543796107</c:v>
                </c:pt>
                <c:pt idx="141">
                  <c:v>4.5530000073569106</c:v>
                </c:pt>
                <c:pt idx="142">
                  <c:v>3.9475713797142857</c:v>
                </c:pt>
                <c:pt idx="143">
                  <c:v>4.196571486336838</c:v>
                </c:pt>
                <c:pt idx="144">
                  <c:v>4.2840944572134498</c:v>
                </c:pt>
                <c:pt idx="145">
                  <c:v>4</c:v>
                </c:pt>
                <c:pt idx="146">
                  <c:v>4.612428597041534</c:v>
                </c:pt>
                <c:pt idx="147">
                  <c:v>4.4097143239999994</c:v>
                </c:pt>
                <c:pt idx="148">
                  <c:v>3.90100002288818</c:v>
                </c:pt>
                <c:pt idx="149">
                  <c:v>3.9275713648571431</c:v>
                </c:pt>
                <c:pt idx="150">
                  <c:v>4.3361428805759958</c:v>
                </c:pt>
                <c:pt idx="151">
                  <c:v>4.0250000272478319</c:v>
                </c:pt>
                <c:pt idx="152">
                  <c:v>3.979571376428571</c:v>
                </c:pt>
                <c:pt idx="153">
                  <c:v>4.227428538571429</c:v>
                </c:pt>
                <c:pt idx="154">
                  <c:v>4.2828571114285712</c:v>
                </c:pt>
                <c:pt idx="155">
                  <c:v>5.9124286172857135</c:v>
                </c:pt>
                <c:pt idx="156">
                  <c:v>11.847142697285713</c:v>
                </c:pt>
                <c:pt idx="157">
                  <c:v>10.387571334714284</c:v>
                </c:pt>
                <c:pt idx="158">
                  <c:v>12.343428543635765</c:v>
                </c:pt>
                <c:pt idx="159">
                  <c:v>11.180999892285714</c:v>
                </c:pt>
                <c:pt idx="160">
                  <c:v>12.37</c:v>
                </c:pt>
                <c:pt idx="161">
                  <c:v>15.139999934605159</c:v>
                </c:pt>
                <c:pt idx="162">
                  <c:v>16.53</c:v>
                </c:pt>
                <c:pt idx="163">
                  <c:v>21.736999784285718</c:v>
                </c:pt>
                <c:pt idx="164">
                  <c:v>16.407857349940684</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24949669124195525"/>
          <c:y val="0.13730467658152601"/>
          <c:w val="0.53296622983308239"/>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NATURALES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'13.Caudales'!$S$4:$S$168</c:f>
              <c:numCache>
                <c:formatCode>_(* #,##0.00_);_(* \(#,##0.00\);_(* "-"??_);_(@_)</c:formatCode>
                <c:ptCount val="165"/>
                <c:pt idx="0">
                  <c:v>176.20814078194715</c:v>
                </c:pt>
                <c:pt idx="1">
                  <c:v>159.75199889999999</c:v>
                </c:pt>
                <c:pt idx="2">
                  <c:v>243.87700107142857</c:v>
                </c:pt>
                <c:pt idx="3">
                  <c:v>236.61043005714285</c:v>
                </c:pt>
                <c:pt idx="4">
                  <c:v>392.82542635714287</c:v>
                </c:pt>
                <c:pt idx="5">
                  <c:v>448.59157017299066</c:v>
                </c:pt>
                <c:pt idx="6">
                  <c:v>374.25799560000002</c:v>
                </c:pt>
                <c:pt idx="7">
                  <c:v>289.19357081821948</c:v>
                </c:pt>
                <c:pt idx="8">
                  <c:v>302.38613892857137</c:v>
                </c:pt>
                <c:pt idx="9">
                  <c:v>219.49971445714283</c:v>
                </c:pt>
                <c:pt idx="10">
                  <c:v>210.39014761428572</c:v>
                </c:pt>
                <c:pt idx="11">
                  <c:v>335.19785417829189</c:v>
                </c:pt>
                <c:pt idx="12">
                  <c:v>569.31741768973188</c:v>
                </c:pt>
                <c:pt idx="13">
                  <c:v>298.48543221428571</c:v>
                </c:pt>
                <c:pt idx="14">
                  <c:v>196.30642698571427</c:v>
                </c:pt>
                <c:pt idx="15">
                  <c:v>144.25785718571427</c:v>
                </c:pt>
                <c:pt idx="16">
                  <c:v>118.61742946079741</c:v>
                </c:pt>
                <c:pt idx="17">
                  <c:v>119.46943012857146</c:v>
                </c:pt>
                <c:pt idx="18">
                  <c:v>179.62085941428572</c:v>
                </c:pt>
                <c:pt idx="19">
                  <c:v>132.41042655714287</c:v>
                </c:pt>
                <c:pt idx="20">
                  <c:v>118.96285901750787</c:v>
                </c:pt>
                <c:pt idx="21">
                  <c:v>92.527713229999989</c:v>
                </c:pt>
                <c:pt idx="22">
                  <c:v>86.262142725714284</c:v>
                </c:pt>
                <c:pt idx="23">
                  <c:v>80.154999869210343</c:v>
                </c:pt>
                <c:pt idx="24">
                  <c:v>71.438000270000003</c:v>
                </c:pt>
                <c:pt idx="25">
                  <c:v>70.798141479999998</c:v>
                </c:pt>
                <c:pt idx="26">
                  <c:v>72.323284694126613</c:v>
                </c:pt>
                <c:pt idx="27">
                  <c:v>70.352427891428562</c:v>
                </c:pt>
                <c:pt idx="28">
                  <c:v>69.363000051428585</c:v>
                </c:pt>
                <c:pt idx="29">
                  <c:v>68.101856775714282</c:v>
                </c:pt>
                <c:pt idx="30">
                  <c:v>66.163572037142856</c:v>
                </c:pt>
                <c:pt idx="31">
                  <c:v>69.589143480573355</c:v>
                </c:pt>
                <c:pt idx="32">
                  <c:v>67.52914374142857</c:v>
                </c:pt>
                <c:pt idx="33">
                  <c:v>67.307859692857136</c:v>
                </c:pt>
                <c:pt idx="34">
                  <c:v>62.870428357805473</c:v>
                </c:pt>
                <c:pt idx="35">
                  <c:v>65.621286119733483</c:v>
                </c:pt>
                <c:pt idx="36">
                  <c:v>65.927430289132204</c:v>
                </c:pt>
                <c:pt idx="37">
                  <c:v>68.259427751813561</c:v>
                </c:pt>
                <c:pt idx="38">
                  <c:v>75.159429278571437</c:v>
                </c:pt>
                <c:pt idx="39">
                  <c:v>73.523286004285723</c:v>
                </c:pt>
                <c:pt idx="40">
                  <c:v>67.761285509999993</c:v>
                </c:pt>
                <c:pt idx="41">
                  <c:v>71.132857186453606</c:v>
                </c:pt>
                <c:pt idx="42">
                  <c:v>76.869857788571409</c:v>
                </c:pt>
                <c:pt idx="43">
                  <c:v>68.664999825714276</c:v>
                </c:pt>
                <c:pt idx="44">
                  <c:v>62.049999781428575</c:v>
                </c:pt>
                <c:pt idx="45">
                  <c:v>57.546571460000003</c:v>
                </c:pt>
                <c:pt idx="46">
                  <c:v>56.944714135714285</c:v>
                </c:pt>
                <c:pt idx="47">
                  <c:v>56.829999651428572</c:v>
                </c:pt>
                <c:pt idx="48">
                  <c:v>90.966000160000007</c:v>
                </c:pt>
                <c:pt idx="49">
                  <c:v>83.198000225714296</c:v>
                </c:pt>
                <c:pt idx="50">
                  <c:v>93.582571842857163</c:v>
                </c:pt>
                <c:pt idx="51">
                  <c:v>198.89756992857141</c:v>
                </c:pt>
                <c:pt idx="52">
                  <c:v>363.19999692857135</c:v>
                </c:pt>
                <c:pt idx="53">
                  <c:v>323.79400198571426</c:v>
                </c:pt>
                <c:pt idx="54">
                  <c:v>401.6544320142857</c:v>
                </c:pt>
                <c:pt idx="55">
                  <c:v>367.00971765714274</c:v>
                </c:pt>
                <c:pt idx="56">
                  <c:v>260.95085362857145</c:v>
                </c:pt>
                <c:pt idx="57">
                  <c:v>266.1391427142857</c:v>
                </c:pt>
                <c:pt idx="58">
                  <c:v>231.286666666667</c:v>
                </c:pt>
                <c:pt idx="59">
                  <c:v>131.62660714285707</c:v>
                </c:pt>
                <c:pt idx="60">
                  <c:v>115.81614358084498</c:v>
                </c:pt>
                <c:pt idx="61">
                  <c:v>254.39099884285716</c:v>
                </c:pt>
                <c:pt idx="62">
                  <c:v>320.82542418571427</c:v>
                </c:pt>
                <c:pt idx="63">
                  <c:v>295.67700197142852</c:v>
                </c:pt>
                <c:pt idx="64">
                  <c:v>358.4028538428571</c:v>
                </c:pt>
                <c:pt idx="65">
                  <c:v>415.37771607142855</c:v>
                </c:pt>
                <c:pt idx="66">
                  <c:v>388.02957154285713</c:v>
                </c:pt>
                <c:pt idx="67">
                  <c:v>189.56900242857142</c:v>
                </c:pt>
                <c:pt idx="68">
                  <c:v>140.97214290000002</c:v>
                </c:pt>
                <c:pt idx="69">
                  <c:v>114.69700078571428</c:v>
                </c:pt>
                <c:pt idx="70">
                  <c:v>99.656284881428547</c:v>
                </c:pt>
                <c:pt idx="71">
                  <c:v>88.480572290000026</c:v>
                </c:pt>
                <c:pt idx="72">
                  <c:v>98.34657178714285</c:v>
                </c:pt>
                <c:pt idx="73">
                  <c:v>88.19400133428573</c:v>
                </c:pt>
                <c:pt idx="74">
                  <c:v>67.392570495714281</c:v>
                </c:pt>
                <c:pt idx="75">
                  <c:v>74.302856445714283</c:v>
                </c:pt>
                <c:pt idx="76">
                  <c:v>70.370715551428574</c:v>
                </c:pt>
                <c:pt idx="77">
                  <c:v>60.400571005714291</c:v>
                </c:pt>
                <c:pt idx="78">
                  <c:v>66.665999275714285</c:v>
                </c:pt>
                <c:pt idx="79">
                  <c:v>66.009428840000012</c:v>
                </c:pt>
                <c:pt idx="80">
                  <c:v>61.976286207142856</c:v>
                </c:pt>
                <c:pt idx="81">
                  <c:v>56.385429927142859</c:v>
                </c:pt>
                <c:pt idx="82">
                  <c:v>63.196000779999999</c:v>
                </c:pt>
                <c:pt idx="83">
                  <c:v>61.839428492857145</c:v>
                </c:pt>
                <c:pt idx="84">
                  <c:v>59.987286159999996</c:v>
                </c:pt>
                <c:pt idx="85">
                  <c:v>63.141999381428562</c:v>
                </c:pt>
                <c:pt idx="86">
                  <c:v>62.449570247142852</c:v>
                </c:pt>
                <c:pt idx="87">
                  <c:v>62.160142081428567</c:v>
                </c:pt>
                <c:pt idx="88">
                  <c:v>63.491571698571427</c:v>
                </c:pt>
                <c:pt idx="89">
                  <c:v>66.366000039999989</c:v>
                </c:pt>
                <c:pt idx="90">
                  <c:v>75.45028468428572</c:v>
                </c:pt>
                <c:pt idx="91">
                  <c:v>78.309284754285713</c:v>
                </c:pt>
                <c:pt idx="92">
                  <c:v>79.701571872857144</c:v>
                </c:pt>
                <c:pt idx="93">
                  <c:v>71.140427727142864</c:v>
                </c:pt>
                <c:pt idx="94">
                  <c:v>66.382999420000004</c:v>
                </c:pt>
                <c:pt idx="95">
                  <c:v>67.872285570000003</c:v>
                </c:pt>
                <c:pt idx="96">
                  <c:v>64.557143075714279</c:v>
                </c:pt>
                <c:pt idx="97">
                  <c:v>48.114428929999988</c:v>
                </c:pt>
                <c:pt idx="98">
                  <c:v>75.949856894285716</c:v>
                </c:pt>
                <c:pt idx="99">
                  <c:v>115.94985689428501</c:v>
                </c:pt>
                <c:pt idx="100">
                  <c:v>179.40442985714284</c:v>
                </c:pt>
                <c:pt idx="101">
                  <c:v>180.05014475714285</c:v>
                </c:pt>
                <c:pt idx="102">
                  <c:v>179.9772862142857</c:v>
                </c:pt>
                <c:pt idx="103">
                  <c:v>180.17299980000001</c:v>
                </c:pt>
                <c:pt idx="104">
                  <c:v>180.25871278571432</c:v>
                </c:pt>
                <c:pt idx="105">
                  <c:v>180.17585754285713</c:v>
                </c:pt>
                <c:pt idx="106">
                  <c:v>180.45157077142858</c:v>
                </c:pt>
                <c:pt idx="107">
                  <c:v>200.41585867142899</c:v>
                </c:pt>
                <c:pt idx="108">
                  <c:v>288.91129194285719</c:v>
                </c:pt>
                <c:pt idx="109">
                  <c:v>435.79956928571431</c:v>
                </c:pt>
                <c:pt idx="110">
                  <c:v>435.79956928571403</c:v>
                </c:pt>
                <c:pt idx="111">
                  <c:v>441.50872366768942</c:v>
                </c:pt>
                <c:pt idx="112">
                  <c:v>390.83399745714286</c:v>
                </c:pt>
                <c:pt idx="113">
                  <c:v>377.74852497494402</c:v>
                </c:pt>
                <c:pt idx="114">
                  <c:v>559.81058175223166</c:v>
                </c:pt>
                <c:pt idx="115">
                  <c:v>323.97713797432982</c:v>
                </c:pt>
                <c:pt idx="116">
                  <c:v>381.44857142857143</c:v>
                </c:pt>
                <c:pt idx="117">
                  <c:v>593.21614728655084</c:v>
                </c:pt>
                <c:pt idx="118">
                  <c:v>348.80585371428572</c:v>
                </c:pt>
                <c:pt idx="119">
                  <c:v>176.68314470563573</c:v>
                </c:pt>
                <c:pt idx="120">
                  <c:v>174.68314470563601</c:v>
                </c:pt>
                <c:pt idx="121">
                  <c:v>119.01714285714286</c:v>
                </c:pt>
                <c:pt idx="122">
                  <c:v>110.76885659354043</c:v>
                </c:pt>
                <c:pt idx="123">
                  <c:v>101.37014225551034</c:v>
                </c:pt>
                <c:pt idx="124">
                  <c:v>97.459857395716909</c:v>
                </c:pt>
                <c:pt idx="125">
                  <c:v>89.468571255714281</c:v>
                </c:pt>
                <c:pt idx="126">
                  <c:v>76.892712184361002</c:v>
                </c:pt>
                <c:pt idx="127">
                  <c:v>81.342571802857151</c:v>
                </c:pt>
                <c:pt idx="128">
                  <c:v>74.786714827142859</c:v>
                </c:pt>
                <c:pt idx="129">
                  <c:v>70.028570991428566</c:v>
                </c:pt>
                <c:pt idx="130">
                  <c:v>73.483713422857136</c:v>
                </c:pt>
                <c:pt idx="131">
                  <c:v>71.609712874285705</c:v>
                </c:pt>
                <c:pt idx="132">
                  <c:v>70.704857962472062</c:v>
                </c:pt>
                <c:pt idx="133">
                  <c:v>70.704857962857133</c:v>
                </c:pt>
                <c:pt idx="134">
                  <c:v>63.379999978201695</c:v>
                </c:pt>
                <c:pt idx="135">
                  <c:v>71.012714930943048</c:v>
                </c:pt>
                <c:pt idx="136">
                  <c:v>68.504143305714294</c:v>
                </c:pt>
                <c:pt idx="137">
                  <c:v>67.757142747142865</c:v>
                </c:pt>
                <c:pt idx="138">
                  <c:v>64.803571428571402</c:v>
                </c:pt>
                <c:pt idx="139">
                  <c:v>61.738000054285713</c:v>
                </c:pt>
                <c:pt idx="140">
                  <c:v>59.887714115714203</c:v>
                </c:pt>
                <c:pt idx="141">
                  <c:v>64.924144199916256</c:v>
                </c:pt>
                <c:pt idx="142">
                  <c:v>70.514285495714276</c:v>
                </c:pt>
                <c:pt idx="143">
                  <c:v>63.012999943324473</c:v>
                </c:pt>
                <c:pt idx="144">
                  <c:v>66.388028771146395</c:v>
                </c:pt>
                <c:pt idx="145">
                  <c:v>62.769999368571426</c:v>
                </c:pt>
                <c:pt idx="146">
                  <c:v>52.281571524483752</c:v>
                </c:pt>
                <c:pt idx="147">
                  <c:v>53.939428057142855</c:v>
                </c:pt>
                <c:pt idx="148">
                  <c:v>62.510428837367428</c:v>
                </c:pt>
                <c:pt idx="149">
                  <c:v>53.200286319999996</c:v>
                </c:pt>
                <c:pt idx="150">
                  <c:v>58.334714617047958</c:v>
                </c:pt>
                <c:pt idx="151">
                  <c:v>50.089571816580602</c:v>
                </c:pt>
                <c:pt idx="152">
                  <c:v>60.034714289999997</c:v>
                </c:pt>
                <c:pt idx="153">
                  <c:v>60.558143069999993</c:v>
                </c:pt>
                <c:pt idx="154">
                  <c:v>76.682998657142861</c:v>
                </c:pt>
                <c:pt idx="155">
                  <c:v>82.013715471428569</c:v>
                </c:pt>
                <c:pt idx="156">
                  <c:v>128.12399947142856</c:v>
                </c:pt>
                <c:pt idx="157">
                  <c:v>121.34800174285715</c:v>
                </c:pt>
                <c:pt idx="158">
                  <c:v>86.206856863839235</c:v>
                </c:pt>
                <c:pt idx="159">
                  <c:v>104.57885634428571</c:v>
                </c:pt>
                <c:pt idx="160">
                  <c:v>154.74</c:v>
                </c:pt>
                <c:pt idx="161">
                  <c:v>309.78528267996586</c:v>
                </c:pt>
                <c:pt idx="162">
                  <c:v>292.54257421428571</c:v>
                </c:pt>
                <c:pt idx="163">
                  <c:v>394.95185634285707</c:v>
                </c:pt>
                <c:pt idx="164">
                  <c:v>266.61928667340914</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'13.Caudales'!$T$4:$T$168</c:f>
              <c:numCache>
                <c:formatCode>_(* #,##0.00_);_(* \(#,##0.00\);_(* "-"??_);_(@_)</c:formatCode>
                <c:ptCount val="165"/>
                <c:pt idx="0">
                  <c:v>130.2321406773155</c:v>
                </c:pt>
                <c:pt idx="1">
                  <c:v>106.97614288285715</c:v>
                </c:pt>
                <c:pt idx="2">
                  <c:v>137.04186028571428</c:v>
                </c:pt>
                <c:pt idx="3">
                  <c:v>121.29742760000001</c:v>
                </c:pt>
                <c:pt idx="4">
                  <c:v>216.11300005714287</c:v>
                </c:pt>
                <c:pt idx="5">
                  <c:v>221.35714285714261</c:v>
                </c:pt>
                <c:pt idx="6">
                  <c:v>142.54771639999998</c:v>
                </c:pt>
                <c:pt idx="7">
                  <c:v>162.01200212751087</c:v>
                </c:pt>
                <c:pt idx="8">
                  <c:v>174.72028894285717</c:v>
                </c:pt>
                <c:pt idx="9">
                  <c:v>118.91071428571429</c:v>
                </c:pt>
                <c:pt idx="10">
                  <c:v>145.36899785714286</c:v>
                </c:pt>
                <c:pt idx="11">
                  <c:v>171.26185716901472</c:v>
                </c:pt>
                <c:pt idx="12">
                  <c:v>241.59529113769531</c:v>
                </c:pt>
                <c:pt idx="13">
                  <c:v>156.28586031428571</c:v>
                </c:pt>
                <c:pt idx="14">
                  <c:v>126.20242854857143</c:v>
                </c:pt>
                <c:pt idx="15">
                  <c:v>112.32742854857143</c:v>
                </c:pt>
                <c:pt idx="16">
                  <c:v>86.636999947684131</c:v>
                </c:pt>
                <c:pt idx="17">
                  <c:v>95.79771531714286</c:v>
                </c:pt>
                <c:pt idx="18">
                  <c:v>63.654857091428575</c:v>
                </c:pt>
                <c:pt idx="19">
                  <c:v>63.017857142857146</c:v>
                </c:pt>
                <c:pt idx="20">
                  <c:v>55.553428649902308</c:v>
                </c:pt>
                <c:pt idx="21">
                  <c:v>48.85114288285714</c:v>
                </c:pt>
                <c:pt idx="22">
                  <c:v>49.02971431142857</c:v>
                </c:pt>
                <c:pt idx="23">
                  <c:v>39.363000052315797</c:v>
                </c:pt>
                <c:pt idx="24">
                  <c:v>31.88514287142857</c:v>
                </c:pt>
                <c:pt idx="25">
                  <c:v>29.80342864857143</c:v>
                </c:pt>
                <c:pt idx="26">
                  <c:v>28.875142778669062</c:v>
                </c:pt>
                <c:pt idx="27">
                  <c:v>27.071428571428573</c:v>
                </c:pt>
                <c:pt idx="28">
                  <c:v>26.369142805714286</c:v>
                </c:pt>
                <c:pt idx="29">
                  <c:v>23.077571325714285</c:v>
                </c:pt>
                <c:pt idx="30">
                  <c:v>20.36314283098493</c:v>
                </c:pt>
                <c:pt idx="31">
                  <c:v>20.36</c:v>
                </c:pt>
                <c:pt idx="32">
                  <c:v>23.369000025714286</c:v>
                </c:pt>
                <c:pt idx="33">
                  <c:v>24.434428622857144</c:v>
                </c:pt>
                <c:pt idx="34">
                  <c:v>21.077428545270632</c:v>
                </c:pt>
                <c:pt idx="35">
                  <c:v>23.857142857142815</c:v>
                </c:pt>
                <c:pt idx="36">
                  <c:v>21.696428571428545</c:v>
                </c:pt>
                <c:pt idx="37">
                  <c:v>32.958285740443614</c:v>
                </c:pt>
                <c:pt idx="38">
                  <c:v>41.827428545714284</c:v>
                </c:pt>
                <c:pt idx="39">
                  <c:v>30.178571428571427</c:v>
                </c:pt>
                <c:pt idx="40">
                  <c:v>24.547571454285713</c:v>
                </c:pt>
                <c:pt idx="41">
                  <c:v>41.773857116699205</c:v>
                </c:pt>
                <c:pt idx="42">
                  <c:v>39.60114288285714</c:v>
                </c:pt>
                <c:pt idx="43">
                  <c:v>36.702285765714286</c:v>
                </c:pt>
                <c:pt idx="44">
                  <c:v>27.797571454285713</c:v>
                </c:pt>
                <c:pt idx="45">
                  <c:v>32.208285740000001</c:v>
                </c:pt>
                <c:pt idx="46">
                  <c:v>25.351285662857144</c:v>
                </c:pt>
                <c:pt idx="47">
                  <c:v>37.994142805714283</c:v>
                </c:pt>
                <c:pt idx="48">
                  <c:v>88.630856108571422</c:v>
                </c:pt>
                <c:pt idx="49">
                  <c:v>44.297571454285716</c:v>
                </c:pt>
                <c:pt idx="50">
                  <c:v>77.60742949714286</c:v>
                </c:pt>
                <c:pt idx="51">
                  <c:v>158.34513965714288</c:v>
                </c:pt>
                <c:pt idx="52">
                  <c:v>212.58328465714288</c:v>
                </c:pt>
                <c:pt idx="53">
                  <c:v>154.41086031428571</c:v>
                </c:pt>
                <c:pt idx="54">
                  <c:v>185.14285714285714</c:v>
                </c:pt>
                <c:pt idx="55">
                  <c:v>156.14856614285716</c:v>
                </c:pt>
                <c:pt idx="56">
                  <c:v>108.66671425714286</c:v>
                </c:pt>
                <c:pt idx="57">
                  <c:v>132.98228671428572</c:v>
                </c:pt>
                <c:pt idx="58">
                  <c:v>91.321428571428569</c:v>
                </c:pt>
                <c:pt idx="59">
                  <c:v>104.375</c:v>
                </c:pt>
                <c:pt idx="60">
                  <c:v>81.571428571428527</c:v>
                </c:pt>
                <c:pt idx="61">
                  <c:v>146.17256928571427</c:v>
                </c:pt>
                <c:pt idx="62">
                  <c:v>138.12514602857144</c:v>
                </c:pt>
                <c:pt idx="63">
                  <c:v>176.22028785714286</c:v>
                </c:pt>
                <c:pt idx="64">
                  <c:v>161.61914497142857</c:v>
                </c:pt>
                <c:pt idx="65">
                  <c:v>180.97614180000002</c:v>
                </c:pt>
                <c:pt idx="66">
                  <c:v>187.79186137142855</c:v>
                </c:pt>
                <c:pt idx="67">
                  <c:v>107.50585611428572</c:v>
                </c:pt>
                <c:pt idx="68">
                  <c:v>90.738142825714277</c:v>
                </c:pt>
                <c:pt idx="69">
                  <c:v>67.130999974285714</c:v>
                </c:pt>
                <c:pt idx="70">
                  <c:v>64.428571428571431</c:v>
                </c:pt>
                <c:pt idx="71">
                  <c:v>61.482142857142854</c:v>
                </c:pt>
                <c:pt idx="72">
                  <c:v>63.72614288285714</c:v>
                </c:pt>
                <c:pt idx="73">
                  <c:v>49.041857040000004</c:v>
                </c:pt>
                <c:pt idx="74">
                  <c:v>49.232000077142857</c:v>
                </c:pt>
                <c:pt idx="75">
                  <c:v>54.952285765714286</c:v>
                </c:pt>
                <c:pt idx="76">
                  <c:v>39.565571377142859</c:v>
                </c:pt>
                <c:pt idx="77">
                  <c:v>43.083285740000001</c:v>
                </c:pt>
                <c:pt idx="78">
                  <c:v>33.029857091428575</c:v>
                </c:pt>
                <c:pt idx="79">
                  <c:v>29.922571454285713</c:v>
                </c:pt>
                <c:pt idx="80">
                  <c:v>30.851285662857144</c:v>
                </c:pt>
                <c:pt idx="81">
                  <c:v>26.327428545714287</c:v>
                </c:pt>
                <c:pt idx="82">
                  <c:v>30.940428597142859</c:v>
                </c:pt>
                <c:pt idx="83">
                  <c:v>23.267714362857141</c:v>
                </c:pt>
                <c:pt idx="84">
                  <c:v>22.755999974285714</c:v>
                </c:pt>
                <c:pt idx="85">
                  <c:v>21.678714208571428</c:v>
                </c:pt>
                <c:pt idx="86">
                  <c:v>29.398714337142856</c:v>
                </c:pt>
                <c:pt idx="87">
                  <c:v>24.535714285714285</c:v>
                </c:pt>
                <c:pt idx="88">
                  <c:v>33.851285662857144</c:v>
                </c:pt>
                <c:pt idx="89">
                  <c:v>30.833285740000001</c:v>
                </c:pt>
                <c:pt idx="90">
                  <c:v>25.431428635714287</c:v>
                </c:pt>
                <c:pt idx="91">
                  <c:v>54.744000025714286</c:v>
                </c:pt>
                <c:pt idx="92">
                  <c:v>50.934571402857145</c:v>
                </c:pt>
                <c:pt idx="93">
                  <c:v>43.184428622857141</c:v>
                </c:pt>
                <c:pt idx="94">
                  <c:v>36.916714259999999</c:v>
                </c:pt>
                <c:pt idx="95">
                  <c:v>41.726285662857144</c:v>
                </c:pt>
                <c:pt idx="96">
                  <c:v>47.85114288285714</c:v>
                </c:pt>
                <c:pt idx="97">
                  <c:v>58.976285662857144</c:v>
                </c:pt>
                <c:pt idx="98">
                  <c:v>107.95228576857143</c:v>
                </c:pt>
                <c:pt idx="99">
                  <c:v>116.577285768571</c:v>
                </c:pt>
                <c:pt idx="100">
                  <c:v>143.97028568571429</c:v>
                </c:pt>
                <c:pt idx="101">
                  <c:v>105.38685716857142</c:v>
                </c:pt>
                <c:pt idx="102">
                  <c:v>14.57142870857143</c:v>
                </c:pt>
                <c:pt idx="103">
                  <c:v>59.892857142857146</c:v>
                </c:pt>
                <c:pt idx="104">
                  <c:v>53.005857194285717</c:v>
                </c:pt>
                <c:pt idx="105">
                  <c:v>85.154714317142862</c:v>
                </c:pt>
                <c:pt idx="106">
                  <c:v>79.166570397142863</c:v>
                </c:pt>
                <c:pt idx="107">
                  <c:v>156.24399677142856</c:v>
                </c:pt>
                <c:pt idx="108">
                  <c:v>182</c:v>
                </c:pt>
                <c:pt idx="109">
                  <c:v>179.08343068571426</c:v>
                </c:pt>
                <c:pt idx="110">
                  <c:v>195.28190973333301</c:v>
                </c:pt>
                <c:pt idx="111">
                  <c:v>167.45813860212002</c:v>
                </c:pt>
                <c:pt idx="112">
                  <c:v>152.44642748571428</c:v>
                </c:pt>
                <c:pt idx="113">
                  <c:v>177.15485925714287</c:v>
                </c:pt>
                <c:pt idx="114">
                  <c:v>223.70857456752233</c:v>
                </c:pt>
                <c:pt idx="115">
                  <c:v>151.51800210135301</c:v>
                </c:pt>
                <c:pt idx="116">
                  <c:v>178.99571428571431</c:v>
                </c:pt>
                <c:pt idx="117">
                  <c:v>183.63700212751101</c:v>
                </c:pt>
                <c:pt idx="118">
                  <c:v>124.73814282857143</c:v>
                </c:pt>
                <c:pt idx="119">
                  <c:v>78.339428492954767</c:v>
                </c:pt>
                <c:pt idx="120">
                  <c:v>73.639428492954806</c:v>
                </c:pt>
                <c:pt idx="121">
                  <c:v>55.180000000000007</c:v>
                </c:pt>
                <c:pt idx="122">
                  <c:v>59.773714338030103</c:v>
                </c:pt>
                <c:pt idx="123">
                  <c:v>76.803571428571416</c:v>
                </c:pt>
                <c:pt idx="124">
                  <c:v>50.738285609653985</c:v>
                </c:pt>
                <c:pt idx="125">
                  <c:v>47.993857245714288</c:v>
                </c:pt>
                <c:pt idx="126">
                  <c:v>57.958285740443614</c:v>
                </c:pt>
                <c:pt idx="127">
                  <c:v>44.565714157142857</c:v>
                </c:pt>
                <c:pt idx="128">
                  <c:v>37.470142908571425</c:v>
                </c:pt>
                <c:pt idx="129">
                  <c:v>32.059714182857142</c:v>
                </c:pt>
                <c:pt idx="130">
                  <c:v>28.196285791428572</c:v>
                </c:pt>
                <c:pt idx="131">
                  <c:v>29.315428597142859</c:v>
                </c:pt>
                <c:pt idx="132">
                  <c:v>28.869000026157888</c:v>
                </c:pt>
                <c:pt idx="133">
                  <c:v>27.43799999714286</c:v>
                </c:pt>
                <c:pt idx="134">
                  <c:v>26.440285818917356</c:v>
                </c:pt>
                <c:pt idx="135">
                  <c:v>46.172571454729322</c:v>
                </c:pt>
                <c:pt idx="136">
                  <c:v>27.946428571428573</c:v>
                </c:pt>
                <c:pt idx="137">
                  <c:v>25.892714362857141</c:v>
                </c:pt>
                <c:pt idx="138">
                  <c:v>24.232000078473732</c:v>
                </c:pt>
                <c:pt idx="139">
                  <c:v>22.238142831428572</c:v>
                </c:pt>
                <c:pt idx="140">
                  <c:v>22.866306149296399</c:v>
                </c:pt>
                <c:pt idx="141">
                  <c:v>29.702428545270628</c:v>
                </c:pt>
                <c:pt idx="142">
                  <c:v>38.059571402857145</c:v>
                </c:pt>
                <c:pt idx="143">
                  <c:v>36.791714259556329</c:v>
                </c:pt>
                <c:pt idx="144">
                  <c:v>43.221755070626699</c:v>
                </c:pt>
                <c:pt idx="145">
                  <c:v>38</c:v>
                </c:pt>
                <c:pt idx="146">
                  <c:v>34.410571507045155</c:v>
                </c:pt>
                <c:pt idx="147">
                  <c:v>27.107142857142858</c:v>
                </c:pt>
                <c:pt idx="148">
                  <c:v>29.329142979213128</c:v>
                </c:pt>
                <c:pt idx="149">
                  <c:v>26.72028568857143</c:v>
                </c:pt>
                <c:pt idx="150">
                  <c:v>27.404714311872173</c:v>
                </c:pt>
                <c:pt idx="151">
                  <c:v>25.464285714285698</c:v>
                </c:pt>
                <c:pt idx="152">
                  <c:v>26.208285740000001</c:v>
                </c:pt>
                <c:pt idx="153">
                  <c:v>47.559571402857145</c:v>
                </c:pt>
                <c:pt idx="154">
                  <c:v>47.559571402857145</c:v>
                </c:pt>
                <c:pt idx="155">
                  <c:v>71.637142725714284</c:v>
                </c:pt>
                <c:pt idx="156">
                  <c:v>120.91071428857143</c:v>
                </c:pt>
                <c:pt idx="157">
                  <c:v>63.964285714285715</c:v>
                </c:pt>
                <c:pt idx="158">
                  <c:v>66.660714285714292</c:v>
                </c:pt>
                <c:pt idx="159">
                  <c:v>85.190571371428561</c:v>
                </c:pt>
                <c:pt idx="160">
                  <c:v>146.63999999999999</c:v>
                </c:pt>
                <c:pt idx="161">
                  <c:v>176.99399893624403</c:v>
                </c:pt>
                <c:pt idx="162">
                  <c:v>150.71</c:v>
                </c:pt>
                <c:pt idx="163">
                  <c:v>196.54171534285712</c:v>
                </c:pt>
                <c:pt idx="164">
                  <c:v>110.57742745535673</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'13.Caudales'!$U$4:$U$168</c:f>
              <c:numCache>
                <c:formatCode>_(* #,##0.00_);_(* \(#,##0.00\);_(* "-"??_);_(@_)</c:formatCode>
                <c:ptCount val="165"/>
                <c:pt idx="0">
                  <c:v>24.27742849077493</c:v>
                </c:pt>
                <c:pt idx="1">
                  <c:v>30.680286678571431</c:v>
                </c:pt>
                <c:pt idx="2">
                  <c:v>40.240000044285715</c:v>
                </c:pt>
                <c:pt idx="3">
                  <c:v>26.470714297142855</c:v>
                </c:pt>
                <c:pt idx="4">
                  <c:v>48.707714625714289</c:v>
                </c:pt>
                <c:pt idx="5">
                  <c:v>51.925000326974022</c:v>
                </c:pt>
                <c:pt idx="6">
                  <c:v>37.997142247142854</c:v>
                </c:pt>
                <c:pt idx="7">
                  <c:v>30.780285699026873</c:v>
                </c:pt>
                <c:pt idx="8">
                  <c:v>36.13400023285714</c:v>
                </c:pt>
                <c:pt idx="9">
                  <c:v>22.61842863857143</c:v>
                </c:pt>
                <c:pt idx="10">
                  <c:v>39.343428748571434</c:v>
                </c:pt>
                <c:pt idx="11">
                  <c:v>46.286999838692772</c:v>
                </c:pt>
                <c:pt idx="12">
                  <c:v>63.414285387311629</c:v>
                </c:pt>
                <c:pt idx="13">
                  <c:v>40.567142485714285</c:v>
                </c:pt>
                <c:pt idx="14">
                  <c:v>27.609000341428576</c:v>
                </c:pt>
                <c:pt idx="15">
                  <c:v>23.319143022857144</c:v>
                </c:pt>
                <c:pt idx="16">
                  <c:v>19.662570953369116</c:v>
                </c:pt>
                <c:pt idx="17">
                  <c:v>21.329571314285715</c:v>
                </c:pt>
                <c:pt idx="18">
                  <c:v>18.961428234285709</c:v>
                </c:pt>
                <c:pt idx="19">
                  <c:v>17.724285941428572</c:v>
                </c:pt>
                <c:pt idx="20">
                  <c:v>14.547714369637587</c:v>
                </c:pt>
                <c:pt idx="21">
                  <c:v>12.851142882857143</c:v>
                </c:pt>
                <c:pt idx="22">
                  <c:v>13.300571305714286</c:v>
                </c:pt>
                <c:pt idx="23">
                  <c:v>11.205857140677287</c:v>
                </c:pt>
                <c:pt idx="24">
                  <c:v>9.1724285395714276</c:v>
                </c:pt>
                <c:pt idx="25">
                  <c:v>8.6642858641428564</c:v>
                </c:pt>
                <c:pt idx="26">
                  <c:v>8.3150001253400507</c:v>
                </c:pt>
                <c:pt idx="27">
                  <c:v>7.9792855807142846</c:v>
                </c:pt>
                <c:pt idx="28">
                  <c:v>7.2952857698571441</c:v>
                </c:pt>
                <c:pt idx="29">
                  <c:v>7.5452858379999999</c:v>
                </c:pt>
                <c:pt idx="30">
                  <c:v>7.1267142297142865</c:v>
                </c:pt>
                <c:pt idx="31">
                  <c:v>6.828428472791396</c:v>
                </c:pt>
                <c:pt idx="32">
                  <c:v>6.6690000125714279</c:v>
                </c:pt>
                <c:pt idx="33">
                  <c:v>6.6477142742857138</c:v>
                </c:pt>
                <c:pt idx="34">
                  <c:v>6.0071428843906904</c:v>
                </c:pt>
                <c:pt idx="35">
                  <c:v>6.0528572627476231</c:v>
                </c:pt>
                <c:pt idx="36">
                  <c:v>5.992857115609298</c:v>
                </c:pt>
                <c:pt idx="37">
                  <c:v>6.3054285049438423</c:v>
                </c:pt>
                <c:pt idx="38">
                  <c:v>7.6855713981428568</c:v>
                </c:pt>
                <c:pt idx="39">
                  <c:v>7.8047143392857157</c:v>
                </c:pt>
                <c:pt idx="40">
                  <c:v>6.762428624428571</c:v>
                </c:pt>
                <c:pt idx="41">
                  <c:v>7.8334286553519048</c:v>
                </c:pt>
                <c:pt idx="42">
                  <c:v>6.4934286387142857</c:v>
                </c:pt>
                <c:pt idx="43">
                  <c:v>5.6301428931428577</c:v>
                </c:pt>
                <c:pt idx="44">
                  <c:v>5.3054286411428562</c:v>
                </c:pt>
                <c:pt idx="45">
                  <c:v>5.1785714285714288</c:v>
                </c:pt>
                <c:pt idx="46">
                  <c:v>6.1274285315714279</c:v>
                </c:pt>
                <c:pt idx="47">
                  <c:v>8.188285623714286</c:v>
                </c:pt>
                <c:pt idx="48">
                  <c:v>14.530285971857142</c:v>
                </c:pt>
                <c:pt idx="49">
                  <c:v>9.220428467142856</c:v>
                </c:pt>
                <c:pt idx="50">
                  <c:v>9.7118571817142847</c:v>
                </c:pt>
                <c:pt idx="51">
                  <c:v>34.910285677142852</c:v>
                </c:pt>
                <c:pt idx="52">
                  <c:v>44.205428261428565</c:v>
                </c:pt>
                <c:pt idx="53">
                  <c:v>27.91428565857143</c:v>
                </c:pt>
                <c:pt idx="54">
                  <c:v>39.37385668142857</c:v>
                </c:pt>
                <c:pt idx="55">
                  <c:v>23.497714179999999</c:v>
                </c:pt>
                <c:pt idx="56">
                  <c:v>21.321428571428573</c:v>
                </c:pt>
                <c:pt idx="57">
                  <c:v>30.396999359999999</c:v>
                </c:pt>
                <c:pt idx="58">
                  <c:v>18.5625</c:v>
                </c:pt>
                <c:pt idx="59">
                  <c:v>21.619</c:v>
                </c:pt>
                <c:pt idx="60">
                  <c:v>19.778999873570012</c:v>
                </c:pt>
                <c:pt idx="61">
                  <c:v>29.352285658571429</c:v>
                </c:pt>
                <c:pt idx="62">
                  <c:v>28.100000654285715</c:v>
                </c:pt>
                <c:pt idx="63">
                  <c:v>43.393999101428577</c:v>
                </c:pt>
                <c:pt idx="64">
                  <c:v>39.082286288571431</c:v>
                </c:pt>
                <c:pt idx="65">
                  <c:v>40.325571332857145</c:v>
                </c:pt>
                <c:pt idx="66">
                  <c:v>52.19757080285715</c:v>
                </c:pt>
                <c:pt idx="67">
                  <c:v>28.65042877285714</c:v>
                </c:pt>
                <c:pt idx="68">
                  <c:v>20.563142504285715</c:v>
                </c:pt>
                <c:pt idx="69">
                  <c:v>16.68214280285714</c:v>
                </c:pt>
                <c:pt idx="70">
                  <c:v>17.039285524285713</c:v>
                </c:pt>
                <c:pt idx="71">
                  <c:v>13.813714164285713</c:v>
                </c:pt>
                <c:pt idx="72">
                  <c:v>14.927285738571429</c:v>
                </c:pt>
                <c:pt idx="73">
                  <c:v>12.11642851</c:v>
                </c:pt>
                <c:pt idx="74">
                  <c:v>10.973142897142859</c:v>
                </c:pt>
                <c:pt idx="75">
                  <c:v>10.649856976285715</c:v>
                </c:pt>
                <c:pt idx="76">
                  <c:v>8.8067141942857141</c:v>
                </c:pt>
                <c:pt idx="77">
                  <c:v>8.6310001098571423</c:v>
                </c:pt>
                <c:pt idx="78">
                  <c:v>7.6702857698571432</c:v>
                </c:pt>
                <c:pt idx="79">
                  <c:v>6.9708570752857142</c:v>
                </c:pt>
                <c:pt idx="80">
                  <c:v>7.1941427504285702</c:v>
                </c:pt>
                <c:pt idx="81">
                  <c:v>6.6857143130000001</c:v>
                </c:pt>
                <c:pt idx="82">
                  <c:v>7.3144286019999996</c:v>
                </c:pt>
                <c:pt idx="83">
                  <c:v>6.1658571107142865</c:v>
                </c:pt>
                <c:pt idx="84">
                  <c:v>5.9981428554285712</c:v>
                </c:pt>
                <c:pt idx="85">
                  <c:v>5.9428571975714277</c:v>
                </c:pt>
                <c:pt idx="86">
                  <c:v>5.5928570885714288</c:v>
                </c:pt>
                <c:pt idx="87">
                  <c:v>5.7147143908571421</c:v>
                </c:pt>
                <c:pt idx="88">
                  <c:v>6.5815715108571435</c:v>
                </c:pt>
                <c:pt idx="89">
                  <c:v>6.3408571651428574</c:v>
                </c:pt>
                <c:pt idx="90">
                  <c:v>6.8902856279999991</c:v>
                </c:pt>
                <c:pt idx="91">
                  <c:v>7.7940000801428573</c:v>
                </c:pt>
                <c:pt idx="92">
                  <c:v>8.9731427602857146</c:v>
                </c:pt>
                <c:pt idx="93">
                  <c:v>9.1315714969999995</c:v>
                </c:pt>
                <c:pt idx="94">
                  <c:v>8.3171428948571435</c:v>
                </c:pt>
                <c:pt idx="95">
                  <c:v>8.7617143898571435</c:v>
                </c:pt>
                <c:pt idx="96">
                  <c:v>8.1029998912857142</c:v>
                </c:pt>
                <c:pt idx="97">
                  <c:v>7.6644285747142851</c:v>
                </c:pt>
                <c:pt idx="98">
                  <c:v>21.278142930000001</c:v>
                </c:pt>
                <c:pt idx="99">
                  <c:v>25.523666837380901</c:v>
                </c:pt>
                <c:pt idx="100">
                  <c:v>24.464857102857142</c:v>
                </c:pt>
                <c:pt idx="101">
                  <c:v>15.326142855714284</c:v>
                </c:pt>
                <c:pt idx="102">
                  <c:v>5</c:v>
                </c:pt>
                <c:pt idx="103">
                  <c:v>9.771428653000001</c:v>
                </c:pt>
                <c:pt idx="104">
                  <c:v>8.6221429277142843</c:v>
                </c:pt>
                <c:pt idx="105">
                  <c:v>16.483285767857144</c:v>
                </c:pt>
                <c:pt idx="106">
                  <c:v>14.234428677142859</c:v>
                </c:pt>
                <c:pt idx="107">
                  <c:v>35.655428067142857</c:v>
                </c:pt>
                <c:pt idx="108">
                  <c:v>43.192856380000002</c:v>
                </c:pt>
                <c:pt idx="109">
                  <c:v>33.553428921428569</c:v>
                </c:pt>
                <c:pt idx="110">
                  <c:v>35.365238643809498</c:v>
                </c:pt>
                <c:pt idx="111">
                  <c:v>52.961428506033734</c:v>
                </c:pt>
                <c:pt idx="112">
                  <c:v>60.130286080000005</c:v>
                </c:pt>
                <c:pt idx="113">
                  <c:v>62.624940787617</c:v>
                </c:pt>
                <c:pt idx="114">
                  <c:v>65.082142966134157</c:v>
                </c:pt>
                <c:pt idx="115">
                  <c:v>38.394142695835612</c:v>
                </c:pt>
                <c:pt idx="116">
                  <c:v>36.35</c:v>
                </c:pt>
                <c:pt idx="117">
                  <c:v>45.316000257219557</c:v>
                </c:pt>
                <c:pt idx="118">
                  <c:v>26.343714578571426</c:v>
                </c:pt>
                <c:pt idx="119">
                  <c:v>19.653713771275072</c:v>
                </c:pt>
                <c:pt idx="120">
                  <c:v>18.143000000000001</c:v>
                </c:pt>
                <c:pt idx="121">
                  <c:v>17.828571428571429</c:v>
                </c:pt>
                <c:pt idx="122">
                  <c:v>15.455142838614288</c:v>
                </c:pt>
                <c:pt idx="123">
                  <c:v>17.032571247645741</c:v>
                </c:pt>
                <c:pt idx="124">
                  <c:v>13.328000204903701</c:v>
                </c:pt>
                <c:pt idx="125">
                  <c:v>14.01614271</c:v>
                </c:pt>
                <c:pt idx="126">
                  <c:v>15.881571360996745</c:v>
                </c:pt>
                <c:pt idx="127">
                  <c:v>11.95571436</c:v>
                </c:pt>
                <c:pt idx="128">
                  <c:v>10.698285784285716</c:v>
                </c:pt>
                <c:pt idx="129">
                  <c:v>11.252857207571427</c:v>
                </c:pt>
                <c:pt idx="130">
                  <c:v>8.894857134285715</c:v>
                </c:pt>
                <c:pt idx="131">
                  <c:v>8.5744282858571417</c:v>
                </c:pt>
                <c:pt idx="132">
                  <c:v>8.3951428277151887</c:v>
                </c:pt>
                <c:pt idx="133">
                  <c:v>8.4329999515714285</c:v>
                </c:pt>
                <c:pt idx="134">
                  <c:v>7.6332857949393071</c:v>
                </c:pt>
                <c:pt idx="135">
                  <c:v>10.471999985831093</c:v>
                </c:pt>
                <c:pt idx="136">
                  <c:v>7.9560000554285706</c:v>
                </c:pt>
                <c:pt idx="137">
                  <c:v>7.6575713838571433</c:v>
                </c:pt>
                <c:pt idx="138">
                  <c:v>6.8082856450762028</c:v>
                </c:pt>
                <c:pt idx="139">
                  <c:v>6.3390000000000004</c:v>
                </c:pt>
                <c:pt idx="140">
                  <c:v>5.7651427948238201</c:v>
                </c:pt>
                <c:pt idx="141">
                  <c:v>6.6742858205522735</c:v>
                </c:pt>
                <c:pt idx="142">
                  <c:v>7.1607142177142862</c:v>
                </c:pt>
                <c:pt idx="143">
                  <c:v>7.419142927442274</c:v>
                </c:pt>
                <c:pt idx="144">
                  <c:v>6.8784286265785504</c:v>
                </c:pt>
                <c:pt idx="145">
                  <c:v>9.4662852974285716</c:v>
                </c:pt>
                <c:pt idx="146">
                  <c:v>5.7607142584664448</c:v>
                </c:pt>
                <c:pt idx="147">
                  <c:v>5.9262857437142857</c:v>
                </c:pt>
                <c:pt idx="148">
                  <c:v>5.2147143227713402</c:v>
                </c:pt>
                <c:pt idx="149">
                  <c:v>6.1838571684285712</c:v>
                </c:pt>
                <c:pt idx="150">
                  <c:v>5.6749998501368912</c:v>
                </c:pt>
                <c:pt idx="151">
                  <c:v>5.2590000288827037</c:v>
                </c:pt>
                <c:pt idx="152">
                  <c:v>4.6138571330000007</c:v>
                </c:pt>
                <c:pt idx="153">
                  <c:v>9.325571467571427</c:v>
                </c:pt>
                <c:pt idx="154">
                  <c:v>9.325571467571427</c:v>
                </c:pt>
                <c:pt idx="155">
                  <c:v>27.029714380142856</c:v>
                </c:pt>
                <c:pt idx="156">
                  <c:v>7.7642858370000001</c:v>
                </c:pt>
                <c:pt idx="157">
                  <c:v>8.3012856074285715</c:v>
                </c:pt>
                <c:pt idx="158">
                  <c:v>13.8641426903861</c:v>
                </c:pt>
                <c:pt idx="159">
                  <c:v>19.117857387142859</c:v>
                </c:pt>
                <c:pt idx="160">
                  <c:v>16.501999999999999</c:v>
                </c:pt>
                <c:pt idx="161">
                  <c:v>28.743571690150638</c:v>
                </c:pt>
                <c:pt idx="162">
                  <c:v>26.15</c:v>
                </c:pt>
                <c:pt idx="163">
                  <c:v>45.88742882857143</c:v>
                </c:pt>
                <c:pt idx="164">
                  <c:v>28.721428462437206</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DE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'13.Caudales'!$V$4:$V$168</c:f>
              <c:numCache>
                <c:formatCode>_(* #,##0.00_);_(* \(#,##0.00\);_(* "-"??_);_(@_)</c:formatCode>
                <c:ptCount val="165"/>
                <c:pt idx="0">
                  <c:v>14.514315741402715</c:v>
                </c:pt>
                <c:pt idx="1">
                  <c:v>13.21958133142857</c:v>
                </c:pt>
                <c:pt idx="2">
                  <c:v>16.855534282857143</c:v>
                </c:pt>
                <c:pt idx="3">
                  <c:v>22.011848449999999</c:v>
                </c:pt>
                <c:pt idx="4">
                  <c:v>14.496191432857142</c:v>
                </c:pt>
                <c:pt idx="5">
                  <c:v>17.659045491899729</c:v>
                </c:pt>
                <c:pt idx="6">
                  <c:v>23.642735891428568</c:v>
                </c:pt>
                <c:pt idx="7">
                  <c:v>23.681545802525072</c:v>
                </c:pt>
                <c:pt idx="8">
                  <c:v>23.625475747142854</c:v>
                </c:pt>
                <c:pt idx="9">
                  <c:v>23.72583552857143</c:v>
                </c:pt>
                <c:pt idx="10">
                  <c:v>23.714347295714287</c:v>
                </c:pt>
                <c:pt idx="11">
                  <c:v>23.623331614903002</c:v>
                </c:pt>
                <c:pt idx="12">
                  <c:v>22.128154209681874</c:v>
                </c:pt>
                <c:pt idx="13">
                  <c:v>21.36</c:v>
                </c:pt>
                <c:pt idx="14">
                  <c:v>23.601429802857144</c:v>
                </c:pt>
                <c:pt idx="15">
                  <c:v>16.145714351428573</c:v>
                </c:pt>
                <c:pt idx="16">
                  <c:v>14.007261548723459</c:v>
                </c:pt>
                <c:pt idx="17">
                  <c:v>12.484048571428572</c:v>
                </c:pt>
                <c:pt idx="18">
                  <c:v>11.436902861999998</c:v>
                </c:pt>
                <c:pt idx="19">
                  <c:v>12.01881</c:v>
                </c:pt>
                <c:pt idx="20">
                  <c:v>11.963334356035457</c:v>
                </c:pt>
                <c:pt idx="21">
                  <c:v>11.972144264285713</c:v>
                </c:pt>
                <c:pt idx="22">
                  <c:v>12.060297148571431</c:v>
                </c:pt>
                <c:pt idx="23">
                  <c:v>12.025059972490542</c:v>
                </c:pt>
                <c:pt idx="24">
                  <c:v>11.867550168571428</c:v>
                </c:pt>
                <c:pt idx="25">
                  <c:v>11.961507115714285</c:v>
                </c:pt>
                <c:pt idx="26">
                  <c:v>12.125935554504371</c:v>
                </c:pt>
                <c:pt idx="27">
                  <c:v>12.036131450000001</c:v>
                </c:pt>
                <c:pt idx="28">
                  <c:v>12.01250158142857</c:v>
                </c:pt>
                <c:pt idx="29">
                  <c:v>12.065415654285715</c:v>
                </c:pt>
                <c:pt idx="30">
                  <c:v>12.064045632857143</c:v>
                </c:pt>
                <c:pt idx="31">
                  <c:v>11.89809417724604</c:v>
                </c:pt>
                <c:pt idx="32">
                  <c:v>11.954105787142856</c:v>
                </c:pt>
                <c:pt idx="33">
                  <c:v>11.958392961428572</c:v>
                </c:pt>
                <c:pt idx="34">
                  <c:v>12.309941428048228</c:v>
                </c:pt>
                <c:pt idx="35">
                  <c:v>12.697084290640644</c:v>
                </c:pt>
                <c:pt idx="36">
                  <c:v>12.722499983651257</c:v>
                </c:pt>
                <c:pt idx="37">
                  <c:v>12.757261548723429</c:v>
                </c:pt>
                <c:pt idx="38">
                  <c:v>12.744882855714284</c:v>
                </c:pt>
                <c:pt idx="39">
                  <c:v>13.59601129857143</c:v>
                </c:pt>
                <c:pt idx="40">
                  <c:v>13.258037294285714</c:v>
                </c:pt>
                <c:pt idx="41">
                  <c:v>12.748987061636742</c:v>
                </c:pt>
                <c:pt idx="42">
                  <c:v>12.771309988571426</c:v>
                </c:pt>
                <c:pt idx="43">
                  <c:v>13.156308445714286</c:v>
                </c:pt>
                <c:pt idx="44">
                  <c:v>12.687737055714285</c:v>
                </c:pt>
                <c:pt idx="45">
                  <c:v>13.157975741428572</c:v>
                </c:pt>
                <c:pt idx="46">
                  <c:v>12.246785572857144</c:v>
                </c:pt>
                <c:pt idx="47">
                  <c:v>13.367501529999998</c:v>
                </c:pt>
                <c:pt idx="48">
                  <c:v>13.053452899999998</c:v>
                </c:pt>
                <c:pt idx="49">
                  <c:v>13.068511554285712</c:v>
                </c:pt>
                <c:pt idx="50">
                  <c:v>12.987917082857143</c:v>
                </c:pt>
                <c:pt idx="51">
                  <c:v>18.967856814285714</c:v>
                </c:pt>
                <c:pt idx="52">
                  <c:v>22.357858387142851</c:v>
                </c:pt>
                <c:pt idx="53">
                  <c:v>16.044107027142857</c:v>
                </c:pt>
                <c:pt idx="54">
                  <c:v>18.835116929999998</c:v>
                </c:pt>
                <c:pt idx="55">
                  <c:v>16.004641395714284</c:v>
                </c:pt>
                <c:pt idx="56">
                  <c:v>16.024463924285715</c:v>
                </c:pt>
                <c:pt idx="57">
                  <c:v>15.963094302857142</c:v>
                </c:pt>
                <c:pt idx="58">
                  <c:v>14.07</c:v>
                </c:pt>
                <c:pt idx="59">
                  <c:v>13.162619047619055</c:v>
                </c:pt>
                <c:pt idx="60">
                  <c:v>11.839642660958372</c:v>
                </c:pt>
                <c:pt idx="61">
                  <c:v>10.568511418142858</c:v>
                </c:pt>
                <c:pt idx="62">
                  <c:v>11.367022922857142</c:v>
                </c:pt>
                <c:pt idx="63">
                  <c:v>14.060239925714285</c:v>
                </c:pt>
                <c:pt idx="64">
                  <c:v>20.107797215142853</c:v>
                </c:pt>
                <c:pt idx="65">
                  <c:v>23.453333172857139</c:v>
                </c:pt>
                <c:pt idx="66">
                  <c:v>23.194762912857147</c:v>
                </c:pt>
                <c:pt idx="67">
                  <c:v>18.780238424285709</c:v>
                </c:pt>
                <c:pt idx="68">
                  <c:v>13.920417241428572</c:v>
                </c:pt>
                <c:pt idx="69">
                  <c:v>10.773084301857143</c:v>
                </c:pt>
                <c:pt idx="70">
                  <c:v>11.989167077142856</c:v>
                </c:pt>
                <c:pt idx="71">
                  <c:v>12.071368352857144</c:v>
                </c:pt>
                <c:pt idx="72">
                  <c:v>12.066725457142857</c:v>
                </c:pt>
                <c:pt idx="73">
                  <c:v>12.046847342857143</c:v>
                </c:pt>
                <c:pt idx="74">
                  <c:v>12.030653000000001</c:v>
                </c:pt>
                <c:pt idx="75">
                  <c:v>11.902322768571427</c:v>
                </c:pt>
                <c:pt idx="76">
                  <c:v>11.966488567142857</c:v>
                </c:pt>
                <c:pt idx="77">
                  <c:v>11.885477065714285</c:v>
                </c:pt>
                <c:pt idx="78">
                  <c:v>11.995894294285714</c:v>
                </c:pt>
                <c:pt idx="79">
                  <c:v>11.927797181428572</c:v>
                </c:pt>
                <c:pt idx="80">
                  <c:v>12.045535904285714</c:v>
                </c:pt>
                <c:pt idx="81">
                  <c:v>11.927261488571427</c:v>
                </c:pt>
                <c:pt idx="82">
                  <c:v>13.712319918571428</c:v>
                </c:pt>
                <c:pt idx="83">
                  <c:v>13.989404405714286</c:v>
                </c:pt>
                <c:pt idx="84">
                  <c:v>13.973928587142856</c:v>
                </c:pt>
                <c:pt idx="85">
                  <c:v>14.050774301428572</c:v>
                </c:pt>
                <c:pt idx="86">
                  <c:v>13.988035748571429</c:v>
                </c:pt>
                <c:pt idx="87">
                  <c:v>13.989464348571429</c:v>
                </c:pt>
                <c:pt idx="88">
                  <c:v>13.932678497142856</c:v>
                </c:pt>
                <c:pt idx="89">
                  <c:v>14.030597005714284</c:v>
                </c:pt>
                <c:pt idx="90">
                  <c:v>14.026608604285714</c:v>
                </c:pt>
                <c:pt idx="91">
                  <c:v>14.026192801428573</c:v>
                </c:pt>
                <c:pt idx="92">
                  <c:v>14.020297051428571</c:v>
                </c:pt>
                <c:pt idx="93">
                  <c:v>13.992498534285714</c:v>
                </c:pt>
                <c:pt idx="94">
                  <c:v>14.015835900000001</c:v>
                </c:pt>
                <c:pt idx="95">
                  <c:v>13.927204130000002</c:v>
                </c:pt>
                <c:pt idx="96">
                  <c:v>13.944405964285716</c:v>
                </c:pt>
                <c:pt idx="97">
                  <c:v>14.053689955714287</c:v>
                </c:pt>
                <c:pt idx="98">
                  <c:v>14.02023874</c:v>
                </c:pt>
                <c:pt idx="99">
                  <c:v>14.0819443290476</c:v>
                </c:pt>
                <c:pt idx="100">
                  <c:v>14.414462907142859</c:v>
                </c:pt>
                <c:pt idx="101">
                  <c:v>14.382619995714284</c:v>
                </c:pt>
                <c:pt idx="102">
                  <c:v>13.809047154285716</c:v>
                </c:pt>
                <c:pt idx="103">
                  <c:v>13.759048734285715</c:v>
                </c:pt>
                <c:pt idx="104">
                  <c:v>12.151368549999999</c:v>
                </c:pt>
                <c:pt idx="105">
                  <c:v>15.379761560000002</c:v>
                </c:pt>
                <c:pt idx="106">
                  <c:v>13.331011501428572</c:v>
                </c:pt>
                <c:pt idx="107">
                  <c:v>12.147084100000001</c:v>
                </c:pt>
                <c:pt idx="108">
                  <c:v>11.764999934285715</c:v>
                </c:pt>
                <c:pt idx="109">
                  <c:v>11.749167034285714</c:v>
                </c:pt>
                <c:pt idx="110">
                  <c:v>10.9661612507143</c:v>
                </c:pt>
                <c:pt idx="111">
                  <c:v>11.586785861424</c:v>
                </c:pt>
                <c:pt idx="112">
                  <c:v>15.540178571428571</c:v>
                </c:pt>
                <c:pt idx="113">
                  <c:v>12.489226658966601</c:v>
                </c:pt>
                <c:pt idx="114">
                  <c:v>15.861725670950701</c:v>
                </c:pt>
                <c:pt idx="115">
                  <c:v>15.601665633065315</c:v>
                </c:pt>
                <c:pt idx="116">
                  <c:v>14.272857142857143</c:v>
                </c:pt>
                <c:pt idx="117">
                  <c:v>12.459285599844744</c:v>
                </c:pt>
                <c:pt idx="118">
                  <c:v>12.322202818571428</c:v>
                </c:pt>
                <c:pt idx="119">
                  <c:v>12.955415725707971</c:v>
                </c:pt>
                <c:pt idx="120">
                  <c:v>13.5886286328445</c:v>
                </c:pt>
                <c:pt idx="121">
                  <c:v>12.145714285714286</c:v>
                </c:pt>
                <c:pt idx="122">
                  <c:v>11.9720828192574</c:v>
                </c:pt>
                <c:pt idx="123">
                  <c:v>12.044524329049228</c:v>
                </c:pt>
                <c:pt idx="124">
                  <c:v>12.004824365888286</c:v>
                </c:pt>
                <c:pt idx="125">
                  <c:v>12.003629958571429</c:v>
                </c:pt>
                <c:pt idx="126">
                  <c:v>11.987857137407543</c:v>
                </c:pt>
                <c:pt idx="127">
                  <c:v>11.995954241428569</c:v>
                </c:pt>
                <c:pt idx="128">
                  <c:v>12.037141528571428</c:v>
                </c:pt>
                <c:pt idx="129">
                  <c:v>12.019521304285714</c:v>
                </c:pt>
                <c:pt idx="130">
                  <c:v>12.048987115714286</c:v>
                </c:pt>
                <c:pt idx="131">
                  <c:v>13.016607148571428</c:v>
                </c:pt>
                <c:pt idx="132">
                  <c:v>11.558748653956785</c:v>
                </c:pt>
                <c:pt idx="133">
                  <c:v>11.530537195714285</c:v>
                </c:pt>
                <c:pt idx="134">
                  <c:v>13.242675645010754</c:v>
                </c:pt>
                <c:pt idx="135">
                  <c:v>14.178215708051356</c:v>
                </c:pt>
                <c:pt idx="136">
                  <c:v>14.038035665714288</c:v>
                </c:pt>
                <c:pt idx="137">
                  <c:v>13.967680111428573</c:v>
                </c:pt>
                <c:pt idx="138">
                  <c:v>14.05898720877507</c:v>
                </c:pt>
                <c:pt idx="139">
                  <c:v>14.080715725714285</c:v>
                </c:pt>
                <c:pt idx="140">
                  <c:v>14.0125123574527</c:v>
                </c:pt>
                <c:pt idx="141">
                  <c:v>13.981904302324526</c:v>
                </c:pt>
                <c:pt idx="142">
                  <c:v>14.00559575142857</c:v>
                </c:pt>
                <c:pt idx="143">
                  <c:v>14.040832792009573</c:v>
                </c:pt>
                <c:pt idx="144">
                  <c:v>14.068372771605899</c:v>
                </c:pt>
                <c:pt idx="145">
                  <c:v>14.016308650000001</c:v>
                </c:pt>
                <c:pt idx="146">
                  <c:v>14.078072684151758</c:v>
                </c:pt>
                <c:pt idx="147">
                  <c:v>13.987262724285713</c:v>
                </c:pt>
                <c:pt idx="148">
                  <c:v>13.874702862330802</c:v>
                </c:pt>
                <c:pt idx="149">
                  <c:v>14.021962847142857</c:v>
                </c:pt>
                <c:pt idx="150">
                  <c:v>12.869702747889887</c:v>
                </c:pt>
                <c:pt idx="151">
                  <c:v>12.914761407034687</c:v>
                </c:pt>
                <c:pt idx="152">
                  <c:v>13.072690148571429</c:v>
                </c:pt>
                <c:pt idx="153">
                  <c:v>12.378569737142858</c:v>
                </c:pt>
                <c:pt idx="154">
                  <c:v>13.595178467142899</c:v>
                </c:pt>
                <c:pt idx="155">
                  <c:v>13.1345855185714</c:v>
                </c:pt>
                <c:pt idx="156">
                  <c:v>11.095357077142859</c:v>
                </c:pt>
                <c:pt idx="157">
                  <c:v>10.665118488571428</c:v>
                </c:pt>
                <c:pt idx="158">
                  <c:v>10.825061389378083</c:v>
                </c:pt>
                <c:pt idx="159">
                  <c:v>11.076488631428571</c:v>
                </c:pt>
                <c:pt idx="160">
                  <c:v>11.3279158734791</c:v>
                </c:pt>
                <c:pt idx="161">
                  <c:v>20.581607409885926</c:v>
                </c:pt>
                <c:pt idx="162">
                  <c:v>23.86</c:v>
                </c:pt>
                <c:pt idx="163">
                  <c:v>17.428035462857142</c:v>
                </c:pt>
                <c:pt idx="164">
                  <c:v>10.229164259774327</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NATURAL ARICOTA</c:v>
                </c:pt>
              </c:strCache>
            </c:strRef>
          </c:tx>
          <c:spPr>
            <a:solidFill>
              <a:schemeClr val="accent5"/>
            </a:solidFill>
          </c:spPr>
          <c:cat>
            <c:multiLvlStrRef>
              <c:f>'13.Caudales'!$N$4:$O$168</c:f>
              <c:multiLvlStrCache>
                <c:ptCount val="165"/>
                <c:lvl>
                  <c:pt idx="7">
                    <c:v>8</c:v>
                  </c:pt>
                  <c:pt idx="15">
                    <c:v>16</c:v>
                  </c:pt>
                  <c:pt idx="23">
                    <c:v>24</c:v>
                  </c:pt>
                  <c:pt idx="31">
                    <c:v>32</c:v>
                  </c:pt>
                  <c:pt idx="39">
                    <c:v>40</c:v>
                  </c:pt>
                  <c:pt idx="51">
                    <c:v>52</c:v>
                  </c:pt>
                  <c:pt idx="64">
                    <c:v>13</c:v>
                  </c:pt>
                  <c:pt idx="77">
                    <c:v>26</c:v>
                  </c:pt>
                  <c:pt idx="84">
                    <c:v>33</c:v>
                  </c:pt>
                  <c:pt idx="95">
                    <c:v>44</c:v>
                  </c:pt>
                  <c:pt idx="103">
                    <c:v>52</c:v>
                  </c:pt>
                  <c:pt idx="109">
                    <c:v>6</c:v>
                  </c:pt>
                  <c:pt idx="116">
                    <c:v>13</c:v>
                  </c:pt>
                  <c:pt idx="125">
                    <c:v>22</c:v>
                  </c:pt>
                  <c:pt idx="137">
                    <c:v>34</c:v>
                  </c:pt>
                  <c:pt idx="147">
                    <c:v>44</c:v>
                  </c:pt>
                  <c:pt idx="155">
                    <c:v>52</c:v>
                  </c:pt>
                  <c:pt idx="164">
                    <c:v>9</c:v>
                  </c:pt>
                </c:lvl>
                <c:lvl>
                  <c:pt idx="0">
                    <c:v>2020</c:v>
                  </c:pt>
                  <c:pt idx="52">
                    <c:v>2021</c:v>
                  </c:pt>
                  <c:pt idx="104">
                    <c:v>2022</c:v>
                  </c:pt>
                  <c:pt idx="156">
                    <c:v>2023</c:v>
                  </c:pt>
                </c:lvl>
              </c:multiLvlStrCache>
            </c:multiLvlStrRef>
          </c:cat>
          <c:val>
            <c:numRef>
              <c:f>'13.Caudales'!$W$4:$W$168</c:f>
              <c:numCache>
                <c:formatCode>_(* #,##0.00_);_(* \(#,##0.00\);_(* "-"??_);_(@_)</c:formatCode>
                <c:ptCount val="165"/>
                <c:pt idx="0">
                  <c:v>2.278571367263786</c:v>
                </c:pt>
                <c:pt idx="1">
                  <c:v>1.8857142757142857</c:v>
                </c:pt>
                <c:pt idx="2">
                  <c:v>6.3075712748571418</c:v>
                </c:pt>
                <c:pt idx="3">
                  <c:v>4.3669999327142861</c:v>
                </c:pt>
                <c:pt idx="4">
                  <c:v>2.6891428574285712</c:v>
                </c:pt>
                <c:pt idx="5">
                  <c:v>9.7964284079415354</c:v>
                </c:pt>
                <c:pt idx="6">
                  <c:v>10.810714449000001</c:v>
                </c:pt>
                <c:pt idx="7">
                  <c:v>21.290571621486073</c:v>
                </c:pt>
                <c:pt idx="8">
                  <c:v>11.064000130142858</c:v>
                </c:pt>
                <c:pt idx="9">
                  <c:v>5.0324285712857142</c:v>
                </c:pt>
                <c:pt idx="10">
                  <c:v>12.165999821428571</c:v>
                </c:pt>
                <c:pt idx="11">
                  <c:v>11.119714055742502</c:v>
                </c:pt>
                <c:pt idx="12">
                  <c:v>6.0048571995326432</c:v>
                </c:pt>
                <c:pt idx="13">
                  <c:v>4.6619999238571435</c:v>
                </c:pt>
                <c:pt idx="14">
                  <c:v>2.5870000464285714</c:v>
                </c:pt>
                <c:pt idx="15">
                  <c:v>1.9568571534285717</c:v>
                </c:pt>
                <c:pt idx="16">
                  <c:v>2.0897142546517471</c:v>
                </c:pt>
                <c:pt idx="17">
                  <c:v>2.074857081857143</c:v>
                </c:pt>
                <c:pt idx="18">
                  <c:v>1.6491428614285712</c:v>
                </c:pt>
                <c:pt idx="19">
                  <c:v>1.6491428614285712</c:v>
                </c:pt>
                <c:pt idx="20">
                  <c:v>1.6175714560917398</c:v>
                </c:pt>
                <c:pt idx="21">
                  <c:v>1.7258571555714286</c:v>
                </c:pt>
                <c:pt idx="22">
                  <c:v>2.2755714314285713</c:v>
                </c:pt>
                <c:pt idx="23">
                  <c:v>2.2755714314324473</c:v>
                </c:pt>
                <c:pt idx="24">
                  <c:v>1.7577142885714285</c:v>
                </c:pt>
                <c:pt idx="25">
                  <c:v>1.7387143204285713</c:v>
                </c:pt>
                <c:pt idx="26">
                  <c:v>2.0545714242117699</c:v>
                </c:pt>
                <c:pt idx="27">
                  <c:v>1.862857103571429</c:v>
                </c:pt>
                <c:pt idx="28">
                  <c:v>2.1428571427142855</c:v>
                </c:pt>
                <c:pt idx="29">
                  <c:v>2.0148571899999999</c:v>
                </c:pt>
                <c:pt idx="30">
                  <c:v>2.0708571672857143</c:v>
                </c:pt>
                <c:pt idx="31">
                  <c:v>1.7728571551186658</c:v>
                </c:pt>
                <c:pt idx="32">
                  <c:v>1.7154285907142857</c:v>
                </c:pt>
                <c:pt idx="33">
                  <c:v>2.26100002</c:v>
                </c:pt>
                <c:pt idx="34">
                  <c:v>1.5178571258272411</c:v>
                </c:pt>
                <c:pt idx="35">
                  <c:v>1.0650000040020247</c:v>
                </c:pt>
                <c:pt idx="36">
                  <c:v>1.5737142903464156</c:v>
                </c:pt>
                <c:pt idx="37">
                  <c:v>1.6808571304593714</c:v>
                </c:pt>
                <c:pt idx="38">
                  <c:v>1.6871428661428571</c:v>
                </c:pt>
                <c:pt idx="39">
                  <c:v>1.6130000010000001</c:v>
                </c:pt>
                <c:pt idx="40">
                  <c:v>1.8452857051428571</c:v>
                </c:pt>
                <c:pt idx="41">
                  <c:v>1.9990000043596503</c:v>
                </c:pt>
                <c:pt idx="42">
                  <c:v>1.5481428758571429</c:v>
                </c:pt>
                <c:pt idx="43">
                  <c:v>1.4392857041428573</c:v>
                </c:pt>
                <c:pt idx="44">
                  <c:v>1.380714297142857</c:v>
                </c:pt>
                <c:pt idx="45">
                  <c:v>1.3845714331428574</c:v>
                </c:pt>
                <c:pt idx="46">
                  <c:v>1.5065714290000003</c:v>
                </c:pt>
                <c:pt idx="47">
                  <c:v>1.0268571504285715</c:v>
                </c:pt>
                <c:pt idx="48">
                  <c:v>1.0737142817142857</c:v>
                </c:pt>
                <c:pt idx="49">
                  <c:v>1.2921428212857144</c:v>
                </c:pt>
                <c:pt idx="50">
                  <c:v>1.2780000142857142</c:v>
                </c:pt>
                <c:pt idx="51">
                  <c:v>7.1757142371428566</c:v>
                </c:pt>
                <c:pt idx="52">
                  <c:v>6.7241427552857145</c:v>
                </c:pt>
                <c:pt idx="53">
                  <c:v>3.2384286270000002</c:v>
                </c:pt>
                <c:pt idx="54">
                  <c:v>6.560571466571429</c:v>
                </c:pt>
                <c:pt idx="55">
                  <c:v>5.1067142825714296</c:v>
                </c:pt>
                <c:pt idx="56">
                  <c:v>3.1654285022857147</c:v>
                </c:pt>
                <c:pt idx="57">
                  <c:v>5.8411428927142861</c:v>
                </c:pt>
                <c:pt idx="58">
                  <c:v>3.3580000000000001</c:v>
                </c:pt>
                <c:pt idx="59">
                  <c:v>2.181</c:v>
                </c:pt>
                <c:pt idx="60">
                  <c:v>2.5798570939472714</c:v>
                </c:pt>
                <c:pt idx="61">
                  <c:v>2.1962857415714288</c:v>
                </c:pt>
                <c:pt idx="62">
                  <c:v>2.7152857098571426</c:v>
                </c:pt>
                <c:pt idx="63">
                  <c:v>3.625</c:v>
                </c:pt>
                <c:pt idx="64">
                  <c:v>4.0744285582857147</c:v>
                </c:pt>
                <c:pt idx="65">
                  <c:v>2.8194285800000003</c:v>
                </c:pt>
                <c:pt idx="66">
                  <c:v>2.7518571105714291</c:v>
                </c:pt>
                <c:pt idx="67">
                  <c:v>1.8839999778571432</c:v>
                </c:pt>
                <c:pt idx="68">
                  <c:v>1.7985714162857143</c:v>
                </c:pt>
                <c:pt idx="69">
                  <c:v>1.8058571475714285</c:v>
                </c:pt>
                <c:pt idx="70">
                  <c:v>1.8551428488571429</c:v>
                </c:pt>
                <c:pt idx="71">
                  <c:v>1.7121428761428572</c:v>
                </c:pt>
                <c:pt idx="72">
                  <c:v>1.9470000094285715</c:v>
                </c:pt>
                <c:pt idx="73">
                  <c:v>1.9281428372857143</c:v>
                </c:pt>
                <c:pt idx="74">
                  <c:v>1.8262857195714286</c:v>
                </c:pt>
                <c:pt idx="75">
                  <c:v>1.3272857154285713</c:v>
                </c:pt>
                <c:pt idx="76">
                  <c:v>1.2890000087142857</c:v>
                </c:pt>
                <c:pt idx="77">
                  <c:v>1.732857125</c:v>
                </c:pt>
                <c:pt idx="78">
                  <c:v>1.8799999952857143</c:v>
                </c:pt>
                <c:pt idx="79">
                  <c:v>1.8718571149999998</c:v>
                </c:pt>
                <c:pt idx="80">
                  <c:v>1.7868571450000001</c:v>
                </c:pt>
                <c:pt idx="81">
                  <c:v>1.8862856968571431</c:v>
                </c:pt>
                <c:pt idx="82">
                  <c:v>1.8420000075714285</c:v>
                </c:pt>
                <c:pt idx="83">
                  <c:v>1.8741428512857143</c:v>
                </c:pt>
                <c:pt idx="84">
                  <c:v>1.871857132285714</c:v>
                </c:pt>
                <c:pt idx="85">
                  <c:v>1.8375714168571429</c:v>
                </c:pt>
                <c:pt idx="86">
                  <c:v>1.654571413857143</c:v>
                </c:pt>
                <c:pt idx="87">
                  <c:v>1.7275714362857142</c:v>
                </c:pt>
                <c:pt idx="88">
                  <c:v>1.6434285640000001</c:v>
                </c:pt>
                <c:pt idx="89">
                  <c:v>1.7824285711428571</c:v>
                </c:pt>
                <c:pt idx="90">
                  <c:v>1.7897142852857144</c:v>
                </c:pt>
                <c:pt idx="91">
                  <c:v>1.7887142725714287</c:v>
                </c:pt>
                <c:pt idx="92">
                  <c:v>1.4745714322857144</c:v>
                </c:pt>
                <c:pt idx="93">
                  <c:v>1.325428571</c:v>
                </c:pt>
                <c:pt idx="94">
                  <c:v>1.3259999922857142</c:v>
                </c:pt>
                <c:pt idx="95">
                  <c:v>1.0918571607142857</c:v>
                </c:pt>
                <c:pt idx="96">
                  <c:v>1.1197142941428571</c:v>
                </c:pt>
                <c:pt idx="97">
                  <c:v>1.2584285650000002</c:v>
                </c:pt>
                <c:pt idx="98">
                  <c:v>1.6037142788571426</c:v>
                </c:pt>
                <c:pt idx="99">
                  <c:v>1.686999981</c:v>
                </c:pt>
                <c:pt idx="100">
                  <c:v>1.509857126857143</c:v>
                </c:pt>
                <c:pt idx="101">
                  <c:v>1.5802857021428574</c:v>
                </c:pt>
                <c:pt idx="102">
                  <c:v>1.0052857144285714</c:v>
                </c:pt>
                <c:pt idx="103">
                  <c:v>1.2590000118571429</c:v>
                </c:pt>
                <c:pt idx="104">
                  <c:v>1.4929999965714287</c:v>
                </c:pt>
                <c:pt idx="105">
                  <c:v>4.383714250142857</c:v>
                </c:pt>
                <c:pt idx="106">
                  <c:v>3.4292857477142862</c:v>
                </c:pt>
                <c:pt idx="107">
                  <c:v>5.8837143019999996</c:v>
                </c:pt>
                <c:pt idx="108">
                  <c:v>5.8837143019999996</c:v>
                </c:pt>
                <c:pt idx="109">
                  <c:v>5.6551427840000006</c:v>
                </c:pt>
                <c:pt idx="110">
                  <c:v>2.0952857050000002</c:v>
                </c:pt>
                <c:pt idx="111">
                  <c:v>3.7204570871142901</c:v>
                </c:pt>
                <c:pt idx="112">
                  <c:v>4.1637142385755217</c:v>
                </c:pt>
                <c:pt idx="113">
                  <c:v>4.8724285875714282</c:v>
                </c:pt>
                <c:pt idx="114">
                  <c:v>3.3848571777343723</c:v>
                </c:pt>
                <c:pt idx="115">
                  <c:v>2.6404285430908159</c:v>
                </c:pt>
                <c:pt idx="116">
                  <c:v>2.0657142857142858</c:v>
                </c:pt>
                <c:pt idx="117">
                  <c:v>1.8045714242117685</c:v>
                </c:pt>
                <c:pt idx="118">
                  <c:v>1.5654285974285713</c:v>
                </c:pt>
                <c:pt idx="119">
                  <c:v>1.6847143173217742</c:v>
                </c:pt>
                <c:pt idx="120">
                  <c:v>1.80400003721498</c:v>
                </c:pt>
                <c:pt idx="121">
                  <c:v>1.5071428571428569</c:v>
                </c:pt>
                <c:pt idx="122">
                  <c:v>1.5408571277345884</c:v>
                </c:pt>
                <c:pt idx="123">
                  <c:v>1.2638571347509076</c:v>
                </c:pt>
                <c:pt idx="124">
                  <c:v>1.5594285896846185</c:v>
                </c:pt>
                <c:pt idx="125">
                  <c:v>1.5562856965714285</c:v>
                </c:pt>
                <c:pt idx="126">
                  <c:v>1.6308571440832915</c:v>
                </c:pt>
                <c:pt idx="127">
                  <c:v>1.5964285474285715</c:v>
                </c:pt>
                <c:pt idx="128">
                  <c:v>1.5865714718571431</c:v>
                </c:pt>
                <c:pt idx="129">
                  <c:v>2.0531428372857143</c:v>
                </c:pt>
                <c:pt idx="130">
                  <c:v>1.7931428807142857</c:v>
                </c:pt>
                <c:pt idx="131">
                  <c:v>1.5484285694285713</c:v>
                </c:pt>
                <c:pt idx="132">
                  <c:v>1.8301428726741213</c:v>
                </c:pt>
                <c:pt idx="133">
                  <c:v>1.7351428440000001</c:v>
                </c:pt>
                <c:pt idx="134">
                  <c:v>1.6478571380887672</c:v>
                </c:pt>
                <c:pt idx="135">
                  <c:v>1.7564285823277028</c:v>
                </c:pt>
                <c:pt idx="136">
                  <c:v>1.7424285411428571</c:v>
                </c:pt>
                <c:pt idx="137">
                  <c:v>1.731428572</c:v>
                </c:pt>
                <c:pt idx="138">
                  <c:v>1.7037142855780412</c:v>
                </c:pt>
                <c:pt idx="139">
                  <c:v>1.4800000019999999</c:v>
                </c:pt>
                <c:pt idx="140">
                  <c:v>1.63901983647542</c:v>
                </c:pt>
                <c:pt idx="141">
                  <c:v>1.5090000288827028</c:v>
                </c:pt>
                <c:pt idx="142">
                  <c:v>1.4841428652857143</c:v>
                </c:pt>
                <c:pt idx="143">
                  <c:v>1.3278571452413228</c:v>
                </c:pt>
                <c:pt idx="144">
                  <c:v>1.3502551701649099</c:v>
                </c:pt>
                <c:pt idx="145">
                  <c:v>1.3397142717142856</c:v>
                </c:pt>
                <c:pt idx="146">
                  <c:v>1.3554285253797185</c:v>
                </c:pt>
                <c:pt idx="147">
                  <c:v>1.3972857167142858</c:v>
                </c:pt>
                <c:pt idx="148">
                  <c:v>1.3508571045739299</c:v>
                </c:pt>
                <c:pt idx="149">
                  <c:v>1.3508571042857143</c:v>
                </c:pt>
                <c:pt idx="150">
                  <c:v>1.3509999513626101</c:v>
                </c:pt>
                <c:pt idx="151">
                  <c:v>1.3509999513626101</c:v>
                </c:pt>
                <c:pt idx="152">
                  <c:v>1.3818571054285713</c:v>
                </c:pt>
                <c:pt idx="153">
                  <c:v>2.3402857099999999</c:v>
                </c:pt>
                <c:pt idx="154">
                  <c:v>2.1075714314285716</c:v>
                </c:pt>
                <c:pt idx="155">
                  <c:v>1.4207143104285713</c:v>
                </c:pt>
                <c:pt idx="156">
                  <c:v>1.6364285774285714</c:v>
                </c:pt>
                <c:pt idx="157">
                  <c:v>1.4351428745714288</c:v>
                </c:pt>
                <c:pt idx="158">
                  <c:v>1.1248571532113172</c:v>
                </c:pt>
                <c:pt idx="159">
                  <c:v>1.6419999940000001</c:v>
                </c:pt>
                <c:pt idx="160">
                  <c:v>3.9329999999999998</c:v>
                </c:pt>
                <c:pt idx="161">
                  <c:v>7.3275715282985106</c:v>
                </c:pt>
                <c:pt idx="162">
                  <c:v>5.78</c:v>
                </c:pt>
                <c:pt idx="163">
                  <c:v>2.5667143377142865</c:v>
                </c:pt>
                <c:pt idx="164">
                  <c:v>1.7610000031334958</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NATURAL SAN GABÁN</c:v>
                </c:pt>
              </c:strCache>
            </c:strRef>
          </c:tx>
          <c:marker>
            <c:symbol val="none"/>
          </c:marker>
          <c:val>
            <c:numRef>
              <c:f>'13.Caudales'!$Y$4:$Y$168</c:f>
              <c:numCache>
                <c:formatCode>_(* #,##0.00_);_(* \(#,##0.00\);_(* "-"??_);_(@_)</c:formatCode>
                <c:ptCount val="165"/>
                <c:pt idx="0">
                  <c:v>152.80385916573601</c:v>
                </c:pt>
                <c:pt idx="1">
                  <c:v>97.949856347142855</c:v>
                </c:pt>
                <c:pt idx="2">
                  <c:v>78.131857190000005</c:v>
                </c:pt>
                <c:pt idx="3">
                  <c:v>52.875</c:v>
                </c:pt>
                <c:pt idx="4">
                  <c:v>99.128998899999985</c:v>
                </c:pt>
                <c:pt idx="5">
                  <c:v>151.47385733468144</c:v>
                </c:pt>
                <c:pt idx="6">
                  <c:v>148.12728554285715</c:v>
                </c:pt>
                <c:pt idx="7">
                  <c:v>143.28899928501644</c:v>
                </c:pt>
                <c:pt idx="8">
                  <c:v>84.357999531428575</c:v>
                </c:pt>
                <c:pt idx="9">
                  <c:v>76.472572329999977</c:v>
                </c:pt>
                <c:pt idx="10">
                  <c:v>110.78628649857141</c:v>
                </c:pt>
                <c:pt idx="11">
                  <c:v>113.32999965122723</c:v>
                </c:pt>
                <c:pt idx="12">
                  <c:v>97.158571515764294</c:v>
                </c:pt>
                <c:pt idx="13">
                  <c:v>87.023999895714283</c:v>
                </c:pt>
                <c:pt idx="14">
                  <c:v>56.692000798571428</c:v>
                </c:pt>
                <c:pt idx="15">
                  <c:v>41.578285762857142</c:v>
                </c:pt>
                <c:pt idx="16">
                  <c:v>32.277857099260544</c:v>
                </c:pt>
                <c:pt idx="17">
                  <c:v>27.218570980000003</c:v>
                </c:pt>
                <c:pt idx="18">
                  <c:v>23.996714454285712</c:v>
                </c:pt>
                <c:pt idx="19">
                  <c:v>27.218570980000003</c:v>
                </c:pt>
                <c:pt idx="20">
                  <c:v>17.639571326119512</c:v>
                </c:pt>
                <c:pt idx="21">
                  <c:v>13.389714241428573</c:v>
                </c:pt>
                <c:pt idx="22">
                  <c:v>13.06000001</c:v>
                </c:pt>
                <c:pt idx="23">
                  <c:v>10.094714164733857</c:v>
                </c:pt>
                <c:pt idx="24">
                  <c:v>9.1595716474285691</c:v>
                </c:pt>
                <c:pt idx="25">
                  <c:v>8.8348572594285706</c:v>
                </c:pt>
                <c:pt idx="26">
                  <c:v>8.4665715353829452</c:v>
                </c:pt>
                <c:pt idx="27">
                  <c:v>7.6952857290000001</c:v>
                </c:pt>
                <c:pt idx="28">
                  <c:v>7.1297142847142867</c:v>
                </c:pt>
                <c:pt idx="29">
                  <c:v>8.1214285577142853</c:v>
                </c:pt>
                <c:pt idx="30">
                  <c:v>8.1097143717142863</c:v>
                </c:pt>
                <c:pt idx="31">
                  <c:v>10.538714272635294</c:v>
                </c:pt>
                <c:pt idx="32">
                  <c:v>6.1292857952857149</c:v>
                </c:pt>
                <c:pt idx="33">
                  <c:v>6.0765714645714288</c:v>
                </c:pt>
                <c:pt idx="34">
                  <c:v>5.9287142923900031</c:v>
                </c:pt>
                <c:pt idx="35">
                  <c:v>6.6625714302062962</c:v>
                </c:pt>
                <c:pt idx="36">
                  <c:v>6.7525714465549971</c:v>
                </c:pt>
                <c:pt idx="37">
                  <c:v>6.3287143026079411</c:v>
                </c:pt>
                <c:pt idx="38">
                  <c:v>7.4534285069999999</c:v>
                </c:pt>
                <c:pt idx="39">
                  <c:v>6.0369999748571432</c:v>
                </c:pt>
                <c:pt idx="40">
                  <c:v>6.8767141612857143</c:v>
                </c:pt>
                <c:pt idx="41">
                  <c:v>6.4478571755545433</c:v>
                </c:pt>
                <c:pt idx="42">
                  <c:v>6.2457143240000006</c:v>
                </c:pt>
                <c:pt idx="43">
                  <c:v>6.5374285491428568</c:v>
                </c:pt>
                <c:pt idx="44">
                  <c:v>6.183142798285715</c:v>
                </c:pt>
                <c:pt idx="45">
                  <c:v>7.3267143794285712</c:v>
                </c:pt>
                <c:pt idx="46">
                  <c:v>9.6325714934285713</c:v>
                </c:pt>
                <c:pt idx="47">
                  <c:v>13.102857045714286</c:v>
                </c:pt>
                <c:pt idx="48">
                  <c:v>17.667142595714285</c:v>
                </c:pt>
                <c:pt idx="49">
                  <c:v>14.238999775714285</c:v>
                </c:pt>
                <c:pt idx="50">
                  <c:v>17.224714688571428</c:v>
                </c:pt>
                <c:pt idx="51">
                  <c:v>54.019857132857133</c:v>
                </c:pt>
                <c:pt idx="52">
                  <c:v>70.259001594285721</c:v>
                </c:pt>
                <c:pt idx="53">
                  <c:v>58.126999447142857</c:v>
                </c:pt>
                <c:pt idx="54">
                  <c:v>74.927428108571434</c:v>
                </c:pt>
                <c:pt idx="55">
                  <c:v>68.394571574285706</c:v>
                </c:pt>
                <c:pt idx="56">
                  <c:v>56.864572254285704</c:v>
                </c:pt>
                <c:pt idx="57">
                  <c:v>60.405000412857149</c:v>
                </c:pt>
                <c:pt idx="58">
                  <c:v>76.87</c:v>
                </c:pt>
                <c:pt idx="59">
                  <c:v>119.958</c:v>
                </c:pt>
                <c:pt idx="60">
                  <c:v>71.76285661969861</c:v>
                </c:pt>
                <c:pt idx="61">
                  <c:v>56.04871422714286</c:v>
                </c:pt>
                <c:pt idx="62">
                  <c:v>63.309571402857145</c:v>
                </c:pt>
                <c:pt idx="63">
                  <c:v>68.27</c:v>
                </c:pt>
                <c:pt idx="64">
                  <c:v>61.654713765714291</c:v>
                </c:pt>
                <c:pt idx="65">
                  <c:v>68.710573468571425</c:v>
                </c:pt>
                <c:pt idx="66">
                  <c:v>74.239000592857138</c:v>
                </c:pt>
                <c:pt idx="67">
                  <c:v>39.415857042857148</c:v>
                </c:pt>
                <c:pt idx="68">
                  <c:v>25.886856898571434</c:v>
                </c:pt>
                <c:pt idx="69">
                  <c:v>19.646428789999998</c:v>
                </c:pt>
                <c:pt idx="70">
                  <c:v>16.286999974285717</c:v>
                </c:pt>
                <c:pt idx="71">
                  <c:v>14.018428667142857</c:v>
                </c:pt>
                <c:pt idx="72">
                  <c:v>14.466285705714286</c:v>
                </c:pt>
                <c:pt idx="73">
                  <c:v>11.637142864285716</c:v>
                </c:pt>
                <c:pt idx="74">
                  <c:v>10.373285701857142</c:v>
                </c:pt>
                <c:pt idx="75">
                  <c:v>9.3365716934285707</c:v>
                </c:pt>
                <c:pt idx="76">
                  <c:v>8.5024284634285721</c:v>
                </c:pt>
                <c:pt idx="77">
                  <c:v>7.8322857448571428</c:v>
                </c:pt>
                <c:pt idx="78">
                  <c:v>7.0652857510000002</c:v>
                </c:pt>
                <c:pt idx="79">
                  <c:v>6.2407143457142853</c:v>
                </c:pt>
                <c:pt idx="80">
                  <c:v>6.221285752</c:v>
                </c:pt>
                <c:pt idx="81">
                  <c:v>5.7022857667142848</c:v>
                </c:pt>
                <c:pt idx="82">
                  <c:v>7.1649999617142859</c:v>
                </c:pt>
                <c:pt idx="83">
                  <c:v>7.2785714695714301</c:v>
                </c:pt>
                <c:pt idx="84">
                  <c:v>5.154142958714286</c:v>
                </c:pt>
                <c:pt idx="85">
                  <c:v>6.0459999357142857</c:v>
                </c:pt>
                <c:pt idx="86">
                  <c:v>5.7705714702857147</c:v>
                </c:pt>
                <c:pt idx="87">
                  <c:v>7.9151426724285718</c:v>
                </c:pt>
                <c:pt idx="88">
                  <c:v>5.2711429254285713</c:v>
                </c:pt>
                <c:pt idx="89">
                  <c:v>4.8772857188571432</c:v>
                </c:pt>
                <c:pt idx="90">
                  <c:v>6.1969999587142857</c:v>
                </c:pt>
                <c:pt idx="91">
                  <c:v>10.280285493285716</c:v>
                </c:pt>
                <c:pt idx="92">
                  <c:v>7.658571379714286</c:v>
                </c:pt>
                <c:pt idx="93">
                  <c:v>5.9647143228571426</c:v>
                </c:pt>
                <c:pt idx="94">
                  <c:v>6.7207142624285723</c:v>
                </c:pt>
                <c:pt idx="95">
                  <c:v>5.8240000180000004</c:v>
                </c:pt>
                <c:pt idx="96">
                  <c:v>7.255428586571429</c:v>
                </c:pt>
                <c:pt idx="97">
                  <c:v>7.569857052142857</c:v>
                </c:pt>
                <c:pt idx="98">
                  <c:v>11.491143022142859</c:v>
                </c:pt>
                <c:pt idx="99">
                  <c:v>11.491143022142859</c:v>
                </c:pt>
                <c:pt idx="100">
                  <c:v>11.52</c:v>
                </c:pt>
                <c:pt idx="101">
                  <c:v>63.42214257285714</c:v>
                </c:pt>
                <c:pt idx="102">
                  <c:v>105.71028573142858</c:v>
                </c:pt>
                <c:pt idx="103">
                  <c:v>86.07714135142858</c:v>
                </c:pt>
                <c:pt idx="104">
                  <c:v>45.721570695714284</c:v>
                </c:pt>
                <c:pt idx="105">
                  <c:v>44.29957117428571</c:v>
                </c:pt>
                <c:pt idx="106">
                  <c:v>55.850142344285707</c:v>
                </c:pt>
                <c:pt idx="107">
                  <c:v>129.95414407142854</c:v>
                </c:pt>
                <c:pt idx="108">
                  <c:v>128.39200045714284</c:v>
                </c:pt>
                <c:pt idx="109">
                  <c:v>133.21328737142855</c:v>
                </c:pt>
                <c:pt idx="110">
                  <c:v>133.77895393333301</c:v>
                </c:pt>
                <c:pt idx="111">
                  <c:v>69.417142050606813</c:v>
                </c:pt>
                <c:pt idx="112">
                  <c:v>186.68128532857142</c:v>
                </c:pt>
                <c:pt idx="113">
                  <c:v>146.131261154827</c:v>
                </c:pt>
                <c:pt idx="114">
                  <c:v>110.17142813546286</c:v>
                </c:pt>
                <c:pt idx="115">
                  <c:v>81.900570460728204</c:v>
                </c:pt>
                <c:pt idx="116">
                  <c:v>61.771428571428579</c:v>
                </c:pt>
                <c:pt idx="117">
                  <c:v>46.260999952043754</c:v>
                </c:pt>
                <c:pt idx="118">
                  <c:v>36.220571791428576</c:v>
                </c:pt>
                <c:pt idx="119">
                  <c:v>27.017142704554924</c:v>
                </c:pt>
                <c:pt idx="120">
                  <c:v>26.255714235187</c:v>
                </c:pt>
                <c:pt idx="121">
                  <c:v>16.581428571428575</c:v>
                </c:pt>
                <c:pt idx="122">
                  <c:v>69.459999084472599</c:v>
                </c:pt>
                <c:pt idx="123">
                  <c:v>66.260002136230398</c:v>
                </c:pt>
                <c:pt idx="124">
                  <c:v>65.75</c:v>
                </c:pt>
                <c:pt idx="125">
                  <c:v>65.72000122</c:v>
                </c:pt>
                <c:pt idx="126">
                  <c:v>10.504285676138702</c:v>
                </c:pt>
                <c:pt idx="127">
                  <c:v>8.8472856794285715</c:v>
                </c:pt>
                <c:pt idx="128">
                  <c:v>7.1708572252857135</c:v>
                </c:pt>
                <c:pt idx="129">
                  <c:v>6.7431428091428582</c:v>
                </c:pt>
                <c:pt idx="130">
                  <c:v>6.9555713788571438</c:v>
                </c:pt>
                <c:pt idx="131">
                  <c:v>7.7912856511428572</c:v>
                </c:pt>
                <c:pt idx="132">
                  <c:v>7.1859999213899801</c:v>
                </c:pt>
                <c:pt idx="133">
                  <c:v>10.289285525142857</c:v>
                </c:pt>
                <c:pt idx="134">
                  <c:v>7.0418571063450344</c:v>
                </c:pt>
                <c:pt idx="135">
                  <c:v>6.8281428813934264</c:v>
                </c:pt>
                <c:pt idx="136">
                  <c:v>5.7674285684285715</c:v>
                </c:pt>
                <c:pt idx="137">
                  <c:v>2.1432857171428572</c:v>
                </c:pt>
                <c:pt idx="138">
                  <c:v>7.1627143110547582</c:v>
                </c:pt>
                <c:pt idx="139">
                  <c:v>5.1081428868571424</c:v>
                </c:pt>
                <c:pt idx="140">
                  <c:v>5.8057857581702397</c:v>
                </c:pt>
                <c:pt idx="141">
                  <c:v>6.7047142982482857</c:v>
                </c:pt>
                <c:pt idx="142">
                  <c:v>3.8321428128571426</c:v>
                </c:pt>
                <c:pt idx="143">
                  <c:v>6.02885715450559</c:v>
                </c:pt>
                <c:pt idx="144">
                  <c:v>6.1968265237028799</c:v>
                </c:pt>
                <c:pt idx="145">
                  <c:v>9.5699999659999992</c:v>
                </c:pt>
                <c:pt idx="146">
                  <c:v>9.7359999247959532</c:v>
                </c:pt>
                <c:pt idx="147">
                  <c:v>9.787285668857141</c:v>
                </c:pt>
                <c:pt idx="148">
                  <c:v>8.3278572218758669</c:v>
                </c:pt>
                <c:pt idx="149">
                  <c:v>8.9714284620000004</c:v>
                </c:pt>
                <c:pt idx="150">
                  <c:v>7.719999926430833</c:v>
                </c:pt>
                <c:pt idx="151">
                  <c:v>9.8602855546133554</c:v>
                </c:pt>
                <c:pt idx="152">
                  <c:v>10.514714377142857</c:v>
                </c:pt>
                <c:pt idx="153">
                  <c:v>13.792428560000001</c:v>
                </c:pt>
                <c:pt idx="154">
                  <c:v>17.965714182857145</c:v>
                </c:pt>
                <c:pt idx="155">
                  <c:v>13.465142795714286</c:v>
                </c:pt>
                <c:pt idx="156">
                  <c:v>22.307714735714285</c:v>
                </c:pt>
                <c:pt idx="157">
                  <c:v>20.728857314285712</c:v>
                </c:pt>
                <c:pt idx="158">
                  <c:v>14.135142598833328</c:v>
                </c:pt>
                <c:pt idx="159">
                  <c:v>12.892857279999999</c:v>
                </c:pt>
                <c:pt idx="160">
                  <c:v>30.6</c:v>
                </c:pt>
                <c:pt idx="161">
                  <c:v>52.329999651227638</c:v>
                </c:pt>
                <c:pt idx="162">
                  <c:v>59.46</c:v>
                </c:pt>
                <c:pt idx="163">
                  <c:v>32.804857528571425</c:v>
                </c:pt>
                <c:pt idx="164">
                  <c:v>24.390714100428941</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NATURAL VILCANOTA</c:v>
                </c:pt>
              </c:strCache>
            </c:strRef>
          </c:tx>
          <c:spPr>
            <a:ln>
              <a:solidFill>
                <a:srgbClr val="00B0F0"/>
              </a:solidFill>
            </a:ln>
          </c:spPr>
          <c:marker>
            <c:symbol val="none"/>
          </c:marker>
          <c:val>
            <c:numRef>
              <c:f>'13.Caudales'!$X$4:$X$168</c:f>
              <c:numCache>
                <c:formatCode>_(* #,##0.00_);_(* \(#,##0.00\);_(* "-"??_);_(@_)</c:formatCode>
                <c:ptCount val="165"/>
                <c:pt idx="0">
                  <c:v>468.15499877929659</c:v>
                </c:pt>
                <c:pt idx="1">
                  <c:v>213.59428187142859</c:v>
                </c:pt>
                <c:pt idx="2">
                  <c:v>247.26214164285713</c:v>
                </c:pt>
                <c:pt idx="3">
                  <c:v>212.78856985714287</c:v>
                </c:pt>
                <c:pt idx="4">
                  <c:v>410.15428595714286</c:v>
                </c:pt>
                <c:pt idx="5">
                  <c:v>622.45499965122758</c:v>
                </c:pt>
                <c:pt idx="6">
                  <c:v>434.32357352857144</c:v>
                </c:pt>
                <c:pt idx="7">
                  <c:v>403.40571376255542</c:v>
                </c:pt>
                <c:pt idx="8">
                  <c:v>388.35356794285718</c:v>
                </c:pt>
                <c:pt idx="9">
                  <c:v>317.96785625714284</c:v>
                </c:pt>
                <c:pt idx="10">
                  <c:v>377.62500435714281</c:v>
                </c:pt>
                <c:pt idx="11">
                  <c:v>380.85929216657314</c:v>
                </c:pt>
                <c:pt idx="12">
                  <c:v>332.15285818917374</c:v>
                </c:pt>
                <c:pt idx="13">
                  <c:v>272.16142927142863</c:v>
                </c:pt>
                <c:pt idx="14">
                  <c:v>174.17928642857143</c:v>
                </c:pt>
                <c:pt idx="15">
                  <c:v>124.01500048571428</c:v>
                </c:pt>
                <c:pt idx="16">
                  <c:v>109.72071402413471</c:v>
                </c:pt>
                <c:pt idx="17">
                  <c:v>121.69785745714287</c:v>
                </c:pt>
                <c:pt idx="18">
                  <c:v>98.23285565285714</c:v>
                </c:pt>
                <c:pt idx="19">
                  <c:v>74.486427307142861</c:v>
                </c:pt>
                <c:pt idx="20">
                  <c:v>66.354285648890865</c:v>
                </c:pt>
                <c:pt idx="21">
                  <c:v>60.742857795714293</c:v>
                </c:pt>
                <c:pt idx="22">
                  <c:v>60.932143074285719</c:v>
                </c:pt>
                <c:pt idx="23">
                  <c:v>56.771429334367994</c:v>
                </c:pt>
                <c:pt idx="24">
                  <c:v>51.780714305714291</c:v>
                </c:pt>
                <c:pt idx="25">
                  <c:v>47.265713828571435</c:v>
                </c:pt>
                <c:pt idx="26">
                  <c:v>44.601428440638877</c:v>
                </c:pt>
                <c:pt idx="27">
                  <c:v>42.742857252857149</c:v>
                </c:pt>
                <c:pt idx="28">
                  <c:v>40.262857164285712</c:v>
                </c:pt>
                <c:pt idx="29">
                  <c:v>39.827141895714291</c:v>
                </c:pt>
                <c:pt idx="30">
                  <c:v>37.761428834285709</c:v>
                </c:pt>
                <c:pt idx="31">
                  <c:v>37.760714394705587</c:v>
                </c:pt>
                <c:pt idx="32">
                  <c:v>38.402142115714284</c:v>
                </c:pt>
                <c:pt idx="33">
                  <c:v>36.792856487142856</c:v>
                </c:pt>
                <c:pt idx="34">
                  <c:v>37.991428375244077</c:v>
                </c:pt>
                <c:pt idx="35">
                  <c:v>40.24999999999995</c:v>
                </c:pt>
                <c:pt idx="36">
                  <c:v>41.220714024135006</c:v>
                </c:pt>
                <c:pt idx="37">
                  <c:v>38.451428549630243</c:v>
                </c:pt>
                <c:pt idx="38">
                  <c:v>41.307143075714286</c:v>
                </c:pt>
                <c:pt idx="39">
                  <c:v>45.036428724285713</c:v>
                </c:pt>
                <c:pt idx="40">
                  <c:v>44.255714417142862</c:v>
                </c:pt>
                <c:pt idx="41">
                  <c:v>49.407857077462303</c:v>
                </c:pt>
                <c:pt idx="42">
                  <c:v>49.056428090000004</c:v>
                </c:pt>
                <c:pt idx="43">
                  <c:v>48.241428374285711</c:v>
                </c:pt>
                <c:pt idx="44">
                  <c:v>46.33071463571428</c:v>
                </c:pt>
                <c:pt idx="45">
                  <c:v>44.693571362857142</c:v>
                </c:pt>
                <c:pt idx="46">
                  <c:v>42.967857361428564</c:v>
                </c:pt>
                <c:pt idx="47">
                  <c:v>63.644285474285716</c:v>
                </c:pt>
                <c:pt idx="48">
                  <c:v>90.734285625714293</c:v>
                </c:pt>
                <c:pt idx="49">
                  <c:v>57.20714296714285</c:v>
                </c:pt>
                <c:pt idx="50">
                  <c:v>76.025713785714288</c:v>
                </c:pt>
                <c:pt idx="51">
                  <c:v>180.25785610000003</c:v>
                </c:pt>
                <c:pt idx="52">
                  <c:v>233.42357307142856</c:v>
                </c:pt>
                <c:pt idx="53">
                  <c:v>199.51214380000002</c:v>
                </c:pt>
                <c:pt idx="54">
                  <c:v>380.69428361428572</c:v>
                </c:pt>
                <c:pt idx="55">
                  <c:v>322.4650006857143</c:v>
                </c:pt>
                <c:pt idx="56">
                  <c:v>203.94785854285715</c:v>
                </c:pt>
                <c:pt idx="57">
                  <c:v>317.90785435714287</c:v>
                </c:pt>
                <c:pt idx="58">
                  <c:v>339.78</c:v>
                </c:pt>
                <c:pt idx="59">
                  <c:v>264.85700000000003</c:v>
                </c:pt>
                <c:pt idx="60">
                  <c:v>195.40928431919602</c:v>
                </c:pt>
                <c:pt idx="61">
                  <c:v>212.2000013</c:v>
                </c:pt>
                <c:pt idx="62">
                  <c:v>229.93857247142856</c:v>
                </c:pt>
                <c:pt idx="63">
                  <c:v>287.37429152857146</c:v>
                </c:pt>
                <c:pt idx="64">
                  <c:v>292.37857055714284</c:v>
                </c:pt>
                <c:pt idx="65">
                  <c:v>281.81714740000001</c:v>
                </c:pt>
                <c:pt idx="66">
                  <c:v>319.64357211428575</c:v>
                </c:pt>
                <c:pt idx="67">
                  <c:v>174.665717</c:v>
                </c:pt>
                <c:pt idx="68">
                  <c:v>112.05499922142857</c:v>
                </c:pt>
                <c:pt idx="69">
                  <c:v>79.242856705714289</c:v>
                </c:pt>
                <c:pt idx="70">
                  <c:v>73.040000915714288</c:v>
                </c:pt>
                <c:pt idx="71">
                  <c:v>68.874286108571425</c:v>
                </c:pt>
                <c:pt idx="72">
                  <c:v>68.332856858571418</c:v>
                </c:pt>
                <c:pt idx="73">
                  <c:v>60.234999522857144</c:v>
                </c:pt>
                <c:pt idx="74">
                  <c:v>55.279285977142862</c:v>
                </c:pt>
                <c:pt idx="75">
                  <c:v>49.072856904285722</c:v>
                </c:pt>
                <c:pt idx="76">
                  <c:v>43.960000174285717</c:v>
                </c:pt>
                <c:pt idx="77">
                  <c:v>41.416428701428572</c:v>
                </c:pt>
                <c:pt idx="78">
                  <c:v>38.669285909999992</c:v>
                </c:pt>
                <c:pt idx="79">
                  <c:v>36.412143161428574</c:v>
                </c:pt>
                <c:pt idx="80">
                  <c:v>36.787142614285713</c:v>
                </c:pt>
                <c:pt idx="81">
                  <c:v>39.564285824285712</c:v>
                </c:pt>
                <c:pt idx="82">
                  <c:v>41.400714874285711</c:v>
                </c:pt>
                <c:pt idx="83">
                  <c:v>39.942857471428567</c:v>
                </c:pt>
                <c:pt idx="84">
                  <c:v>37.965715135714291</c:v>
                </c:pt>
                <c:pt idx="85">
                  <c:v>37.97857121285714</c:v>
                </c:pt>
                <c:pt idx="86">
                  <c:v>37.199285234285711</c:v>
                </c:pt>
                <c:pt idx="87">
                  <c:v>36.553570882857137</c:v>
                </c:pt>
                <c:pt idx="88">
                  <c:v>36.635714938571432</c:v>
                </c:pt>
                <c:pt idx="89">
                  <c:v>36.422143117142859</c:v>
                </c:pt>
                <c:pt idx="90">
                  <c:v>36.457856858571432</c:v>
                </c:pt>
                <c:pt idx="91">
                  <c:v>44.888571058571429</c:v>
                </c:pt>
                <c:pt idx="92">
                  <c:v>49.243571144285717</c:v>
                </c:pt>
                <c:pt idx="93">
                  <c:v>38.599999562857143</c:v>
                </c:pt>
                <c:pt idx="94">
                  <c:v>35.493572237142857</c:v>
                </c:pt>
                <c:pt idx="95">
                  <c:v>46.067856924285714</c:v>
                </c:pt>
                <c:pt idx="96">
                  <c:v>41.25857108142857</c:v>
                </c:pt>
                <c:pt idx="97">
                  <c:v>59.822143555714284</c:v>
                </c:pt>
                <c:pt idx="98">
                  <c:v>58.205000194285724</c:v>
                </c:pt>
                <c:pt idx="99">
                  <c:v>108.646</c:v>
                </c:pt>
                <c:pt idx="100">
                  <c:v>183.08428410000002</c:v>
                </c:pt>
                <c:pt idx="101">
                  <c:v>192.18500408571427</c:v>
                </c:pt>
                <c:pt idx="102">
                  <c:v>189.54214041428571</c:v>
                </c:pt>
                <c:pt idx="103">
                  <c:v>169.73285565714286</c:v>
                </c:pt>
                <c:pt idx="104">
                  <c:v>101.56500134142858</c:v>
                </c:pt>
                <c:pt idx="105">
                  <c:v>191.4592830114286</c:v>
                </c:pt>
                <c:pt idx="106">
                  <c:v>222.21500070000002</c:v>
                </c:pt>
                <c:pt idx="107">
                  <c:v>439.25357492857148</c:v>
                </c:pt>
                <c:pt idx="108">
                  <c:v>404.03070942857141</c:v>
                </c:pt>
                <c:pt idx="109">
                  <c:v>420.1207101</c:v>
                </c:pt>
                <c:pt idx="110">
                  <c:v>427.15742450542803</c:v>
                </c:pt>
                <c:pt idx="111">
                  <c:v>294.89857700892827</c:v>
                </c:pt>
                <c:pt idx="112">
                  <c:v>302.25500487142864</c:v>
                </c:pt>
                <c:pt idx="113">
                  <c:v>288.89999999999998</c:v>
                </c:pt>
                <c:pt idx="114">
                  <c:v>414.23214285714226</c:v>
                </c:pt>
                <c:pt idx="115">
                  <c:v>293.36786106654517</c:v>
                </c:pt>
                <c:pt idx="116">
                  <c:v>268.19142857142862</c:v>
                </c:pt>
                <c:pt idx="117">
                  <c:v>229.34857395717026</c:v>
                </c:pt>
                <c:pt idx="118">
                  <c:v>215.08928787142855</c:v>
                </c:pt>
                <c:pt idx="119">
                  <c:v>128.73071398053784</c:v>
                </c:pt>
                <c:pt idx="120">
                  <c:v>118.43833195974599</c:v>
                </c:pt>
                <c:pt idx="121">
                  <c:v>73.115714285714276</c:v>
                </c:pt>
                <c:pt idx="122">
                  <c:v>69.296428135463117</c:v>
                </c:pt>
                <c:pt idx="123">
                  <c:v>62.86000006539475</c:v>
                </c:pt>
                <c:pt idx="124">
                  <c:v>54.305714198521159</c:v>
                </c:pt>
                <c:pt idx="125">
                  <c:v>53.467142922857143</c:v>
                </c:pt>
                <c:pt idx="126">
                  <c:v>51.62714331490649</c:v>
                </c:pt>
                <c:pt idx="127">
                  <c:v>52.48000008857143</c:v>
                </c:pt>
                <c:pt idx="128">
                  <c:v>52.899999890000004</c:v>
                </c:pt>
                <c:pt idx="129">
                  <c:v>50.610000065714296</c:v>
                </c:pt>
                <c:pt idx="130">
                  <c:v>39.56999969571428</c:v>
                </c:pt>
                <c:pt idx="131">
                  <c:v>37.367143358571425</c:v>
                </c:pt>
                <c:pt idx="132">
                  <c:v>34.207142421177402</c:v>
                </c:pt>
                <c:pt idx="133">
                  <c:v>33.177856990000002</c:v>
                </c:pt>
                <c:pt idx="134">
                  <c:v>31.918571744646293</c:v>
                </c:pt>
                <c:pt idx="135">
                  <c:v>36.164285932268385</c:v>
                </c:pt>
                <c:pt idx="136">
                  <c:v>35.879999975714291</c:v>
                </c:pt>
                <c:pt idx="137">
                  <c:v>38.545714242857137</c:v>
                </c:pt>
                <c:pt idx="138">
                  <c:v>40.62499999999995</c:v>
                </c:pt>
                <c:pt idx="139">
                  <c:v>39.675715311428569</c:v>
                </c:pt>
                <c:pt idx="140">
                  <c:v>42.048215323571398</c:v>
                </c:pt>
                <c:pt idx="141">
                  <c:v>43.403571537562748</c:v>
                </c:pt>
                <c:pt idx="142">
                  <c:v>39.662857054285716</c:v>
                </c:pt>
                <c:pt idx="143">
                  <c:v>38.878571646554072</c:v>
                </c:pt>
                <c:pt idx="144">
                  <c:v>39.9741191131004</c:v>
                </c:pt>
                <c:pt idx="145">
                  <c:v>40.656428200000001</c:v>
                </c:pt>
                <c:pt idx="146">
                  <c:v>41.783572060721227</c:v>
                </c:pt>
                <c:pt idx="147">
                  <c:v>40.991428375714285</c:v>
                </c:pt>
                <c:pt idx="148">
                  <c:v>40.139285496302975</c:v>
                </c:pt>
                <c:pt idx="149">
                  <c:v>39.383571627142864</c:v>
                </c:pt>
                <c:pt idx="150">
                  <c:v>41.750000544956698</c:v>
                </c:pt>
                <c:pt idx="151">
                  <c:v>40.275714329310787</c:v>
                </c:pt>
                <c:pt idx="152">
                  <c:v>41.965714589999997</c:v>
                </c:pt>
                <c:pt idx="153">
                  <c:v>44.681428635714283</c:v>
                </c:pt>
                <c:pt idx="154">
                  <c:v>58.199286324285715</c:v>
                </c:pt>
                <c:pt idx="155">
                  <c:v>49.959429059999998</c:v>
                </c:pt>
                <c:pt idx="156">
                  <c:v>66.995713914285716</c:v>
                </c:pt>
                <c:pt idx="157">
                  <c:v>61.672285351428577</c:v>
                </c:pt>
                <c:pt idx="158">
                  <c:v>45.978571755545445</c:v>
                </c:pt>
                <c:pt idx="159">
                  <c:v>48.097142900000001</c:v>
                </c:pt>
                <c:pt idx="160">
                  <c:v>92.98</c:v>
                </c:pt>
                <c:pt idx="161">
                  <c:v>131.38999938964815</c:v>
                </c:pt>
                <c:pt idx="162">
                  <c:v>150.34</c:v>
                </c:pt>
                <c:pt idx="163">
                  <c:v>130.17400032857142</c:v>
                </c:pt>
                <c:pt idx="164">
                  <c:v>94.120000566754854</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_(* #,##0.00_);_(* \(#,##0.00\);_(* &quot;-&quot;??_);_(@_)"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2004448201444348"/>
          <c:w val="0.79300488639316924"/>
          <c:h val="9.88682925338425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35.226555861767459</c:v>
                </c:pt>
                <c:pt idx="1">
                  <c:v>34.380979089332442</c:v>
                </c:pt>
                <c:pt idx="2">
                  <c:v>33.840521575427942</c:v>
                </c:pt>
                <c:pt idx="3">
                  <c:v>33.511324949810927</c:v>
                </c:pt>
                <c:pt idx="4">
                  <c:v>32.74187934730822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30.41770899555512</c:v>
                </c:pt>
                <c:pt idx="1">
                  <c:v>30.32472782503752</c:v>
                </c:pt>
                <c:pt idx="2">
                  <c:v>30.389849925790561</c:v>
                </c:pt>
                <c:pt idx="3">
                  <c:v>30.092480754358871</c:v>
                </c:pt>
                <c:pt idx="4">
                  <c:v>30.26497724268842</c:v>
                </c:pt>
                <c:pt idx="5">
                  <c:v>29.306756680805528</c:v>
                </c:pt>
                <c:pt idx="6">
                  <c:v>28.893326069006974</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32.158593256702318</c:v>
                </c:pt>
                <c:pt idx="1">
                  <c:v>31.707420775918671</c:v>
                </c:pt>
                <c:pt idx="2">
                  <c:v>31.847581132241288</c:v>
                </c:pt>
                <c:pt idx="3">
                  <c:v>31.956350256998945</c:v>
                </c:pt>
                <c:pt idx="4">
                  <c:v>30.020724506702177</c:v>
                </c:pt>
                <c:pt idx="5">
                  <c:v>30.117162128366836</c:v>
                </c:pt>
                <c:pt idx="6">
                  <c:v>27.625633695202168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71126778080022"/>
        </c:manualLayout>
      </c:layout>
      <c:barChart>
        <c:barDir val="col"/>
        <c:grouping val="clustered"/>
        <c:varyColors val="0"/>
        <c:ser>
          <c:idx val="0"/>
          <c:order val="0"/>
          <c:tx>
            <c:strRef>
              <c:f>'16. Congestiones'!$D$6</c:f>
              <c:strCache>
                <c:ptCount val="1"/>
                <c:pt idx="0">
                  <c:v>FEBRERO
 2023</c:v>
                </c:pt>
              </c:strCache>
            </c:strRef>
          </c:tx>
          <c:spPr>
            <a:solidFill>
              <a:schemeClr val="accent1"/>
            </a:solidFill>
            <a:ln>
              <a:noFill/>
            </a:ln>
            <a:effectLst/>
          </c:spPr>
          <c:invertIfNegative val="0"/>
          <c:cat>
            <c:strRef>
              <c:f>'16. Congestiones'!$C$7:$C$21</c:f>
              <c:strCache>
                <c:ptCount val="15"/>
                <c:pt idx="0">
                  <c:v>CARHUAQUERO - CHICLAYO OESTE</c:v>
                </c:pt>
                <c:pt idx="1">
                  <c:v>TRUJILLO NORTE - CHIMBOTE 1</c:v>
                </c:pt>
                <c:pt idx="2">
                  <c:v>PARAMONGA N. - CHIMBOTE 1</c:v>
                </c:pt>
                <c:pt idx="3">
                  <c:v>PACHACHACA - CALLAHUANCA (REP)</c:v>
                </c:pt>
                <c:pt idx="4">
                  <c:v>PARAGSHA II - CONOCOCHA</c:v>
                </c:pt>
                <c:pt idx="5">
                  <c:v>TINGO MARÍA - AUCAYACU</c:v>
                </c:pt>
                <c:pt idx="6">
                  <c:v>INDEPENDENCIA</c:v>
                </c:pt>
                <c:pt idx="7">
                  <c:v>CARHUAMAYO - OROYA NUEVA</c:v>
                </c:pt>
                <c:pt idx="8">
                  <c:v>MARCONA - SAN NICOLÁS</c:v>
                </c:pt>
                <c:pt idx="9">
                  <c:v>MARCONA</c:v>
                </c:pt>
                <c:pt idx="10">
                  <c:v>AGUAYTÍA</c:v>
                </c:pt>
                <c:pt idx="11">
                  <c:v>HUANZA-CARABAYLLO</c:v>
                </c:pt>
                <c:pt idx="12">
                  <c:v>PIEDRA BLANCA-TINGO MARIA</c:v>
                </c:pt>
                <c:pt idx="13">
                  <c:v>ENLACE CENTRO - SUR</c:v>
                </c:pt>
                <c:pt idx="14">
                  <c:v>AZÁNGARO - SAN GABÁN II</c:v>
                </c:pt>
              </c:strCache>
            </c:strRef>
          </c:cat>
          <c:val>
            <c:numRef>
              <c:f>'16. Congestiones'!$D$7:$D$21</c:f>
              <c:numCache>
                <c:formatCode>#,##0.00</c:formatCode>
                <c:ptCount val="15"/>
                <c:pt idx="0">
                  <c:v>51.383333333333333</c:v>
                </c:pt>
                <c:pt idx="1">
                  <c:v>1.299999999999998</c:v>
                </c:pt>
                <c:pt idx="2">
                  <c:v>7.0666666666666647</c:v>
                </c:pt>
                <c:pt idx="4">
                  <c:v>8.4833333333333343</c:v>
                </c:pt>
                <c:pt idx="5">
                  <c:v>1.0333333333333363</c:v>
                </c:pt>
                <c:pt idx="12">
                  <c:v>1.9499999999999984</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FEBRERO
 2022</c:v>
                </c:pt>
              </c:strCache>
            </c:strRef>
          </c:tx>
          <c:spPr>
            <a:solidFill>
              <a:schemeClr val="accent2"/>
            </a:solidFill>
            <a:ln>
              <a:noFill/>
            </a:ln>
            <a:effectLst/>
          </c:spPr>
          <c:invertIfNegative val="0"/>
          <c:cat>
            <c:strRef>
              <c:f>'16. Congestiones'!$C$7:$C$21</c:f>
              <c:strCache>
                <c:ptCount val="15"/>
                <c:pt idx="0">
                  <c:v>CARHUAQUERO - CHICLAYO OESTE</c:v>
                </c:pt>
                <c:pt idx="1">
                  <c:v>TRUJILLO NORTE - CHIMBOTE 1</c:v>
                </c:pt>
                <c:pt idx="2">
                  <c:v>PARAMONGA N. - CHIMBOTE 1</c:v>
                </c:pt>
                <c:pt idx="3">
                  <c:v>PACHACHACA - CALLAHUANCA (REP)</c:v>
                </c:pt>
                <c:pt idx="4">
                  <c:v>PARAGSHA II - CONOCOCHA</c:v>
                </c:pt>
                <c:pt idx="5">
                  <c:v>TINGO MARÍA - AUCAYACU</c:v>
                </c:pt>
                <c:pt idx="6">
                  <c:v>INDEPENDENCIA</c:v>
                </c:pt>
                <c:pt idx="7">
                  <c:v>CARHUAMAYO - OROYA NUEVA</c:v>
                </c:pt>
                <c:pt idx="8">
                  <c:v>MARCONA - SAN NICOLÁS</c:v>
                </c:pt>
                <c:pt idx="9">
                  <c:v>MARCONA</c:v>
                </c:pt>
                <c:pt idx="10">
                  <c:v>AGUAYTÍA</c:v>
                </c:pt>
                <c:pt idx="11">
                  <c:v>HUANZA-CARABAYLLO</c:v>
                </c:pt>
                <c:pt idx="12">
                  <c:v>PIEDRA BLANCA-TINGO MARIA</c:v>
                </c:pt>
                <c:pt idx="13">
                  <c:v>ENLACE CENTRO - SUR</c:v>
                </c:pt>
                <c:pt idx="14">
                  <c:v>AZÁNGARO - SAN GABÁN II</c:v>
                </c:pt>
              </c:strCache>
            </c:strRef>
          </c:cat>
          <c:val>
            <c:numRef>
              <c:f>'16. Congestiones'!$E$7:$E$21</c:f>
              <c:numCache>
                <c:formatCode>#,##0.00</c:formatCode>
                <c:ptCount val="15"/>
                <c:pt idx="0">
                  <c:v>4.5</c:v>
                </c:pt>
                <c:pt idx="3">
                  <c:v>24.699999999999996</c:v>
                </c:pt>
                <c:pt idx="5">
                  <c:v>18.983333333333334</c:v>
                </c:pt>
                <c:pt idx="6">
                  <c:v>12.616666666666664</c:v>
                </c:pt>
                <c:pt idx="7">
                  <c:v>8.25</c:v>
                </c:pt>
                <c:pt idx="8">
                  <c:v>0.4499999999999984</c:v>
                </c:pt>
                <c:pt idx="9">
                  <c:v>9.3999999999999968</c:v>
                </c:pt>
                <c:pt idx="13">
                  <c:v>6.1166666666666663</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FEBRERO
 2021</c:v>
                </c:pt>
              </c:strCache>
            </c:strRef>
          </c:tx>
          <c:spPr>
            <a:solidFill>
              <a:schemeClr val="accent6"/>
            </a:solidFill>
            <a:ln>
              <a:noFill/>
            </a:ln>
            <a:effectLst/>
          </c:spPr>
          <c:invertIfNegative val="0"/>
          <c:val>
            <c:numRef>
              <c:f>'16. Congestiones'!$F$7:$F$21</c:f>
              <c:numCache>
                <c:formatCode>#,##0.00</c:formatCode>
                <c:ptCount val="15"/>
                <c:pt idx="5">
                  <c:v>19.483333333333331</c:v>
                </c:pt>
                <c:pt idx="6">
                  <c:v>134.45000000000002</c:v>
                </c:pt>
                <c:pt idx="7">
                  <c:v>3.15</c:v>
                </c:pt>
                <c:pt idx="9">
                  <c:v>11.2</c:v>
                </c:pt>
                <c:pt idx="10">
                  <c:v>3.1166666666666663</c:v>
                </c:pt>
                <c:pt idx="11">
                  <c:v>35.283333333333331</c:v>
                </c:pt>
                <c:pt idx="14">
                  <c:v>16.850000000000001</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594957835490961"/>
          <c:y val="0.20346645959759466"/>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1.7176534166843109E-2"/>
                  <c:y val="2.2070228188203745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9993250538400247E-4"/>
                  <c:y val="3.9108645621927396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D8FAC4B7-893D-4DF8-B22B-AA996724105F}" type="PERCENTAGE">
                      <a:rPr lang="en-US" sz="700" baseline="0">
                        <a:solidFill>
                          <a:schemeClr val="tx1">
                            <a:lumMod val="75000"/>
                            <a:lumOff val="25000"/>
                          </a:schemeClr>
                        </a:solidFill>
                      </a:rPr>
                      <a:pPr>
                        <a:defRPr sz="700"/>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026474331646855"/>
                      <c:h val="5.8675926354164375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5.333958055709196E-2"/>
                  <c:y val="-3.80020886428500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CFB78BC4-28D5-47C7-B7DB-8191FAC6D7D2}" type="PERCENTAGE">
                      <a:rPr lang="en-US"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3.0406017014331845E-2"/>
                  <c:y val="-8.1651281390333452E-2"/>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fld id="{95C72DD4-DF0A-4ADB-BF1F-8F6A909549B2}" type="PERCENTAGE">
                      <a:rPr lang="en-US" baseline="0"/>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0.29317685549656403"/>
                  <c:y val="0.59475429314976336"/>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27603D00-D9FB-4149-8137-F4436AFFD3A3}" type="PERCENTAGE">
                      <a:rPr lang="en-US" baseline="0">
                        <a:solidFill>
                          <a:schemeClr val="bg1"/>
                        </a:solidFill>
                      </a:rPr>
                      <a:pPr>
                        <a:defRPr sz="700">
                          <a:solidFill>
                            <a:schemeClr val="bg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Eventos'!$B$14:$H$14</c:f>
              <c:numCache>
                <c:formatCode>General</c:formatCode>
                <c:ptCount val="7"/>
                <c:pt idx="0">
                  <c:v>36</c:v>
                </c:pt>
                <c:pt idx="1">
                  <c:v>6</c:v>
                </c:pt>
                <c:pt idx="2">
                  <c:v>2</c:v>
                </c:pt>
                <c:pt idx="3">
                  <c:v>5</c:v>
                </c:pt>
                <c:pt idx="4">
                  <c:v>14</c:v>
                </c:pt>
                <c:pt idx="5">
                  <c:v>2</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531049380823E-2"/>
          <c:y val="0.84690287667603215"/>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Eventos'!$J$7:$J$13</c:f>
              <c:numCache>
                <c:formatCode>#,##0.00</c:formatCode>
                <c:ptCount val="7"/>
                <c:pt idx="0">
                  <c:v>650.04</c:v>
                </c:pt>
                <c:pt idx="1">
                  <c:v>232</c:v>
                </c:pt>
                <c:pt idx="2">
                  <c:v>1.28</c:v>
                </c:pt>
                <c:pt idx="3">
                  <c:v>43.35</c:v>
                </c:pt>
                <c:pt idx="4">
                  <c:v>10.65</c:v>
                </c:pt>
                <c:pt idx="5">
                  <c:v>7.66</c:v>
                </c:pt>
                <c:pt idx="6">
                  <c:v>113.33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77651777874101"/>
          <c:h val="0.54111333969026398"/>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Eventos'!$B$7:$B$13</c:f>
              <c:numCache>
                <c:formatCode>General</c:formatCode>
                <c:ptCount val="7"/>
                <c:pt idx="0">
                  <c:v>36</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Eventos'!$C$7:$C$13</c:f>
              <c:numCache>
                <c:formatCode>General</c:formatCode>
                <c:ptCount val="7"/>
                <c:pt idx="0">
                  <c:v>4</c:v>
                </c:pt>
                <c:pt idx="1">
                  <c:v>1</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Eventos'!$D$7:$D$13</c:f>
              <c:numCache>
                <c:formatCode>General</c:formatCode>
                <c:ptCount val="7"/>
                <c:pt idx="0">
                  <c:v>1</c:v>
                </c:pt>
                <c:pt idx="4">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Eventos'!$E$7:$E$13</c:f>
              <c:numCache>
                <c:formatCode>General</c:formatCode>
                <c:ptCount val="7"/>
                <c:pt idx="0">
                  <c:v>5</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Eventos'!$F$7:$F$13</c:f>
              <c:numCache>
                <c:formatCode>General</c:formatCode>
                <c:ptCount val="7"/>
                <c:pt idx="0">
                  <c:v>11</c:v>
                </c:pt>
                <c:pt idx="3">
                  <c:v>2</c:v>
                </c:pt>
                <c:pt idx="6">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Eventos'!$G$7:$G$13</c:f>
              <c:numCache>
                <c:formatCode>General</c:formatCode>
                <c:ptCount val="7"/>
                <c:pt idx="0">
                  <c:v>1</c:v>
                </c:pt>
                <c:pt idx="2">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Eventos'!$A$7:$A$13</c:f>
              <c:strCache>
                <c:ptCount val="7"/>
                <c:pt idx="0">
                  <c:v>LINEA DE TRANSMISION</c:v>
                </c:pt>
                <c:pt idx="1">
                  <c:v>TRANSFORMADOR 2D</c:v>
                </c:pt>
                <c:pt idx="2">
                  <c:v>TRANSFORMADOR 3D</c:v>
                </c:pt>
                <c:pt idx="3">
                  <c:v>TRANSFORMADOR 4D</c:v>
                </c:pt>
                <c:pt idx="4">
                  <c:v>BARRA</c:v>
                </c:pt>
                <c:pt idx="5">
                  <c:v>SUBESTACION</c:v>
                </c:pt>
                <c:pt idx="6">
                  <c:v>CENTRAL TERMOELÉCTRICA</c:v>
                </c:pt>
              </c:strCache>
            </c:strRef>
          </c:cat>
          <c:val>
            <c:numRef>
              <c:f>'17. Eventos'!$H$7:$H$13</c:f>
              <c:numCache>
                <c:formatCode>General</c:formatCode>
                <c:ptCount val="7"/>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generación'!$B$21:$C$21</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generación'!$D$20:$E$20</c:f>
              <c:strCache>
                <c:ptCount val="2"/>
                <c:pt idx="0">
                  <c:v>FEBRERO 2023</c:v>
                </c:pt>
                <c:pt idx="1">
                  <c:v>FEBRERO 2022</c:v>
                </c:pt>
              </c:strCache>
            </c:strRef>
          </c:cat>
          <c:val>
            <c:numRef>
              <c:f>'2. Oferta de generación'!$D$21:$E$21</c:f>
              <c:numCache>
                <c:formatCode>#,##0.0</c:formatCode>
                <c:ptCount val="2"/>
                <c:pt idx="0">
                  <c:v>5261.1882475000011</c:v>
                </c:pt>
                <c:pt idx="1">
                  <c:v>5261.9382474999966</c:v>
                </c:pt>
              </c:numCache>
            </c:numRef>
          </c:val>
          <c:extLst>
            <c:ext xmlns:c16="http://schemas.microsoft.com/office/drawing/2014/chart" uri="{C3380CC4-5D6E-409C-BE32-E72D297353CC}">
              <c16:uniqueId val="{00000004-54B0-402D-913D-0304413B844F}"/>
            </c:ext>
          </c:extLst>
        </c:ser>
        <c:ser>
          <c:idx val="1"/>
          <c:order val="1"/>
          <c:tx>
            <c:strRef>
              <c:f>'2. Oferta de generación'!$B$22:$C$22</c:f>
              <c:strCache>
                <c:ptCount val="2"/>
                <c:pt idx="0">
                  <c:v>TERMOELÉCTRICA</c:v>
                </c:pt>
              </c:strCache>
            </c:strRef>
          </c:tx>
          <c:spPr>
            <a:solidFill>
              <a:schemeClr val="accent2"/>
            </a:solidFill>
          </c:spPr>
          <c:invertIfNegative val="0"/>
          <c:cat>
            <c:strRef>
              <c:f>'2. Oferta de generación'!$D$20:$E$20</c:f>
              <c:strCache>
                <c:ptCount val="2"/>
                <c:pt idx="0">
                  <c:v>FEBRERO 2023</c:v>
                </c:pt>
                <c:pt idx="1">
                  <c:v>FEBRERO 2022</c:v>
                </c:pt>
              </c:strCache>
            </c:strRef>
          </c:cat>
          <c:val>
            <c:numRef>
              <c:f>'2. Oferta de generación'!$D$22:$E$22</c:f>
              <c:numCache>
                <c:formatCode>#,##0.0</c:formatCode>
                <c:ptCount val="2"/>
                <c:pt idx="0">
                  <c:v>7495.9944999999998</c:v>
                </c:pt>
                <c:pt idx="1">
                  <c:v>7490.5944999999983</c:v>
                </c:pt>
              </c:numCache>
            </c:numRef>
          </c:val>
          <c:extLst>
            <c:ext xmlns:c16="http://schemas.microsoft.com/office/drawing/2014/chart" uri="{C3380CC4-5D6E-409C-BE32-E72D297353CC}">
              <c16:uniqueId val="{00000005-54B0-402D-913D-0304413B844F}"/>
            </c:ext>
          </c:extLst>
        </c:ser>
        <c:ser>
          <c:idx val="2"/>
          <c:order val="2"/>
          <c:tx>
            <c:strRef>
              <c:f>'2. Oferta de generación'!$B$23:$C$23</c:f>
              <c:strCache>
                <c:ptCount val="2"/>
                <c:pt idx="0">
                  <c:v>EÓLICA</c:v>
                </c:pt>
              </c:strCache>
            </c:strRef>
          </c:tx>
          <c:spPr>
            <a:solidFill>
              <a:srgbClr val="6DA6D9"/>
            </a:solidFill>
          </c:spPr>
          <c:invertIfNegative val="0"/>
          <c:cat>
            <c:strRef>
              <c:f>'2. Oferta de generación'!$D$20:$E$20</c:f>
              <c:strCache>
                <c:ptCount val="2"/>
                <c:pt idx="0">
                  <c:v>FEBRERO 2023</c:v>
                </c:pt>
                <c:pt idx="1">
                  <c:v>FEBRERO 2022</c:v>
                </c:pt>
              </c:strCache>
            </c:strRef>
          </c:cat>
          <c:val>
            <c:numRef>
              <c:f>'2. Oferta de generación'!$D$23:$E$23</c:f>
              <c:numCache>
                <c:formatCode>#,##0.0</c:formatCode>
                <c:ptCount val="2"/>
                <c:pt idx="0">
                  <c:v>412.19999999999993</c:v>
                </c:pt>
                <c:pt idx="1">
                  <c:v>412.2</c:v>
                </c:pt>
              </c:numCache>
            </c:numRef>
          </c:val>
          <c:extLst>
            <c:ext xmlns:c16="http://schemas.microsoft.com/office/drawing/2014/chart" uri="{C3380CC4-5D6E-409C-BE32-E72D297353CC}">
              <c16:uniqueId val="{00000006-54B0-402D-913D-0304413B844F}"/>
            </c:ext>
          </c:extLst>
        </c:ser>
        <c:ser>
          <c:idx val="3"/>
          <c:order val="3"/>
          <c:tx>
            <c:strRef>
              <c:f>'2. Oferta de generación'!$B$24:$C$24</c:f>
              <c:strCache>
                <c:ptCount val="2"/>
                <c:pt idx="0">
                  <c:v>SOLAR</c:v>
                </c:pt>
              </c:strCache>
            </c:strRef>
          </c:tx>
          <c:invertIfNegative val="0"/>
          <c:cat>
            <c:strRef>
              <c:f>'2. Oferta de generación'!$D$20:$E$20</c:f>
              <c:strCache>
                <c:ptCount val="2"/>
                <c:pt idx="0">
                  <c:v>FEBRERO 2023</c:v>
                </c:pt>
                <c:pt idx="1">
                  <c:v>FEBRERO 2022</c:v>
                </c:pt>
              </c:strCache>
            </c:strRef>
          </c:cat>
          <c:val>
            <c:numRef>
              <c:f>'2. Oferta de generación'!$D$24:$E$24</c:f>
              <c:numCache>
                <c:formatCode>#,##0.0</c:formatCode>
                <c:ptCount val="2"/>
                <c:pt idx="0">
                  <c:v>282.27499999999998</c:v>
                </c:pt>
                <c:pt idx="1">
                  <c:v>286.315</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2021</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6231.7180155275018</c:v>
                </c:pt>
                <c:pt idx="1">
                  <c:v>2070.2463592625004</c:v>
                </c:pt>
                <c:pt idx="2">
                  <c:v>273.12187200249997</c:v>
                </c:pt>
                <c:pt idx="3">
                  <c:v>136.7030283</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2022</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5782.5959201200012</c:v>
                </c:pt>
                <c:pt idx="1">
                  <c:v>2811.1647780924995</c:v>
                </c:pt>
                <c:pt idx="2">
                  <c:v>276.52361378000001</c:v>
                </c:pt>
                <c:pt idx="3">
                  <c:v>134.92653404499998</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2023</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5729.8286210275</c:v>
                </c:pt>
                <c:pt idx="1">
                  <c:v>3306.9034401050003</c:v>
                </c:pt>
                <c:pt idx="2">
                  <c:v>253.31870714250005</c:v>
                </c:pt>
                <c:pt idx="3">
                  <c:v>127.06221037750001</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2023</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5729.8286210275</c:v>
                </c:pt>
                <c:pt idx="1">
                  <c:v>3122.0421100075005</c:v>
                </c:pt>
                <c:pt idx="2">
                  <c:v>115.19540450000001</c:v>
                </c:pt>
                <c:pt idx="3">
                  <c:v>19.239359425000004</c:v>
                </c:pt>
                <c:pt idx="4">
                  <c:v>0</c:v>
                </c:pt>
                <c:pt idx="5">
                  <c:v>0.65636402249999992</c:v>
                </c:pt>
                <c:pt idx="6">
                  <c:v>0</c:v>
                </c:pt>
                <c:pt idx="7">
                  <c:v>7.3986826474999994</c:v>
                </c:pt>
                <c:pt idx="8">
                  <c:v>29.315786577500003</c:v>
                </c:pt>
                <c:pt idx="9">
                  <c:v>13.055732925000001</c:v>
                </c:pt>
                <c:pt idx="10">
                  <c:v>127.06221037750001</c:v>
                </c:pt>
                <c:pt idx="11">
                  <c:v>253.31870714250005</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2022</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5782.5959201200012</c:v>
                </c:pt>
                <c:pt idx="1">
                  <c:v>2661.8900605199997</c:v>
                </c:pt>
                <c:pt idx="2">
                  <c:v>85.727804000000006</c:v>
                </c:pt>
                <c:pt idx="3">
                  <c:v>7.5406091050000006</c:v>
                </c:pt>
                <c:pt idx="4">
                  <c:v>0</c:v>
                </c:pt>
                <c:pt idx="5">
                  <c:v>3.3777650525</c:v>
                </c:pt>
                <c:pt idx="6">
                  <c:v>0</c:v>
                </c:pt>
                <c:pt idx="7">
                  <c:v>4.7667236274999993</c:v>
                </c:pt>
                <c:pt idx="8">
                  <c:v>34.98287163749999</c:v>
                </c:pt>
                <c:pt idx="9">
                  <c:v>12.878944150000001</c:v>
                </c:pt>
                <c:pt idx="10">
                  <c:v>134.92653404499998</c:v>
                </c:pt>
                <c:pt idx="11">
                  <c:v>276.52361378000001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2021</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6231.7180155275018</c:v>
                </c:pt>
                <c:pt idx="1">
                  <c:v>1892.4578272075</c:v>
                </c:pt>
                <c:pt idx="2">
                  <c:v>103.29116266500002</c:v>
                </c:pt>
                <c:pt idx="3">
                  <c:v>18.66729844</c:v>
                </c:pt>
                <c:pt idx="4">
                  <c:v>0</c:v>
                </c:pt>
                <c:pt idx="5">
                  <c:v>1.34315742</c:v>
                </c:pt>
                <c:pt idx="6">
                  <c:v>0</c:v>
                </c:pt>
                <c:pt idx="7">
                  <c:v>1.93915353</c:v>
                </c:pt>
                <c:pt idx="8">
                  <c:v>37.624249367499999</c:v>
                </c:pt>
                <c:pt idx="9">
                  <c:v>14.923510632499999</c:v>
                </c:pt>
                <c:pt idx="10">
                  <c:v>136.7030283</c:v>
                </c:pt>
                <c:pt idx="11">
                  <c:v>273.12187200249997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2021</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480.50030150249995</c:v>
                </c:pt>
                <c:pt idx="1">
                  <c:v>273.12187200249997</c:v>
                </c:pt>
                <c:pt idx="2">
                  <c:v>136.7030283</c:v>
                </c:pt>
                <c:pt idx="3">
                  <c:v>37.624249367499999</c:v>
                </c:pt>
                <c:pt idx="4">
                  <c:v>14.923510632499999</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2022</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453.89482790499994</c:v>
                </c:pt>
                <c:pt idx="1">
                  <c:v>276.52361378000001</c:v>
                </c:pt>
                <c:pt idx="2">
                  <c:v>134.92653404499998</c:v>
                </c:pt>
                <c:pt idx="3">
                  <c:v>34.98287163749999</c:v>
                </c:pt>
                <c:pt idx="4">
                  <c:v>12.878944150000001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2023</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455.06902132750014</c:v>
                </c:pt>
                <c:pt idx="1">
                  <c:v>253.31870714250005</c:v>
                </c:pt>
                <c:pt idx="2">
                  <c:v>127.06221037750001</c:v>
                </c:pt>
                <c:pt idx="3">
                  <c:v>29.315786577500003</c:v>
                </c:pt>
                <c:pt idx="4">
                  <c:v>13.055732925000001</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Footer>&amp;ZCOES, 2022&amp;DDirección Ejecutiva
Sub Dirección de Gestión de la Información</c:oddFoot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5.8708902965944422E-2"/>
                  <c:y val="-0.16580439086561466"/>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6574588736936957E-2"/>
                  <c:y val="0.16252335609604157"/>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8,998</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4119.1839845575005</c:v>
                </c:pt>
                <c:pt idx="1">
                  <c:v>230.03363448250005</c:v>
                </c:pt>
                <c:pt idx="2">
                  <c:v>105.83284567250001</c:v>
                </c:pt>
                <c:pt idx="3">
                  <c:v>54.311310517500011</c:v>
                </c:pt>
                <c:pt idx="4">
                  <c:v>10.8409557625</c:v>
                </c:pt>
                <c:pt idx="5">
                  <c:v>6.2437651999999995</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8 DE AGOSTO</c:v>
                </c:pt>
                <c:pt idx="1">
                  <c:v>C.H. RUNATULLO III</c:v>
                </c:pt>
                <c:pt idx="2">
                  <c:v>C.H. ÁNGEL II</c:v>
                </c:pt>
                <c:pt idx="3">
                  <c:v>C.H. CHANCAY</c:v>
                </c:pt>
                <c:pt idx="4">
                  <c:v>C.H. ÁNGEL III</c:v>
                </c:pt>
                <c:pt idx="5">
                  <c:v>C.H. POTRERO</c:v>
                </c:pt>
                <c:pt idx="6">
                  <c:v>C.H. RUCUY</c:v>
                </c:pt>
                <c:pt idx="7">
                  <c:v>C.H. RENOVANDES H1</c:v>
                </c:pt>
                <c:pt idx="8">
                  <c:v>C.H. RUNATULLO II</c:v>
                </c:pt>
                <c:pt idx="9">
                  <c:v>C.H. MANTA I</c:v>
                </c:pt>
                <c:pt idx="10">
                  <c:v>C.H. LAS PIZARRAS</c:v>
                </c:pt>
                <c:pt idx="11">
                  <c:v>C.H. ÁNGEL I</c:v>
                </c:pt>
                <c:pt idx="12">
                  <c:v>C.H. CARHUAC</c:v>
                </c:pt>
                <c:pt idx="13">
                  <c:v>C.H. YARUCAYA</c:v>
                </c:pt>
                <c:pt idx="14">
                  <c:v>C.H. HUASAHUASI II</c:v>
                </c:pt>
                <c:pt idx="15">
                  <c:v>C.H. HUASAHUASI I</c:v>
                </c:pt>
                <c:pt idx="16">
                  <c:v>C.H. CARHUAQUERO IV</c:v>
                </c:pt>
                <c:pt idx="17">
                  <c:v>C.H. EL CARMEN</c:v>
                </c:pt>
                <c:pt idx="18">
                  <c:v>C.H. SANTA CRUZ II</c:v>
                </c:pt>
                <c:pt idx="19">
                  <c:v>C.H. SANTA CRUZ I</c:v>
                </c:pt>
                <c:pt idx="20">
                  <c:v>C.H. POECHOS II</c:v>
                </c:pt>
                <c:pt idx="21">
                  <c:v>C.H. CAÑA BRAVA</c:v>
                </c:pt>
                <c:pt idx="22">
                  <c:v>C.H. CANCHAYLLO</c:v>
                </c:pt>
                <c:pt idx="23">
                  <c:v>C.H. LA JOYA</c:v>
                </c:pt>
                <c:pt idx="24">
                  <c:v>C.H. YANAPAMPA</c:v>
                </c:pt>
                <c:pt idx="25">
                  <c:v>C.H. RONCADOR</c:v>
                </c:pt>
                <c:pt idx="26">
                  <c:v>C.H. IMPERIAL</c:v>
                </c:pt>
                <c:pt idx="27">
                  <c:v>C.H. PURMACANA</c:v>
                </c:pt>
                <c:pt idx="28">
                  <c:v>C.H. HER 1</c:v>
                </c:pt>
              </c:strCache>
            </c:strRef>
          </c:cat>
          <c:val>
            <c:numRef>
              <c:f>'6. FP RER'!$P$6:$P$34</c:f>
              <c:numCache>
                <c:formatCode>0.00</c:formatCode>
                <c:ptCount val="29"/>
                <c:pt idx="0">
                  <c:v>13.905483072500001</c:v>
                </c:pt>
                <c:pt idx="1">
                  <c:v>13.557959385</c:v>
                </c:pt>
                <c:pt idx="2">
                  <c:v>13.489627195000001</c:v>
                </c:pt>
                <c:pt idx="3">
                  <c:v>13.405171147499999</c:v>
                </c:pt>
                <c:pt idx="4">
                  <c:v>13.3785802875</c:v>
                </c:pt>
                <c:pt idx="5">
                  <c:v>13.146740900000001</c:v>
                </c:pt>
                <c:pt idx="6">
                  <c:v>13.107826415</c:v>
                </c:pt>
                <c:pt idx="7">
                  <c:v>12.987306969999999</c:v>
                </c:pt>
                <c:pt idx="8">
                  <c:v>12.6228275275</c:v>
                </c:pt>
                <c:pt idx="9">
                  <c:v>12.488799</c:v>
                </c:pt>
                <c:pt idx="10">
                  <c:v>12.0708682075</c:v>
                </c:pt>
                <c:pt idx="11">
                  <c:v>11.4226509175</c:v>
                </c:pt>
                <c:pt idx="12">
                  <c:v>11.038627085</c:v>
                </c:pt>
                <c:pt idx="13">
                  <c:v>10.524519250000001</c:v>
                </c:pt>
                <c:pt idx="14">
                  <c:v>6.52435674</c:v>
                </c:pt>
                <c:pt idx="15">
                  <c:v>6.4273545475000002</c:v>
                </c:pt>
                <c:pt idx="16">
                  <c:v>6.3442528175000001</c:v>
                </c:pt>
                <c:pt idx="17">
                  <c:v>5.0950051875</c:v>
                </c:pt>
                <c:pt idx="18">
                  <c:v>4.2872024149999994</c:v>
                </c:pt>
                <c:pt idx="19">
                  <c:v>3.7687534425</c:v>
                </c:pt>
                <c:pt idx="20">
                  <c:v>3.4269490875000002</c:v>
                </c:pt>
                <c:pt idx="21">
                  <c:v>3.4236093099999998</c:v>
                </c:pt>
                <c:pt idx="22">
                  <c:v>3.3025711824999999</c:v>
                </c:pt>
                <c:pt idx="23">
                  <c:v>2.7751872925000001</c:v>
                </c:pt>
                <c:pt idx="24">
                  <c:v>2.2575873500000001</c:v>
                </c:pt>
                <c:pt idx="25">
                  <c:v>2.2353242500000001</c:v>
                </c:pt>
                <c:pt idx="26">
                  <c:v>2.2291999999999996</c:v>
                </c:pt>
                <c:pt idx="27">
                  <c:v>0.56025199999999997</c:v>
                </c:pt>
                <c:pt idx="28">
                  <c:v>0.22904150000000001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8 DE AGOSTO</c:v>
                </c:pt>
                <c:pt idx="1">
                  <c:v>C.H. RUNATULLO III</c:v>
                </c:pt>
                <c:pt idx="2">
                  <c:v>C.H. ÁNGEL II</c:v>
                </c:pt>
                <c:pt idx="3">
                  <c:v>C.H. CHANCAY</c:v>
                </c:pt>
                <c:pt idx="4">
                  <c:v>C.H. ÁNGEL III</c:v>
                </c:pt>
                <c:pt idx="5">
                  <c:v>C.H. POTRERO</c:v>
                </c:pt>
                <c:pt idx="6">
                  <c:v>C.H. RUCUY</c:v>
                </c:pt>
                <c:pt idx="7">
                  <c:v>C.H. RENOVANDES H1</c:v>
                </c:pt>
                <c:pt idx="8">
                  <c:v>C.H. RUNATULLO II</c:v>
                </c:pt>
                <c:pt idx="9">
                  <c:v>C.H. MANTA I</c:v>
                </c:pt>
                <c:pt idx="10">
                  <c:v>C.H. LAS PIZARRAS</c:v>
                </c:pt>
                <c:pt idx="11">
                  <c:v>C.H. ÁNGEL I</c:v>
                </c:pt>
                <c:pt idx="12">
                  <c:v>C.H. CARHUAC</c:v>
                </c:pt>
                <c:pt idx="13">
                  <c:v>C.H. YARUCAYA</c:v>
                </c:pt>
                <c:pt idx="14">
                  <c:v>C.H. HUASAHUASI II</c:v>
                </c:pt>
                <c:pt idx="15">
                  <c:v>C.H. HUASAHUASI I</c:v>
                </c:pt>
                <c:pt idx="16">
                  <c:v>C.H. CARHUAQUERO IV</c:v>
                </c:pt>
                <c:pt idx="17">
                  <c:v>C.H. EL CARMEN</c:v>
                </c:pt>
                <c:pt idx="18">
                  <c:v>C.H. SANTA CRUZ II</c:v>
                </c:pt>
                <c:pt idx="19">
                  <c:v>C.H. SANTA CRUZ I</c:v>
                </c:pt>
                <c:pt idx="20">
                  <c:v>C.H. POECHOS II</c:v>
                </c:pt>
                <c:pt idx="21">
                  <c:v>C.H. CAÑA BRAVA</c:v>
                </c:pt>
                <c:pt idx="22">
                  <c:v>C.H. CANCHAYLLO</c:v>
                </c:pt>
                <c:pt idx="23">
                  <c:v>C.H. LA JOYA</c:v>
                </c:pt>
                <c:pt idx="24">
                  <c:v>C.H. YANAPAMPA</c:v>
                </c:pt>
                <c:pt idx="25">
                  <c:v>C.H. RONCADOR</c:v>
                </c:pt>
                <c:pt idx="26">
                  <c:v>C.H. IMPERIAL</c:v>
                </c:pt>
                <c:pt idx="27">
                  <c:v>C.H. PURMACANA</c:v>
                </c:pt>
                <c:pt idx="28">
                  <c:v>C.H. HER 1</c:v>
                </c:pt>
              </c:strCache>
            </c:strRef>
          </c:cat>
          <c:val>
            <c:numRef>
              <c:f>'6. FP RER'!$Q$6:$Q$34</c:f>
              <c:numCache>
                <c:formatCode>0.00</c:formatCode>
                <c:ptCount val="29"/>
                <c:pt idx="0">
                  <c:v>1</c:v>
                </c:pt>
                <c:pt idx="1">
                  <c:v>1</c:v>
                </c:pt>
                <c:pt idx="2">
                  <c:v>1.0043367816734197</c:v>
                </c:pt>
                <c:pt idx="3">
                  <c:v>0.98286220686078174</c:v>
                </c:pt>
                <c:pt idx="4">
                  <c:v>0.99126379916727858</c:v>
                </c:pt>
                <c:pt idx="5">
                  <c:v>0.96839929362250776</c:v>
                </c:pt>
                <c:pt idx="6">
                  <c:v>0.96229373803357054</c:v>
                </c:pt>
                <c:pt idx="7">
                  <c:v>0.92639007083396108</c:v>
                </c:pt>
                <c:pt idx="8">
                  <c:v>0.94075071542896982</c:v>
                </c:pt>
                <c:pt idx="9">
                  <c:v>0.8950633385650768</c:v>
                </c:pt>
                <c:pt idx="10">
                  <c:v>0.93557652539159619</c:v>
                </c:pt>
                <c:pt idx="11">
                  <c:v>0.84774254094236978</c:v>
                </c:pt>
                <c:pt idx="12">
                  <c:v>0.80656744561136151</c:v>
                </c:pt>
                <c:pt idx="13">
                  <c:v>0.86298693956175165</c:v>
                </c:pt>
                <c:pt idx="14">
                  <c:v>0.97436196878551506</c:v>
                </c:pt>
                <c:pt idx="15">
                  <c:v>0.97101682189690619</c:v>
                </c:pt>
                <c:pt idx="16">
                  <c:v>0.94569291866112859</c:v>
                </c:pt>
                <c:pt idx="17">
                  <c:v>0.88366584587287711</c:v>
                </c:pt>
                <c:pt idx="18">
                  <c:v>0.98120047654750908</c:v>
                </c:pt>
                <c:pt idx="19">
                  <c:v>0.84512719278771631</c:v>
                </c:pt>
                <c:pt idx="20">
                  <c:v>0.53309916561818649</c:v>
                </c:pt>
                <c:pt idx="21">
                  <c:v>0.89852852051314358</c:v>
                </c:pt>
                <c:pt idx="22">
                  <c:v>0.94710742920578328</c:v>
                </c:pt>
                <c:pt idx="23">
                  <c:v>0.45482402223728613</c:v>
                </c:pt>
                <c:pt idx="24">
                  <c:v>0.85784597483767422</c:v>
                </c:pt>
                <c:pt idx="25">
                  <c:v>1.0047195868077654</c:v>
                </c:pt>
                <c:pt idx="26">
                  <c:v>0.83495139812783892</c:v>
                </c:pt>
                <c:pt idx="27">
                  <c:v>0.47128792161296407</c:v>
                </c:pt>
                <c:pt idx="28">
                  <c:v>0.50223101907216383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RER'!$M$35:$M$41</c:f>
              <c:strCache>
                <c:ptCount val="7"/>
                <c:pt idx="0">
                  <c:v>C.E. TRES HERMANAS</c:v>
                </c:pt>
                <c:pt idx="1">
                  <c:v>C.E. CUPISNIQUE</c:v>
                </c:pt>
                <c:pt idx="2">
                  <c:v>C.E. WAYRA I</c:v>
                </c:pt>
                <c:pt idx="3">
                  <c:v>C.E. MARCONA</c:v>
                </c:pt>
                <c:pt idx="4">
                  <c:v>C.E. DUNA</c:v>
                </c:pt>
                <c:pt idx="5">
                  <c:v>C.E. HUAMBOS</c:v>
                </c:pt>
                <c:pt idx="6">
                  <c:v>C.E. TALARA</c:v>
                </c:pt>
              </c:strCache>
            </c:strRef>
          </c:cat>
          <c:val>
            <c:numRef>
              <c:f>'6. FP RER'!$P$35:$P$41</c:f>
              <c:numCache>
                <c:formatCode>0.00</c:formatCode>
                <c:ptCount val="7"/>
                <c:pt idx="0">
                  <c:v>29.2027009</c:v>
                </c:pt>
                <c:pt idx="1">
                  <c:v>14.041859515000001</c:v>
                </c:pt>
                <c:pt idx="2">
                  <c:v>11.4647495</c:v>
                </c:pt>
                <c:pt idx="3">
                  <c:v>9.9414852749999998</c:v>
                </c:pt>
                <c:pt idx="4">
                  <c:v>5.8031445724999999</c:v>
                </c:pt>
                <c:pt idx="5">
                  <c:v>4.4773826725000001</c:v>
                </c:pt>
                <c:pt idx="6">
                  <c:v>3.6505583175000003</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RER'!$M$35:$M$41</c:f>
              <c:strCache>
                <c:ptCount val="7"/>
                <c:pt idx="0">
                  <c:v>C.E. TRES HERMANAS</c:v>
                </c:pt>
                <c:pt idx="1">
                  <c:v>C.E. CUPISNIQUE</c:v>
                </c:pt>
                <c:pt idx="2">
                  <c:v>C.E. WAYRA I</c:v>
                </c:pt>
                <c:pt idx="3">
                  <c:v>C.E. MARCONA</c:v>
                </c:pt>
                <c:pt idx="4">
                  <c:v>C.E. DUNA</c:v>
                </c:pt>
                <c:pt idx="5">
                  <c:v>C.E. HUAMBOS</c:v>
                </c:pt>
                <c:pt idx="6">
                  <c:v>C.E. TALARA</c:v>
                </c:pt>
              </c:strCache>
            </c:strRef>
          </c:cat>
          <c:val>
            <c:numRef>
              <c:f>'6. FP RER'!$Q$35:$Q$41</c:f>
              <c:numCache>
                <c:formatCode>0.00</c:formatCode>
                <c:ptCount val="7"/>
                <c:pt idx="0">
                  <c:v>0.44731240503149272</c:v>
                </c:pt>
                <c:pt idx="1">
                  <c:v>0.25130035211393636</c:v>
                </c:pt>
                <c:pt idx="2">
                  <c:v>0.12895418848756432</c:v>
                </c:pt>
                <c:pt idx="3">
                  <c:v>0.46230865304129459</c:v>
                </c:pt>
                <c:pt idx="4">
                  <c:v>0.47009427350655836</c:v>
                </c:pt>
                <c:pt idx="5">
                  <c:v>0.36269852118004253</c:v>
                </c:pt>
                <c:pt idx="6">
                  <c:v>0.17603300222490975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6627</xdr:rowOff>
    </xdr:from>
    <xdr:to>
      <xdr:col>9</xdr:col>
      <xdr:colOff>59635</xdr:colOff>
      <xdr:row>64</xdr:row>
      <xdr:rowOff>46384</xdr:rowOff>
    </xdr:to>
    <xdr:pic>
      <xdr:nvPicPr>
        <xdr:cNvPr id="5" name="Imagen 4" descr="Imagen de la pantalla de un video juego&#10;&#10;Descripción generada automáticamente con confianza baja">
          <a:extLst>
            <a:ext uri="{FF2B5EF4-FFF2-40B4-BE49-F238E27FC236}">
              <a16:creationId xmlns:a16="http://schemas.microsoft.com/office/drawing/2014/main" id="{47BB63B1-D9E6-6CDF-89BE-605C03A40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627"/>
          <a:ext cx="5857461" cy="8521148"/>
        </a:xfrm>
        <a:prstGeom prst="rect">
          <a:avLst/>
        </a:prstGeom>
        <a:noFill/>
        <a:ln>
          <a:noFill/>
        </a:ln>
      </xdr:spPr>
    </xdr:pic>
    <xdr:clientData/>
  </xdr:twoCellAnchor>
  <xdr:twoCellAnchor editAs="oneCell">
    <xdr:from>
      <xdr:col>0</xdr:col>
      <xdr:colOff>171450</xdr:colOff>
      <xdr:row>53</xdr:row>
      <xdr:rowOff>35935</xdr:rowOff>
    </xdr:from>
    <xdr:to>
      <xdr:col>3</xdr:col>
      <xdr:colOff>260957</xdr:colOff>
      <xdr:row>61</xdr:row>
      <xdr:rowOff>19087</xdr:rowOff>
    </xdr:to>
    <xdr:pic>
      <xdr:nvPicPr>
        <xdr:cNvPr id="3" name="Imagen 2">
          <a:extLst>
            <a:ext uri="{FF2B5EF4-FFF2-40B4-BE49-F238E27FC236}">
              <a16:creationId xmlns:a16="http://schemas.microsoft.com/office/drawing/2014/main" id="{671B7641-67D5-49C8-A0B9-1F9601E3EBC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7608310"/>
          <a:ext cx="2118332" cy="1126152"/>
        </a:xfrm>
        <a:prstGeom prst="rect">
          <a:avLst/>
        </a:prstGeom>
      </xdr:spPr>
    </xdr:pic>
    <xdr:clientData/>
  </xdr:twoCellAnchor>
  <xdr:twoCellAnchor>
    <xdr:from>
      <xdr:col>2</xdr:col>
      <xdr:colOff>102430</xdr:colOff>
      <xdr:row>36</xdr:row>
      <xdr:rowOff>50007</xdr:rowOff>
    </xdr:from>
    <xdr:to>
      <xdr:col>9</xdr:col>
      <xdr:colOff>452257</xdr:colOff>
      <xdr:row>42</xdr:row>
      <xdr:rowOff>109696</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1321630" y="4820790"/>
          <a:ext cx="4928453" cy="8548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31 de mayo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2023</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0</xdr:row>
      <xdr:rowOff>74957</xdr:rowOff>
    </xdr:from>
    <xdr:to>
      <xdr:col>7</xdr:col>
      <xdr:colOff>59635</xdr:colOff>
      <xdr:row>9</xdr:row>
      <xdr:rowOff>95680</xdr:rowOff>
    </xdr:to>
    <xdr:sp macro="" textlink="">
      <xdr:nvSpPr>
        <xdr:cNvPr id="6" name="Cuadro de texto 152">
          <a:extLst>
            <a:ext uri="{FF2B5EF4-FFF2-40B4-BE49-F238E27FC236}">
              <a16:creationId xmlns:a16="http://schemas.microsoft.com/office/drawing/2014/main" id="{37BA3E87-AE56-41DE-91F2-980A8F665712}"/>
            </a:ext>
          </a:extLst>
        </xdr:cNvPr>
        <xdr:cNvSpPr txBox="1"/>
      </xdr:nvSpPr>
      <xdr:spPr>
        <a:xfrm>
          <a:off x="0" y="74957"/>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pPr algn="l"/>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l"/>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l" fontAlgn="auto"/>
          <a:r>
            <a:rPr lang="es-PE" sz="1100" b="1">
              <a:solidFill>
                <a:schemeClr val="dk1"/>
              </a:solidFill>
              <a:effectLst/>
              <a:latin typeface="+mn-lt"/>
              <a:ea typeface="+mn-ea"/>
              <a:cs typeface="+mn-cs"/>
            </a:rPr>
            <a:t>INFSGI-MES-02-2023</a:t>
          </a:r>
        </a:p>
        <a:p>
          <a:pPr algn="l" fontAlgn="auto"/>
          <a:r>
            <a:rPr lang="es-PE" sz="1100" b="1">
              <a:solidFill>
                <a:schemeClr val="dk1"/>
              </a:solidFill>
              <a:effectLst/>
              <a:latin typeface="+mn-lt"/>
              <a:ea typeface="+mn-ea"/>
              <a:cs typeface="+mn-cs"/>
            </a:rPr>
            <a:t>Versión:02</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a:solidFill>
                <a:srgbClr val="1F2532"/>
              </a:solidFill>
              <a:effectLst/>
              <a:latin typeface="Calibri" panose="020F0502020204030204" pitchFamily="34" charset="0"/>
              <a:ea typeface="Arial" panose="020B0604020202020204" pitchFamily="34" charset="0"/>
            </a:rPr>
            <a:t>febrero</a:t>
          </a:r>
          <a:r>
            <a:rPr lang="es-PE" sz="1800" baseline="0">
              <a:solidFill>
                <a:srgbClr val="1F2532"/>
              </a:solidFill>
              <a:effectLst/>
              <a:latin typeface="Calibri" panose="020F0502020204030204" pitchFamily="34" charset="0"/>
              <a:ea typeface="Arial" panose="020B0604020202020204" pitchFamily="34" charset="0"/>
            </a:rPr>
            <a:t> 2023</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95947</xdr:rowOff>
    </xdr:from>
    <xdr:to>
      <xdr:col>10</xdr:col>
      <xdr:colOff>579120</xdr:colOff>
      <xdr:row>70</xdr:row>
      <xdr:rowOff>41413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89535</xdr:colOff>
      <xdr:row>32</xdr:row>
      <xdr:rowOff>99060</xdr:rowOff>
    </xdr:from>
    <xdr:to>
      <xdr:col>8</xdr:col>
      <xdr:colOff>385841</xdr:colOff>
      <xdr:row>56</xdr:row>
      <xdr:rowOff>56322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103887</xdr:rowOff>
    </xdr:from>
    <xdr:to>
      <xdr:col>11</xdr:col>
      <xdr:colOff>466395</xdr:colOff>
      <xdr:row>24</xdr:row>
      <xdr:rowOff>80798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159642</xdr:colOff>
      <xdr:row>28</xdr:row>
      <xdr:rowOff>78936</xdr:rowOff>
    </xdr:from>
    <xdr:to>
      <xdr:col>11</xdr:col>
      <xdr:colOff>447813</xdr:colOff>
      <xdr:row>60</xdr:row>
      <xdr:rowOff>109018</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73881</xdr:colOff>
      <xdr:row>35</xdr:row>
      <xdr:rowOff>51837</xdr:rowOff>
    </xdr:from>
    <xdr:to>
      <xdr:col>8</xdr:col>
      <xdr:colOff>293370</xdr:colOff>
      <xdr:row>59</xdr:row>
      <xdr:rowOff>62865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36488</xdr:colOff>
      <xdr:row>2</xdr:row>
      <xdr:rowOff>88647</xdr:rowOff>
    </xdr:from>
    <xdr:to>
      <xdr:col>11</xdr:col>
      <xdr:colOff>583336</xdr:colOff>
      <xdr:row>61</xdr:row>
      <xdr:rowOff>140291</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6488" y="562176"/>
          <a:ext cx="6528548" cy="8662244"/>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(32,74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(34,38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(33,51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(35,23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(30,12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(30,02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(33,84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(31,96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(30,39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(31,71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(27,63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(30,42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(30,26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(28,89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(32,16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(29,31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(30,09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(30,32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(31,85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321838</xdr:colOff>
      <xdr:row>24</xdr:row>
      <xdr:rowOff>19878</xdr:rowOff>
    </xdr:from>
    <xdr:to>
      <xdr:col>7</xdr:col>
      <xdr:colOff>557419</xdr:colOff>
      <xdr:row>49</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32766</xdr:colOff>
      <xdr:row>18</xdr:row>
      <xdr:rowOff>55231</xdr:rowOff>
    </xdr:from>
    <xdr:to>
      <xdr:col>3</xdr:col>
      <xdr:colOff>319147</xdr:colOff>
      <xdr:row>35</xdr:row>
      <xdr:rowOff>28955</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39</xdr:row>
      <xdr:rowOff>5953</xdr:rowOff>
    </xdr:from>
    <xdr:to>
      <xdr:col>9</xdr:col>
      <xdr:colOff>246184</xdr:colOff>
      <xdr:row>53</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18</xdr:row>
      <xdr:rowOff>38663</xdr:rowOff>
    </xdr:from>
    <xdr:to>
      <xdr:col>9</xdr:col>
      <xdr:colOff>582009</xdr:colOff>
      <xdr:row>35</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2</xdr:col>
      <xdr:colOff>304800</xdr:colOff>
      <xdr:row>49</xdr:row>
      <xdr:rowOff>38100</xdr:rowOff>
    </xdr:from>
    <xdr:to>
      <xdr:col>7</xdr:col>
      <xdr:colOff>279482</xdr:colOff>
      <xdr:row>58</xdr:row>
      <xdr:rowOff>7620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95400" y="6423660"/>
          <a:ext cx="245118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29</xdr:row>
      <xdr:rowOff>78442</xdr:rowOff>
    </xdr:from>
    <xdr:to>
      <xdr:col>9</xdr:col>
      <xdr:colOff>581525</xdr:colOff>
      <xdr:row>57</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26</xdr:row>
      <xdr:rowOff>38099</xdr:rowOff>
    </xdr:from>
    <xdr:to>
      <xdr:col>10</xdr:col>
      <xdr:colOff>365760</xdr:colOff>
      <xdr:row>60</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11</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41</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11</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11</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70338</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sheetPr>
    <tabColor theme="4"/>
  </sheetPr>
  <dimension ref="A1"/>
  <sheetViews>
    <sheetView showGridLines="0" tabSelected="1" view="pageBreakPreview" zoomScale="115" zoomScaleNormal="100" zoomScaleSheetLayoutView="115" workbookViewId="0">
      <selection activeCell="K6" sqref="K6"/>
    </sheetView>
  </sheetViews>
  <sheetFormatPr baseColWidth="10" defaultColWidth="11.42578125" defaultRowHeight="10.199999999999999"/>
  <cols>
    <col min="9" max="9" width="17.28515625" customWidth="1"/>
  </cols>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H18" sqref="H18"/>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87" t="s">
        <v>239</v>
      </c>
      <c r="B2" s="887"/>
      <c r="C2" s="887"/>
      <c r="D2" s="887"/>
      <c r="E2" s="887"/>
      <c r="F2" s="887"/>
      <c r="G2" s="887"/>
      <c r="H2" s="887"/>
      <c r="I2" s="887"/>
      <c r="J2" s="887"/>
      <c r="K2" s="887"/>
    </row>
    <row r="3" spans="1:12" ht="11.25" customHeight="1">
      <c r="A3" s="17"/>
      <c r="B3" s="17"/>
      <c r="C3" s="17"/>
      <c r="D3" s="17"/>
      <c r="E3" s="17"/>
      <c r="F3" s="17"/>
      <c r="G3" s="17"/>
      <c r="H3" s="17"/>
      <c r="I3" s="17"/>
      <c r="J3" s="17"/>
      <c r="K3" s="17"/>
      <c r="L3" s="36"/>
    </row>
    <row r="4" spans="1:12" ht="11.25" customHeight="1">
      <c r="A4" s="888" t="s">
        <v>365</v>
      </c>
      <c r="B4" s="888"/>
      <c r="C4" s="888"/>
      <c r="D4" s="888"/>
      <c r="E4" s="888"/>
      <c r="F4" s="888"/>
      <c r="G4" s="888"/>
      <c r="H4" s="888"/>
      <c r="I4" s="888"/>
      <c r="J4" s="888"/>
      <c r="K4" s="888"/>
      <c r="L4" s="36"/>
    </row>
    <row r="5" spans="1:12" ht="11.25" customHeight="1">
      <c r="A5" s="17"/>
      <c r="B5" s="67"/>
      <c r="C5" s="68"/>
      <c r="D5" s="69"/>
      <c r="E5" s="69"/>
      <c r="F5" s="69"/>
      <c r="G5" s="69"/>
      <c r="H5" s="70"/>
      <c r="I5" s="66"/>
      <c r="J5" s="66"/>
      <c r="K5" s="71"/>
      <c r="L5" s="8"/>
    </row>
    <row r="6" spans="1:12" ht="12.75" customHeight="1">
      <c r="A6" s="894" t="s">
        <v>207</v>
      </c>
      <c r="B6" s="889" t="s">
        <v>242</v>
      </c>
      <c r="C6" s="890"/>
      <c r="D6" s="890"/>
      <c r="E6" s="890" t="s">
        <v>33</v>
      </c>
      <c r="F6" s="890"/>
      <c r="G6" s="891" t="s">
        <v>241</v>
      </c>
      <c r="H6" s="891"/>
      <c r="I6" s="891"/>
      <c r="J6" s="891"/>
      <c r="K6" s="891"/>
      <c r="L6" s="15"/>
    </row>
    <row r="7" spans="1:12" ht="12.75" customHeight="1">
      <c r="A7" s="894"/>
      <c r="B7" s="440">
        <v>44901.8125</v>
      </c>
      <c r="C7" s="440">
        <v>44936.885416666664</v>
      </c>
      <c r="D7" s="440">
        <v>44959.71875</v>
      </c>
      <c r="E7" s="440">
        <v>44614.822916666664</v>
      </c>
      <c r="F7" s="892" t="s">
        <v>118</v>
      </c>
      <c r="G7" s="576">
        <v>2023</v>
      </c>
      <c r="H7" s="576">
        <v>2022</v>
      </c>
      <c r="I7" s="892" t="s">
        <v>573</v>
      </c>
      <c r="J7" s="576">
        <v>2021</v>
      </c>
      <c r="K7" s="892" t="s">
        <v>526</v>
      </c>
      <c r="L7" s="13"/>
    </row>
    <row r="8" spans="1:12" ht="12.75" customHeight="1">
      <c r="A8" s="894"/>
      <c r="B8" s="441">
        <v>44901.8125</v>
      </c>
      <c r="C8" s="441">
        <v>44936.885416666664</v>
      </c>
      <c r="D8" s="441">
        <v>44959.71875</v>
      </c>
      <c r="E8" s="441">
        <v>44614.822916666664</v>
      </c>
      <c r="F8" s="893"/>
      <c r="G8" s="442">
        <v>44959.71875</v>
      </c>
      <c r="H8" s="442">
        <v>44614.822916666664</v>
      </c>
      <c r="I8" s="893"/>
      <c r="J8" s="442">
        <v>44204.822916666664</v>
      </c>
      <c r="K8" s="893"/>
      <c r="L8" s="14"/>
    </row>
    <row r="9" spans="1:12" ht="12.75" customHeight="1">
      <c r="A9" s="894"/>
      <c r="B9" s="443">
        <v>44901.8125</v>
      </c>
      <c r="C9" s="443">
        <v>44936.885416666664</v>
      </c>
      <c r="D9" s="443">
        <v>44959.71875</v>
      </c>
      <c r="E9" s="443">
        <v>44614.822916666664</v>
      </c>
      <c r="F9" s="893"/>
      <c r="G9" s="444">
        <v>44959.71875</v>
      </c>
      <c r="H9" s="444">
        <v>44614.822916666664</v>
      </c>
      <c r="I9" s="893"/>
      <c r="J9" s="444">
        <v>44204.822916666664</v>
      </c>
      <c r="K9" s="893"/>
      <c r="L9" s="14"/>
    </row>
    <row r="10" spans="1:12" ht="12.75" customHeight="1">
      <c r="A10" s="445" t="s">
        <v>35</v>
      </c>
      <c r="B10" s="446">
        <v>2631.9839399999992</v>
      </c>
      <c r="C10" s="447">
        <v>4280.4067400000013</v>
      </c>
      <c r="D10" s="448">
        <v>3984.4396500000003</v>
      </c>
      <c r="E10" s="446">
        <v>4553.9270599999991</v>
      </c>
      <c r="F10" s="449">
        <f>+IF(E10=0,"",D10/E10-1)</f>
        <v>-0.12505413514462371</v>
      </c>
      <c r="G10" s="446">
        <v>3984.4396500000003</v>
      </c>
      <c r="H10" s="447">
        <v>4553.9270599999991</v>
      </c>
      <c r="I10" s="449">
        <f>+IF(H10=0,"",G10/H10-1)</f>
        <v>-0.12505413514462371</v>
      </c>
      <c r="J10" s="446">
        <v>4594.55105</v>
      </c>
      <c r="K10" s="449">
        <f t="shared" ref="K10:K18" si="0">+IF(J10=0,"",H10/J10-1)</f>
        <v>-8.8417757378059791E-3</v>
      </c>
      <c r="L10" s="14"/>
    </row>
    <row r="11" spans="1:12" ht="12.75" customHeight="1">
      <c r="A11" s="450" t="s">
        <v>36</v>
      </c>
      <c r="B11" s="451">
        <v>4569.8693899999989</v>
      </c>
      <c r="C11" s="452">
        <v>2809.7154300000002</v>
      </c>
      <c r="D11" s="453">
        <v>3116.3002300000003</v>
      </c>
      <c r="E11" s="451">
        <v>2455.9372199999998</v>
      </c>
      <c r="F11" s="454">
        <f>+IF(E11=0,"",D11/E11-1)</f>
        <v>0.26888432025961984</v>
      </c>
      <c r="G11" s="451">
        <v>3116.3002300000003</v>
      </c>
      <c r="H11" s="452">
        <v>2455.9372199999998</v>
      </c>
      <c r="I11" s="454">
        <f>+IF(H11=0,"",G11/H11-1)</f>
        <v>0.26888432025961984</v>
      </c>
      <c r="J11" s="451">
        <v>2012.4400399999995</v>
      </c>
      <c r="K11" s="454">
        <f>+IF(J11=0,"",H11/J11-1)</f>
        <v>0.22037783545590783</v>
      </c>
      <c r="L11" s="14"/>
    </row>
    <row r="12" spans="1:12" ht="12.75" customHeight="1">
      <c r="A12" s="455" t="s">
        <v>37</v>
      </c>
      <c r="B12" s="456">
        <v>265.59640999999999</v>
      </c>
      <c r="C12" s="457">
        <v>204.11328</v>
      </c>
      <c r="D12" s="458">
        <v>276.00648000000001</v>
      </c>
      <c r="E12" s="456">
        <v>136.90030000000002</v>
      </c>
      <c r="F12" s="459">
        <f>+IF(E12=0,"",D12/E12-1)</f>
        <v>1.0161130399275966</v>
      </c>
      <c r="G12" s="456">
        <v>276.00648000000001</v>
      </c>
      <c r="H12" s="457">
        <v>136.90030000000002</v>
      </c>
      <c r="I12" s="459">
        <f>+IF(H12=0,"",G12/H12-1)</f>
        <v>1.0161130399275966</v>
      </c>
      <c r="J12" s="456">
        <v>302.64609999999999</v>
      </c>
      <c r="K12" s="459">
        <f>+IF(J12=0,"",H12/J12-1)</f>
        <v>-0.54765549597368013</v>
      </c>
      <c r="L12" s="13"/>
    </row>
    <row r="13" spans="1:12" ht="12.75" customHeight="1">
      <c r="A13" s="460" t="s">
        <v>29</v>
      </c>
      <c r="B13" s="461">
        <v>0</v>
      </c>
      <c r="C13" s="462">
        <v>0</v>
      </c>
      <c r="D13" s="463">
        <v>20.307559999999999</v>
      </c>
      <c r="E13" s="461">
        <v>0</v>
      </c>
      <c r="F13" s="464" t="str">
        <f>+IF(E13=0,"",D13/E13-1)</f>
        <v/>
      </c>
      <c r="G13" s="461">
        <v>20.307559999999999</v>
      </c>
      <c r="H13" s="462">
        <v>0</v>
      </c>
      <c r="I13" s="464" t="str">
        <f>+IF(H13=0,"",G13/H13-1)</f>
        <v/>
      </c>
      <c r="J13" s="461">
        <v>0</v>
      </c>
      <c r="K13" s="464" t="str">
        <f t="shared" si="0"/>
        <v/>
      </c>
      <c r="L13" s="14"/>
    </row>
    <row r="14" spans="1:12" ht="12.75" customHeight="1">
      <c r="A14" s="465" t="s">
        <v>41</v>
      </c>
      <c r="B14" s="436">
        <f>+SUM(B10:B13)</f>
        <v>7467.4497399999982</v>
      </c>
      <c r="C14" s="437">
        <f t="shared" ref="C14:J14" si="1">+SUM(C10:C13)</f>
        <v>7294.235450000001</v>
      </c>
      <c r="D14" s="438">
        <f t="shared" si="1"/>
        <v>7397.0539200000012</v>
      </c>
      <c r="E14" s="436">
        <f t="shared" si="1"/>
        <v>7146.7645799999991</v>
      </c>
      <c r="F14" s="492">
        <f>+IF(E14=0,"",D14/E14-1)</f>
        <v>3.5021349478955743E-2</v>
      </c>
      <c r="G14" s="489">
        <f t="shared" si="1"/>
        <v>7397.0539200000012</v>
      </c>
      <c r="H14" s="437">
        <f t="shared" si="1"/>
        <v>7146.7645799999991</v>
      </c>
      <c r="I14" s="492">
        <f>+IF(H14=0,"",G14/H14-1)</f>
        <v>3.5021349478955743E-2</v>
      </c>
      <c r="J14" s="437">
        <f t="shared" si="1"/>
        <v>6909.6371899999995</v>
      </c>
      <c r="K14" s="492">
        <f>+IF(J14=0,"",H14/J14-1)</f>
        <v>3.4318356156699981E-2</v>
      </c>
      <c r="L14" s="14"/>
    </row>
    <row r="15" spans="1:12" ht="6.75" customHeight="1">
      <c r="A15" s="466"/>
      <c r="B15" s="466"/>
      <c r="C15" s="466"/>
      <c r="D15" s="466"/>
      <c r="E15" s="466"/>
      <c r="F15" s="467"/>
      <c r="G15" s="466"/>
      <c r="H15" s="466"/>
      <c r="I15" s="467"/>
      <c r="J15" s="466"/>
      <c r="K15" s="467"/>
      <c r="L15" s="14"/>
    </row>
    <row r="16" spans="1:12" ht="12.75" customHeight="1">
      <c r="A16" s="468" t="s">
        <v>38</v>
      </c>
      <c r="B16" s="469">
        <v>0</v>
      </c>
      <c r="C16" s="470">
        <v>0</v>
      </c>
      <c r="D16" s="471">
        <v>0</v>
      </c>
      <c r="E16" s="469">
        <v>0</v>
      </c>
      <c r="F16" s="471">
        <v>0</v>
      </c>
      <c r="G16" s="469">
        <v>0</v>
      </c>
      <c r="H16" s="470">
        <v>0</v>
      </c>
      <c r="I16" s="471">
        <v>0</v>
      </c>
      <c r="J16" s="469">
        <v>0</v>
      </c>
      <c r="K16" s="472" t="str">
        <f t="shared" si="0"/>
        <v/>
      </c>
      <c r="L16" s="15"/>
    </row>
    <row r="17" spans="1:12" ht="12.75" customHeight="1">
      <c r="A17" s="473" t="s">
        <v>39</v>
      </c>
      <c r="B17" s="474">
        <v>0</v>
      </c>
      <c r="C17" s="475">
        <v>0</v>
      </c>
      <c r="D17" s="476">
        <v>0</v>
      </c>
      <c r="E17" s="474">
        <v>0</v>
      </c>
      <c r="F17" s="476">
        <v>0</v>
      </c>
      <c r="G17" s="474">
        <v>0</v>
      </c>
      <c r="H17" s="475">
        <v>0</v>
      </c>
      <c r="I17" s="476">
        <v>0</v>
      </c>
      <c r="J17" s="474">
        <v>0</v>
      </c>
      <c r="K17" s="477" t="str">
        <f t="shared" si="0"/>
        <v/>
      </c>
      <c r="L17" s="15"/>
    </row>
    <row r="18" spans="1:12" ht="24" customHeight="1">
      <c r="A18" s="478" t="s">
        <v>40</v>
      </c>
      <c r="B18" s="479">
        <f t="shared" ref="B18:I18" si="2">+B17-B16</f>
        <v>0</v>
      </c>
      <c r="C18" s="480">
        <f t="shared" si="2"/>
        <v>0</v>
      </c>
      <c r="D18" s="481">
        <f t="shared" si="2"/>
        <v>0</v>
      </c>
      <c r="E18" s="479">
        <f t="shared" si="2"/>
        <v>0</v>
      </c>
      <c r="F18" s="481">
        <f t="shared" si="2"/>
        <v>0</v>
      </c>
      <c r="G18" s="479">
        <f t="shared" si="2"/>
        <v>0</v>
      </c>
      <c r="H18" s="480">
        <f t="shared" si="2"/>
        <v>0</v>
      </c>
      <c r="I18" s="481">
        <f t="shared" si="2"/>
        <v>0</v>
      </c>
      <c r="J18" s="479">
        <v>0</v>
      </c>
      <c r="K18" s="482" t="str">
        <f t="shared" si="0"/>
        <v/>
      </c>
      <c r="L18" s="15"/>
    </row>
    <row r="19" spans="1:12" ht="6" customHeight="1">
      <c r="A19" s="483"/>
      <c r="B19" s="483"/>
      <c r="C19" s="483"/>
      <c r="D19" s="483"/>
      <c r="E19" s="483"/>
      <c r="F19" s="484"/>
      <c r="G19" s="483"/>
      <c r="H19" s="483"/>
      <c r="I19" s="484"/>
      <c r="J19" s="483"/>
      <c r="K19" s="484"/>
      <c r="L19" s="15"/>
    </row>
    <row r="20" spans="1:12" ht="24" customHeight="1">
      <c r="A20" s="485" t="s">
        <v>240</v>
      </c>
      <c r="B20" s="486">
        <f>+B14-B18</f>
        <v>7467.4497399999982</v>
      </c>
      <c r="C20" s="487">
        <f t="shared" ref="C20" si="3">+C14-C18</f>
        <v>7294.235450000001</v>
      </c>
      <c r="D20" s="488">
        <f>+D14-D18</f>
        <v>7397.0539200000012</v>
      </c>
      <c r="E20" s="486">
        <f>+E14-E18</f>
        <v>7146.7645799999991</v>
      </c>
      <c r="F20" s="439">
        <f>+IF(E20=0,"",D20/E20-1)</f>
        <v>3.5021349478955743E-2</v>
      </c>
      <c r="G20" s="486">
        <f>+G14-G18</f>
        <v>7397.0539200000012</v>
      </c>
      <c r="H20" s="486">
        <f>+H14-H18</f>
        <v>7146.7645799999991</v>
      </c>
      <c r="I20" s="439">
        <f>+IF(H20=0,"",G20/H20-1)</f>
        <v>3.5021349478955743E-2</v>
      </c>
      <c r="J20" s="486">
        <f>+J14-J18</f>
        <v>6909.6371899999995</v>
      </c>
      <c r="K20" s="439">
        <f>+IF(J20=0,"",H20/J20-1)</f>
        <v>3.4318356156699981E-2</v>
      </c>
      <c r="L20" s="15"/>
    </row>
    <row r="21" spans="1:12" ht="11.25" customHeight="1">
      <c r="A21" s="260" t="s">
        <v>387</v>
      </c>
      <c r="B21" s="138"/>
      <c r="C21" s="138"/>
      <c r="D21" s="138"/>
      <c r="E21" s="138"/>
      <c r="F21" s="138"/>
      <c r="G21" s="138"/>
      <c r="H21" s="138"/>
      <c r="I21" s="138"/>
      <c r="J21" s="138"/>
      <c r="K21" s="138"/>
      <c r="L21" s="16"/>
    </row>
    <row r="22" spans="1:12" ht="17.25" customHeight="1">
      <c r="A22" s="885"/>
      <c r="B22" s="885"/>
      <c r="C22" s="885"/>
      <c r="D22" s="885"/>
      <c r="E22" s="885"/>
      <c r="F22" s="885"/>
      <c r="G22" s="885"/>
      <c r="H22" s="885"/>
      <c r="I22" s="885"/>
      <c r="J22" s="885"/>
      <c r="K22" s="885"/>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86" t="str">
        <f>"Gráfico N° 11: Comparación de la máxima potencia coincidente (MW) anual por tipo de generación en el SEIN."</f>
        <v>Gráfico N° 11: Comparación de la máxima potencia coincidente (MW) anual por tipo de generación en el SEIN.</v>
      </c>
      <c r="B58" s="886"/>
      <c r="C58" s="886"/>
      <c r="D58" s="886"/>
      <c r="E58" s="886"/>
      <c r="F58" s="886"/>
      <c r="G58" s="886"/>
      <c r="H58" s="886"/>
      <c r="I58" s="886"/>
      <c r="J58" s="886"/>
      <c r="K58" s="886"/>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4365" right="0.33950000000000002" top="0.9619166666666666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R74"/>
  <sheetViews>
    <sheetView showGridLines="0" view="pageBreakPreview" zoomScaleNormal="100" zoomScaleSheetLayoutView="100" zoomScalePageLayoutView="115" workbookViewId="0">
      <selection activeCell="C19" sqref="C19"/>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548" customWidth="1"/>
    <col min="14" max="15" width="9.28515625" style="277"/>
    <col min="16" max="18" width="9.28515625" style="662"/>
  </cols>
  <sheetData>
    <row r="1" spans="1:16" ht="25.5" customHeight="1">
      <c r="A1" s="897" t="s">
        <v>244</v>
      </c>
      <c r="B1" s="897"/>
      <c r="C1" s="897"/>
      <c r="D1" s="897"/>
      <c r="E1" s="897"/>
      <c r="F1" s="897"/>
      <c r="G1" s="897"/>
      <c r="H1" s="897"/>
      <c r="I1" s="897"/>
      <c r="J1" s="897"/>
      <c r="K1" s="897"/>
    </row>
    <row r="2" spans="1:16" ht="7.5" customHeight="1">
      <c r="A2" s="74"/>
      <c r="B2" s="73"/>
      <c r="C2" s="73"/>
      <c r="D2" s="73"/>
      <c r="E2" s="73"/>
      <c r="F2" s="73"/>
      <c r="G2" s="73"/>
      <c r="H2" s="73"/>
      <c r="I2" s="73"/>
      <c r="J2" s="73"/>
      <c r="K2" s="73"/>
      <c r="L2" s="298"/>
      <c r="M2" s="649"/>
    </row>
    <row r="3" spans="1:16" ht="11.25" customHeight="1">
      <c r="A3" s="898" t="s">
        <v>119</v>
      </c>
      <c r="B3" s="900" t="str">
        <f>+'1. Resumen'!Q4</f>
        <v>febrero</v>
      </c>
      <c r="C3" s="901"/>
      <c r="D3" s="902"/>
      <c r="E3" s="138"/>
      <c r="F3" s="138"/>
      <c r="G3" s="138"/>
      <c r="H3" s="903" t="s">
        <v>609</v>
      </c>
      <c r="I3" s="903"/>
      <c r="J3" s="903"/>
      <c r="K3" s="138"/>
      <c r="L3" s="692"/>
      <c r="M3" s="649"/>
    </row>
    <row r="4" spans="1:16" ht="11.25" customHeight="1">
      <c r="A4" s="898"/>
      <c r="B4" s="369">
        <v>2023</v>
      </c>
      <c r="C4" s="370">
        <v>2022</v>
      </c>
      <c r="D4" s="902" t="s">
        <v>34</v>
      </c>
      <c r="E4" s="138"/>
      <c r="F4" s="138"/>
      <c r="G4" s="138"/>
      <c r="H4" s="138"/>
      <c r="I4" s="138"/>
      <c r="J4" s="138"/>
      <c r="K4" s="138"/>
      <c r="L4" s="513"/>
      <c r="M4" s="650"/>
    </row>
    <row r="5" spans="1:16" ht="11.25" customHeight="1">
      <c r="A5" s="898"/>
      <c r="B5" s="371">
        <f>+'8. Max Potencia'!D8</f>
        <v>44959.71875</v>
      </c>
      <c r="C5" s="371">
        <f>+'8. Max Potencia'!E8</f>
        <v>44614.822916666664</v>
      </c>
      <c r="D5" s="902"/>
      <c r="E5" s="138"/>
      <c r="F5" s="138"/>
      <c r="G5" s="138"/>
      <c r="H5" s="138"/>
      <c r="I5" s="138"/>
      <c r="J5" s="138"/>
      <c r="K5" s="138"/>
      <c r="L5" s="513"/>
      <c r="M5" s="651"/>
    </row>
    <row r="6" spans="1:16" ht="11.25" customHeight="1" thickBot="1">
      <c r="A6" s="899"/>
      <c r="B6" s="372">
        <f>+'8. Max Potencia'!D9</f>
        <v>44959.71875</v>
      </c>
      <c r="C6" s="372">
        <f>+'8. Max Potencia'!E9</f>
        <v>44614.822916666664</v>
      </c>
      <c r="D6" s="904"/>
      <c r="E6" s="138"/>
      <c r="F6" s="138"/>
      <c r="G6" s="138"/>
      <c r="H6" s="138"/>
      <c r="I6" s="138"/>
      <c r="J6" s="138"/>
      <c r="K6" s="138"/>
      <c r="M6" s="650" t="s">
        <v>243</v>
      </c>
      <c r="N6" s="548">
        <v>2023</v>
      </c>
      <c r="O6" s="548">
        <v>2022</v>
      </c>
    </row>
    <row r="7" spans="1:16" ht="9.75" customHeight="1">
      <c r="A7" s="599" t="s">
        <v>392</v>
      </c>
      <c r="B7" s="740">
        <v>1324.3345899999999</v>
      </c>
      <c r="C7" s="740">
        <v>1265.93</v>
      </c>
      <c r="D7" s="600">
        <f>IF(C7=0,"",B7/C7-1)</f>
        <v>4.6135718404650916E-2</v>
      </c>
      <c r="E7" s="138"/>
      <c r="F7" s="138"/>
      <c r="G7" s="138"/>
      <c r="H7" s="138"/>
      <c r="I7" s="138"/>
      <c r="J7" s="138"/>
      <c r="K7" s="138"/>
      <c r="L7" s="688"/>
      <c r="M7" s="652" t="s">
        <v>394</v>
      </c>
      <c r="N7" s="653"/>
      <c r="O7" s="653">
        <v>0</v>
      </c>
      <c r="P7" s="718"/>
    </row>
    <row r="8" spans="1:16" ht="9.75" customHeight="1">
      <c r="A8" s="601" t="s">
        <v>85</v>
      </c>
      <c r="B8" s="741">
        <v>1078.4821800000002</v>
      </c>
      <c r="C8" s="741">
        <v>476.75297</v>
      </c>
      <c r="D8" s="602">
        <f t="shared" ref="D8:D68" si="0">IF(C8=0,"",B8/C8-1)</f>
        <v>1.2621404539965431</v>
      </c>
      <c r="E8" s="138"/>
      <c r="F8" s="138"/>
      <c r="G8" s="138"/>
      <c r="H8" s="138"/>
      <c r="I8" s="138"/>
      <c r="J8" s="138"/>
      <c r="K8" s="138"/>
      <c r="L8" s="689"/>
      <c r="M8" s="652" t="s">
        <v>409</v>
      </c>
      <c r="N8" s="651">
        <v>0</v>
      </c>
      <c r="O8" s="651">
        <v>0</v>
      </c>
      <c r="P8" s="718"/>
    </row>
    <row r="9" spans="1:16" ht="9.75" customHeight="1">
      <c r="A9" s="603" t="s">
        <v>87</v>
      </c>
      <c r="B9" s="742">
        <v>818.88095999999996</v>
      </c>
      <c r="C9" s="742">
        <v>864.28847999999994</v>
      </c>
      <c r="D9" s="604">
        <f t="shared" si="0"/>
        <v>-5.2537458326414321E-2</v>
      </c>
      <c r="E9" s="322"/>
      <c r="F9" s="138"/>
      <c r="G9" s="138"/>
      <c r="H9" s="138"/>
      <c r="I9" s="138"/>
      <c r="J9" s="138"/>
      <c r="K9" s="138"/>
      <c r="M9" s="652" t="s">
        <v>115</v>
      </c>
      <c r="N9" s="653">
        <v>0</v>
      </c>
      <c r="O9" s="653">
        <v>0</v>
      </c>
      <c r="P9" s="718"/>
    </row>
    <row r="10" spans="1:16" ht="9.75" customHeight="1">
      <c r="A10" s="601" t="s">
        <v>86</v>
      </c>
      <c r="B10" s="741">
        <v>795.97600000000011</v>
      </c>
      <c r="C10" s="741">
        <v>823.12299999999993</v>
      </c>
      <c r="D10" s="602">
        <f t="shared" si="0"/>
        <v>-3.2980490157606845E-2</v>
      </c>
      <c r="E10" s="138"/>
      <c r="F10" s="138"/>
      <c r="G10" s="138"/>
      <c r="H10" s="138"/>
      <c r="I10" s="138"/>
      <c r="J10" s="138"/>
      <c r="K10" s="138"/>
      <c r="M10" s="652" t="s">
        <v>100</v>
      </c>
      <c r="N10" s="651">
        <v>0</v>
      </c>
      <c r="O10" s="651">
        <v>26.05641</v>
      </c>
      <c r="P10" s="718"/>
    </row>
    <row r="11" spans="1:16" ht="9.75" customHeight="1">
      <c r="A11" s="603" t="s">
        <v>232</v>
      </c>
      <c r="B11" s="742">
        <v>550.43043999999998</v>
      </c>
      <c r="C11" s="742">
        <v>562.50548000000003</v>
      </c>
      <c r="D11" s="604">
        <f t="shared" si="0"/>
        <v>-2.1466528646085448E-2</v>
      </c>
      <c r="E11" s="138"/>
      <c r="F11" s="138"/>
      <c r="G11" s="138"/>
      <c r="H11" s="138"/>
      <c r="I11" s="138"/>
      <c r="J11" s="138"/>
      <c r="K11" s="138"/>
      <c r="M11" s="652" t="s">
        <v>237</v>
      </c>
      <c r="N11" s="651">
        <v>0</v>
      </c>
      <c r="O11" s="651">
        <v>0</v>
      </c>
      <c r="P11" s="718"/>
    </row>
    <row r="12" spans="1:16" ht="9.75" customHeight="1">
      <c r="A12" s="601" t="s">
        <v>234</v>
      </c>
      <c r="B12" s="741">
        <v>338.88740999999999</v>
      </c>
      <c r="C12" s="741">
        <v>362.99900000000002</v>
      </c>
      <c r="D12" s="602">
        <f t="shared" si="0"/>
        <v>-6.6423295931944848E-2</v>
      </c>
      <c r="E12" s="138"/>
      <c r="F12" s="138"/>
      <c r="G12" s="138"/>
      <c r="H12" s="138"/>
      <c r="I12" s="138"/>
      <c r="J12" s="138"/>
      <c r="K12" s="138"/>
      <c r="L12" s="688"/>
      <c r="M12" s="652" t="s">
        <v>236</v>
      </c>
      <c r="N12" s="651">
        <v>0</v>
      </c>
      <c r="O12" s="651">
        <v>0</v>
      </c>
      <c r="P12" s="718"/>
    </row>
    <row r="13" spans="1:16" ht="9.75" customHeight="1">
      <c r="A13" s="603" t="s">
        <v>230</v>
      </c>
      <c r="B13" s="742">
        <v>321.04184999999995</v>
      </c>
      <c r="C13" s="742">
        <v>469.51247000000001</v>
      </c>
      <c r="D13" s="604">
        <f t="shared" si="0"/>
        <v>-0.31622295356713326</v>
      </c>
      <c r="E13" s="138"/>
      <c r="F13" s="138"/>
      <c r="G13" s="138"/>
      <c r="H13" s="138"/>
      <c r="I13" s="138"/>
      <c r="J13" s="138"/>
      <c r="K13" s="138"/>
      <c r="L13" s="689"/>
      <c r="M13" s="652" t="s">
        <v>114</v>
      </c>
      <c r="N13" s="651">
        <v>0</v>
      </c>
      <c r="O13" s="651">
        <v>0</v>
      </c>
      <c r="P13" s="718"/>
    </row>
    <row r="14" spans="1:16" ht="9.75" customHeight="1">
      <c r="A14" s="601" t="s">
        <v>98</v>
      </c>
      <c r="B14" s="741">
        <v>278.49730999999997</v>
      </c>
      <c r="C14" s="741">
        <v>282.49957000000001</v>
      </c>
      <c r="D14" s="602">
        <f t="shared" si="0"/>
        <v>-1.4167313599804943E-2</v>
      </c>
      <c r="E14" s="138"/>
      <c r="F14" s="138"/>
      <c r="G14" s="138"/>
      <c r="H14" s="138"/>
      <c r="I14" s="138"/>
      <c r="J14" s="138"/>
      <c r="K14" s="138"/>
      <c r="L14" s="689"/>
      <c r="M14" s="652" t="s">
        <v>229</v>
      </c>
      <c r="N14" s="653">
        <v>0</v>
      </c>
      <c r="O14" s="653">
        <v>0</v>
      </c>
      <c r="P14" s="718"/>
    </row>
    <row r="15" spans="1:16" ht="9.75" customHeight="1">
      <c r="A15" s="603" t="s">
        <v>88</v>
      </c>
      <c r="B15" s="742">
        <v>216.00424000000004</v>
      </c>
      <c r="C15" s="742">
        <v>409.38409999999999</v>
      </c>
      <c r="D15" s="604">
        <f t="shared" si="0"/>
        <v>-0.47236778370239574</v>
      </c>
      <c r="E15" s="138"/>
      <c r="F15" s="138"/>
      <c r="G15" s="138"/>
      <c r="H15" s="138"/>
      <c r="I15" s="138"/>
      <c r="J15" s="138"/>
      <c r="K15" s="138"/>
      <c r="L15" s="689"/>
      <c r="M15" s="652" t="s">
        <v>104</v>
      </c>
      <c r="N15" s="651">
        <v>0</v>
      </c>
      <c r="O15" s="651">
        <v>13.233359999999999</v>
      </c>
      <c r="P15" s="718"/>
    </row>
    <row r="16" spans="1:16" ht="9.75" customHeight="1">
      <c r="A16" s="601" t="s">
        <v>91</v>
      </c>
      <c r="B16" s="741">
        <v>173.173</v>
      </c>
      <c r="C16" s="741">
        <v>168.965</v>
      </c>
      <c r="D16" s="602">
        <f t="shared" si="0"/>
        <v>2.4904566034385844E-2</v>
      </c>
      <c r="E16" s="138"/>
      <c r="F16" s="138"/>
      <c r="G16" s="138"/>
      <c r="H16" s="138"/>
      <c r="I16" s="138"/>
      <c r="J16" s="138"/>
      <c r="K16" s="138"/>
      <c r="L16" s="689"/>
      <c r="M16" s="652" t="s">
        <v>117</v>
      </c>
      <c r="N16" s="651">
        <v>0</v>
      </c>
      <c r="O16" s="651">
        <v>0</v>
      </c>
      <c r="P16" s="718"/>
    </row>
    <row r="17" spans="1:16" ht="9.75" customHeight="1">
      <c r="A17" s="603" t="s">
        <v>90</v>
      </c>
      <c r="B17" s="742">
        <v>166.03899999999999</v>
      </c>
      <c r="C17" s="742">
        <v>162.03138999999999</v>
      </c>
      <c r="D17" s="604">
        <f t="shared" si="0"/>
        <v>2.4733540828107525E-2</v>
      </c>
      <c r="E17" s="138"/>
      <c r="F17" s="138"/>
      <c r="G17" s="138"/>
      <c r="H17" s="138"/>
      <c r="I17" s="138"/>
      <c r="J17" s="138"/>
      <c r="K17" s="138"/>
      <c r="L17" s="689"/>
      <c r="M17" s="652" t="s">
        <v>522</v>
      </c>
      <c r="N17" s="651">
        <v>1.4E-2</v>
      </c>
      <c r="O17" s="651">
        <v>0</v>
      </c>
      <c r="P17" s="718"/>
    </row>
    <row r="18" spans="1:16" ht="9.75" customHeight="1">
      <c r="A18" s="601" t="s">
        <v>92</v>
      </c>
      <c r="B18" s="741">
        <v>160.30700000000002</v>
      </c>
      <c r="C18" s="741">
        <v>204.80700000000002</v>
      </c>
      <c r="D18" s="602">
        <f t="shared" si="0"/>
        <v>-0.21727772976509585</v>
      </c>
      <c r="E18" s="138"/>
      <c r="F18" s="138"/>
      <c r="G18" s="138"/>
      <c r="H18" s="138"/>
      <c r="I18" s="138"/>
      <c r="J18" s="138"/>
      <c r="K18" s="138"/>
      <c r="L18" s="689"/>
      <c r="M18" s="652" t="s">
        <v>107</v>
      </c>
      <c r="N18" s="653">
        <v>2.0389999999999998E-2</v>
      </c>
      <c r="O18" s="653">
        <v>0</v>
      </c>
      <c r="P18" s="718"/>
    </row>
    <row r="19" spans="1:16" ht="9.75" customHeight="1">
      <c r="A19" s="603" t="s">
        <v>96</v>
      </c>
      <c r="B19" s="742">
        <v>126.879</v>
      </c>
      <c r="C19" s="742">
        <v>48.011000000000003</v>
      </c>
      <c r="D19" s="604">
        <f t="shared" si="0"/>
        <v>1.6427068796734083</v>
      </c>
      <c r="E19" s="138"/>
      <c r="F19" s="138"/>
      <c r="G19" s="138"/>
      <c r="H19" s="138"/>
      <c r="I19" s="138"/>
      <c r="J19" s="138"/>
      <c r="K19" s="138"/>
      <c r="L19" s="689"/>
      <c r="M19" s="652" t="s">
        <v>446</v>
      </c>
      <c r="N19" s="653">
        <v>0.51100000000000001</v>
      </c>
      <c r="O19" s="653">
        <v>0</v>
      </c>
      <c r="P19" s="718"/>
    </row>
    <row r="20" spans="1:16" ht="9.75" customHeight="1">
      <c r="A20" s="601" t="s">
        <v>93</v>
      </c>
      <c r="B20" s="741">
        <v>109.95885000000001</v>
      </c>
      <c r="C20" s="741">
        <v>110.72104</v>
      </c>
      <c r="D20" s="602">
        <f t="shared" si="0"/>
        <v>-6.8838768132957195E-3</v>
      </c>
      <c r="E20" s="138"/>
      <c r="F20" s="138"/>
      <c r="G20" s="138"/>
      <c r="H20" s="138"/>
      <c r="I20" s="138"/>
      <c r="J20" s="138"/>
      <c r="K20" s="138"/>
      <c r="L20" s="690"/>
      <c r="M20" s="652" t="s">
        <v>521</v>
      </c>
      <c r="N20" s="651">
        <v>0.90869</v>
      </c>
      <c r="O20" s="651">
        <v>3.1549499999999999</v>
      </c>
      <c r="P20" s="718"/>
    </row>
    <row r="21" spans="1:16" ht="9.75" customHeight="1">
      <c r="A21" s="603" t="s">
        <v>408</v>
      </c>
      <c r="B21" s="742">
        <v>90.691609999999997</v>
      </c>
      <c r="C21" s="742">
        <v>90.378320000000002</v>
      </c>
      <c r="D21" s="604">
        <f t="shared" si="0"/>
        <v>3.4664286744874317E-3</v>
      </c>
      <c r="E21" s="138"/>
      <c r="F21" s="138"/>
      <c r="G21" s="138"/>
      <c r="H21" s="138"/>
      <c r="I21" s="138"/>
      <c r="J21" s="138"/>
      <c r="K21" s="138"/>
      <c r="L21" s="689"/>
      <c r="M21" s="652" t="s">
        <v>449</v>
      </c>
      <c r="N21" s="651">
        <v>1.2694399999999999</v>
      </c>
      <c r="O21" s="651">
        <v>0.52566999999999997</v>
      </c>
      <c r="P21" s="718"/>
    </row>
    <row r="22" spans="1:16" ht="9.75" customHeight="1">
      <c r="A22" s="601" t="s">
        <v>94</v>
      </c>
      <c r="B22" s="741">
        <v>87.534000000000006</v>
      </c>
      <c r="C22" s="741">
        <v>47.892000000000003</v>
      </c>
      <c r="D22" s="602">
        <f t="shared" si="0"/>
        <v>0.82773740917063399</v>
      </c>
      <c r="E22" s="138"/>
      <c r="F22" s="138"/>
      <c r="G22" s="138"/>
      <c r="H22" s="138"/>
      <c r="I22" s="138"/>
      <c r="J22" s="138"/>
      <c r="K22" s="138"/>
      <c r="L22" s="689"/>
      <c r="M22" s="652" t="s">
        <v>445</v>
      </c>
      <c r="N22" s="653">
        <v>2.96</v>
      </c>
      <c r="O22" s="653">
        <v>0</v>
      </c>
      <c r="P22" s="718"/>
    </row>
    <row r="23" spans="1:16" ht="9.75" customHeight="1">
      <c r="A23" s="603" t="s">
        <v>450</v>
      </c>
      <c r="B23" s="742">
        <v>69.939610000000002</v>
      </c>
      <c r="C23" s="742">
        <v>62.914439999999999</v>
      </c>
      <c r="D23" s="604">
        <f t="shared" si="0"/>
        <v>0.1116622829353644</v>
      </c>
      <c r="E23" s="138"/>
      <c r="F23" s="138"/>
      <c r="G23" s="138"/>
      <c r="H23" s="138"/>
      <c r="I23" s="138"/>
      <c r="J23" s="138"/>
      <c r="K23" s="138"/>
      <c r="L23" s="689"/>
      <c r="M23" s="652" t="s">
        <v>112</v>
      </c>
      <c r="N23" s="651">
        <v>3.2</v>
      </c>
      <c r="O23" s="651">
        <v>2.8</v>
      </c>
      <c r="P23" s="718"/>
    </row>
    <row r="24" spans="1:16" ht="9.75" customHeight="1">
      <c r="A24" s="601" t="s">
        <v>89</v>
      </c>
      <c r="B24" s="741">
        <v>69.017170000000007</v>
      </c>
      <c r="C24" s="741">
        <v>109.46476999999999</v>
      </c>
      <c r="D24" s="602">
        <f t="shared" si="0"/>
        <v>-0.3695033571074966</v>
      </c>
      <c r="E24" s="138"/>
      <c r="F24" s="138"/>
      <c r="G24" s="138"/>
      <c r="H24" s="138"/>
      <c r="I24" s="138"/>
      <c r="J24" s="138"/>
      <c r="K24" s="138"/>
      <c r="L24" s="690"/>
      <c r="M24" s="652" t="s">
        <v>111</v>
      </c>
      <c r="N24" s="651">
        <v>3.5679999999999996</v>
      </c>
      <c r="O24" s="651">
        <v>3.7050000000000001</v>
      </c>
      <c r="P24" s="718"/>
    </row>
    <row r="25" spans="1:16" ht="9.75" customHeight="1">
      <c r="A25" s="603" t="s">
        <v>103</v>
      </c>
      <c r="B25" s="742">
        <v>60.794280000000001</v>
      </c>
      <c r="C25" s="742">
        <v>0</v>
      </c>
      <c r="D25" s="604" t="str">
        <f t="shared" si="0"/>
        <v/>
      </c>
      <c r="E25" s="138"/>
      <c r="F25" s="138"/>
      <c r="G25" s="138"/>
      <c r="H25" s="138"/>
      <c r="I25" s="138"/>
      <c r="J25" s="138"/>
      <c r="K25" s="138"/>
      <c r="L25" s="689"/>
      <c r="M25" s="652" t="s">
        <v>113</v>
      </c>
      <c r="N25" s="651">
        <v>3.597</v>
      </c>
      <c r="O25" s="651">
        <v>3.694</v>
      </c>
      <c r="P25" s="718"/>
    </row>
    <row r="26" spans="1:16" ht="9.75" customHeight="1">
      <c r="A26" s="601" t="s">
        <v>455</v>
      </c>
      <c r="B26" s="741">
        <v>59.895870000000002</v>
      </c>
      <c r="C26" s="741">
        <v>74.250879999999995</v>
      </c>
      <c r="D26" s="602">
        <f t="shared" si="0"/>
        <v>-0.19333117668100352</v>
      </c>
      <c r="E26" s="138"/>
      <c r="F26" s="138"/>
      <c r="G26" s="138"/>
      <c r="H26" s="138"/>
      <c r="I26" s="138"/>
      <c r="J26" s="138"/>
      <c r="K26" s="138"/>
      <c r="L26" s="689"/>
      <c r="M26" s="652" t="s">
        <v>110</v>
      </c>
      <c r="N26" s="651">
        <v>4.3477100000000002</v>
      </c>
      <c r="O26" s="651">
        <v>5.1179000000000006</v>
      </c>
      <c r="P26" s="718"/>
    </row>
    <row r="27" spans="1:16" ht="9.75" customHeight="1">
      <c r="A27" s="603" t="s">
        <v>106</v>
      </c>
      <c r="B27" s="742">
        <v>55.347809999999996</v>
      </c>
      <c r="C27" s="742">
        <v>67.763549999999995</v>
      </c>
      <c r="D27" s="604">
        <f t="shared" si="0"/>
        <v>-0.18322151067941395</v>
      </c>
      <c r="E27" s="138"/>
      <c r="F27" s="138"/>
      <c r="G27" s="138"/>
      <c r="H27" s="138"/>
      <c r="I27" s="138"/>
      <c r="J27" s="138"/>
      <c r="K27" s="138"/>
      <c r="L27" s="689"/>
      <c r="M27" s="652" t="s">
        <v>108</v>
      </c>
      <c r="N27" s="651">
        <v>5.9037800000000002</v>
      </c>
      <c r="O27" s="651">
        <v>0</v>
      </c>
      <c r="P27" s="718"/>
    </row>
    <row r="28" spans="1:16" ht="9.75" customHeight="1">
      <c r="A28" s="601" t="s">
        <v>231</v>
      </c>
      <c r="B28" s="741">
        <v>46.626989999999999</v>
      </c>
      <c r="C28" s="741">
        <v>47.372480000000003</v>
      </c>
      <c r="D28" s="602">
        <f t="shared" si="0"/>
        <v>-1.5736773755564482E-2</v>
      </c>
      <c r="E28" s="138"/>
      <c r="F28" s="138"/>
      <c r="G28" s="138"/>
      <c r="H28" s="138"/>
      <c r="I28" s="138"/>
      <c r="J28" s="138"/>
      <c r="K28" s="138"/>
      <c r="L28" s="689"/>
      <c r="M28" s="652" t="s">
        <v>105</v>
      </c>
      <c r="N28" s="651">
        <v>6.8206699999999998</v>
      </c>
      <c r="O28" s="651">
        <v>0</v>
      </c>
      <c r="P28" s="718"/>
    </row>
    <row r="29" spans="1:16" ht="9.75" customHeight="1">
      <c r="A29" s="605" t="s">
        <v>97</v>
      </c>
      <c r="B29" s="743">
        <v>45.714469999999999</v>
      </c>
      <c r="C29" s="743">
        <v>43.980359999999997</v>
      </c>
      <c r="D29" s="606">
        <f t="shared" si="0"/>
        <v>3.9429190666015579E-2</v>
      </c>
      <c r="E29" s="138"/>
      <c r="F29" s="138"/>
      <c r="G29" s="138"/>
      <c r="H29" s="138"/>
      <c r="I29" s="138"/>
      <c r="J29" s="138"/>
      <c r="K29" s="138"/>
      <c r="L29" s="689"/>
      <c r="M29" s="652" t="s">
        <v>447</v>
      </c>
      <c r="N29" s="651">
        <v>7.8878199999999996</v>
      </c>
      <c r="O29" s="651">
        <v>5.8799999999999998E-3</v>
      </c>
      <c r="P29" s="718"/>
    </row>
    <row r="30" spans="1:16" ht="9.75" customHeight="1">
      <c r="A30" s="607" t="s">
        <v>431</v>
      </c>
      <c r="B30" s="744">
        <v>29.360679999999995</v>
      </c>
      <c r="C30" s="744">
        <v>27.306080000000001</v>
      </c>
      <c r="D30" s="608">
        <f t="shared" si="0"/>
        <v>7.5243315774362163E-2</v>
      </c>
      <c r="E30" s="138"/>
      <c r="F30" s="138"/>
      <c r="G30" s="138"/>
      <c r="H30" s="138"/>
      <c r="I30" s="138"/>
      <c r="J30" s="138"/>
      <c r="K30" s="138"/>
      <c r="L30" s="689"/>
      <c r="M30" s="652" t="s">
        <v>430</v>
      </c>
      <c r="N30" s="651">
        <v>8.25</v>
      </c>
      <c r="O30" s="651">
        <v>9.4425799999999995</v>
      </c>
      <c r="P30" s="718"/>
    </row>
    <row r="31" spans="1:16" ht="9.75" customHeight="1">
      <c r="A31" s="609" t="s">
        <v>99</v>
      </c>
      <c r="B31" s="745">
        <v>26.121200000000002</v>
      </c>
      <c r="C31" s="745">
        <v>48.132210000000001</v>
      </c>
      <c r="D31" s="610">
        <f t="shared" si="0"/>
        <v>-0.45730312404105278</v>
      </c>
      <c r="E31" s="138"/>
      <c r="F31" s="138"/>
      <c r="G31" s="138"/>
      <c r="H31" s="138"/>
      <c r="I31" s="138"/>
      <c r="J31" s="138"/>
      <c r="K31" s="138"/>
      <c r="L31" s="689"/>
      <c r="M31" s="652" t="s">
        <v>393</v>
      </c>
      <c r="N31" s="651">
        <v>9.9507000000000012</v>
      </c>
      <c r="O31" s="651">
        <v>10.316599999999999</v>
      </c>
      <c r="P31" s="718"/>
    </row>
    <row r="32" spans="1:16" ht="9.75" customHeight="1">
      <c r="A32" s="607" t="s">
        <v>109</v>
      </c>
      <c r="B32" s="744">
        <v>24.244960000000003</v>
      </c>
      <c r="C32" s="744">
        <v>27.460039999999999</v>
      </c>
      <c r="D32" s="608">
        <f t="shared" si="0"/>
        <v>-0.11708213098014408</v>
      </c>
      <c r="E32" s="138"/>
      <c r="F32" s="138"/>
      <c r="G32" s="138"/>
      <c r="H32" s="138"/>
      <c r="I32" s="138"/>
      <c r="J32" s="138"/>
      <c r="K32" s="138"/>
      <c r="L32" s="689"/>
      <c r="M32" s="652" t="s">
        <v>116</v>
      </c>
      <c r="N32" s="651">
        <v>9.9996899999999993</v>
      </c>
      <c r="O32" s="651">
        <v>19.972529999999999</v>
      </c>
      <c r="P32" s="718"/>
    </row>
    <row r="33" spans="1:16" ht="13.5" customHeight="1">
      <c r="A33" s="611" t="s">
        <v>95</v>
      </c>
      <c r="B33" s="745">
        <v>24.139200000000002</v>
      </c>
      <c r="C33" s="745">
        <v>29.963999999999999</v>
      </c>
      <c r="D33" s="610">
        <f t="shared" si="0"/>
        <v>-0.19439327192631151</v>
      </c>
      <c r="E33" s="138"/>
      <c r="F33" s="138"/>
      <c r="G33" s="138"/>
      <c r="H33" s="138"/>
      <c r="I33" s="138"/>
      <c r="J33" s="138"/>
      <c r="K33" s="138"/>
      <c r="L33" s="689"/>
      <c r="M33" s="652" t="s">
        <v>448</v>
      </c>
      <c r="N33" s="651">
        <v>10.745760000000001</v>
      </c>
      <c r="O33" s="651">
        <v>1.1910000000000001</v>
      </c>
      <c r="P33" s="718"/>
    </row>
    <row r="34" spans="1:16" ht="13.5" customHeight="1">
      <c r="A34" s="607" t="s">
        <v>384</v>
      </c>
      <c r="B34" s="744">
        <v>20.89264</v>
      </c>
      <c r="C34" s="744">
        <v>20.125959999999999</v>
      </c>
      <c r="D34" s="608">
        <f t="shared" si="0"/>
        <v>3.8094083462354211E-2</v>
      </c>
      <c r="E34" s="138"/>
      <c r="F34" s="138"/>
      <c r="G34" s="138"/>
      <c r="H34" s="138"/>
      <c r="I34" s="138"/>
      <c r="J34" s="138"/>
      <c r="K34" s="138"/>
      <c r="L34" s="689"/>
      <c r="M34" s="652" t="s">
        <v>400</v>
      </c>
      <c r="N34" s="651">
        <v>16.150320000000001</v>
      </c>
      <c r="O34" s="651">
        <v>19.175850000000001</v>
      </c>
      <c r="P34" s="718"/>
    </row>
    <row r="35" spans="1:16" ht="13.5" customHeight="1">
      <c r="A35" s="611" t="s">
        <v>422</v>
      </c>
      <c r="B35" s="745">
        <v>19.980229999999999</v>
      </c>
      <c r="C35" s="745">
        <v>19.959029999999998</v>
      </c>
      <c r="D35" s="610">
        <f t="shared" si="0"/>
        <v>1.0621758672642034E-3</v>
      </c>
      <c r="E35" s="138"/>
      <c r="F35" s="138"/>
      <c r="G35" s="138"/>
      <c r="H35" s="138"/>
      <c r="I35" s="138"/>
      <c r="J35" s="138"/>
      <c r="K35" s="138"/>
      <c r="L35" s="689"/>
      <c r="M35" s="652" t="s">
        <v>235</v>
      </c>
      <c r="N35" s="651">
        <v>16.313020000000002</v>
      </c>
      <c r="O35" s="651">
        <v>13.748060000000001</v>
      </c>
      <c r="P35" s="718"/>
    </row>
    <row r="36" spans="1:16" ht="10.199999999999999" customHeight="1">
      <c r="A36" s="612" t="s">
        <v>439</v>
      </c>
      <c r="B36" s="744">
        <v>19.915039999999998</v>
      </c>
      <c r="C36" s="744">
        <v>19.462150000000001</v>
      </c>
      <c r="D36" s="608">
        <f t="shared" si="0"/>
        <v>2.327029644720624E-2</v>
      </c>
      <c r="E36" s="138"/>
      <c r="F36" s="138"/>
      <c r="G36" s="138"/>
      <c r="H36" s="138"/>
      <c r="I36" s="138"/>
      <c r="J36" s="138"/>
      <c r="K36" s="138"/>
      <c r="L36" s="689"/>
      <c r="M36" s="652" t="s">
        <v>233</v>
      </c>
      <c r="N36" s="653">
        <v>18.052</v>
      </c>
      <c r="O36" s="653">
        <v>9.3076899999999991</v>
      </c>
      <c r="P36" s="718"/>
    </row>
    <row r="37" spans="1:16" ht="13.5" customHeight="1">
      <c r="A37" s="611" t="s">
        <v>451</v>
      </c>
      <c r="B37" s="745">
        <v>19.727370000000001</v>
      </c>
      <c r="C37" s="745">
        <v>19.82855</v>
      </c>
      <c r="D37" s="610">
        <f t="shared" si="0"/>
        <v>-5.1027432666533867E-3</v>
      </c>
      <c r="E37" s="138"/>
      <c r="F37" s="138"/>
      <c r="G37" s="138"/>
      <c r="H37" s="138"/>
      <c r="I37" s="138"/>
      <c r="J37" s="138"/>
      <c r="K37" s="138"/>
      <c r="L37" s="689"/>
      <c r="M37" s="652" t="s">
        <v>102</v>
      </c>
      <c r="N37" s="651">
        <v>18.830680000000001</v>
      </c>
      <c r="O37" s="651">
        <v>18.51557</v>
      </c>
      <c r="P37" s="718"/>
    </row>
    <row r="38" spans="1:16" ht="11.25" customHeight="1">
      <c r="A38" s="607" t="s">
        <v>101</v>
      </c>
      <c r="B38" s="744">
        <v>18.918289999999999</v>
      </c>
      <c r="C38" s="744">
        <v>19.016210000000001</v>
      </c>
      <c r="D38" s="608">
        <f t="shared" si="0"/>
        <v>-5.1492910522129565E-3</v>
      </c>
      <c r="E38" s="138"/>
      <c r="F38" s="138"/>
      <c r="G38" s="138"/>
      <c r="H38" s="138"/>
      <c r="I38" s="138"/>
      <c r="J38" s="138"/>
      <c r="K38" s="138"/>
      <c r="L38" s="691"/>
      <c r="M38" s="652" t="s">
        <v>101</v>
      </c>
      <c r="N38" s="651">
        <v>18.918289999999999</v>
      </c>
      <c r="O38" s="651">
        <v>19.016210000000001</v>
      </c>
      <c r="P38" s="718"/>
    </row>
    <row r="39" spans="1:16" ht="11.25" customHeight="1">
      <c r="A39" s="611" t="s">
        <v>102</v>
      </c>
      <c r="B39" s="745">
        <v>18.830680000000001</v>
      </c>
      <c r="C39" s="745">
        <v>18.51557</v>
      </c>
      <c r="D39" s="610">
        <f t="shared" si="0"/>
        <v>1.7018649709406697E-2</v>
      </c>
      <c r="E39" s="138"/>
      <c r="F39" s="138"/>
      <c r="G39" s="138"/>
      <c r="H39" s="138"/>
      <c r="I39" s="138"/>
      <c r="J39" s="138"/>
      <c r="K39" s="138"/>
      <c r="L39" s="691"/>
      <c r="M39" s="652" t="s">
        <v>451</v>
      </c>
      <c r="N39" s="651">
        <v>19.727370000000001</v>
      </c>
      <c r="O39" s="651">
        <v>19.82855</v>
      </c>
      <c r="P39" s="718"/>
    </row>
    <row r="40" spans="1:16" ht="11.4" customHeight="1">
      <c r="A40" s="612" t="s">
        <v>233</v>
      </c>
      <c r="B40" s="744">
        <v>18.052</v>
      </c>
      <c r="C40" s="744">
        <v>9.3076899999999991</v>
      </c>
      <c r="D40" s="608">
        <f t="shared" si="0"/>
        <v>0.93947155524088166</v>
      </c>
      <c r="E40" s="138"/>
      <c r="F40" s="138"/>
      <c r="G40" s="138"/>
      <c r="H40" s="138"/>
      <c r="I40" s="138"/>
      <c r="J40" s="138"/>
      <c r="K40" s="138"/>
      <c r="L40" s="690"/>
      <c r="M40" s="652" t="s">
        <v>439</v>
      </c>
      <c r="N40" s="651">
        <v>19.915039999999998</v>
      </c>
      <c r="O40" s="651">
        <v>19.462150000000001</v>
      </c>
      <c r="P40" s="718"/>
    </row>
    <row r="41" spans="1:16" ht="11.25" customHeight="1">
      <c r="A41" s="611" t="s">
        <v>235</v>
      </c>
      <c r="B41" s="745">
        <v>16.313020000000002</v>
      </c>
      <c r="C41" s="745">
        <v>13.748060000000001</v>
      </c>
      <c r="D41" s="610">
        <f t="shared" si="0"/>
        <v>0.186568868625828</v>
      </c>
      <c r="E41" s="138"/>
      <c r="F41" s="138"/>
      <c r="G41" s="138"/>
      <c r="H41" s="138"/>
      <c r="I41" s="138"/>
      <c r="J41" s="138"/>
      <c r="K41" s="138"/>
      <c r="L41" s="690"/>
      <c r="M41" s="652" t="s">
        <v>422</v>
      </c>
      <c r="N41" s="651">
        <v>19.980229999999999</v>
      </c>
      <c r="O41" s="651">
        <v>19.959029999999998</v>
      </c>
      <c r="P41" s="718"/>
    </row>
    <row r="42" spans="1:16" ht="11.25" customHeight="1">
      <c r="A42" s="613" t="s">
        <v>400</v>
      </c>
      <c r="B42" s="744">
        <v>16.150320000000001</v>
      </c>
      <c r="C42" s="744">
        <v>19.175850000000001</v>
      </c>
      <c r="D42" s="608">
        <f t="shared" si="0"/>
        <v>-0.15777814282026614</v>
      </c>
      <c r="E42" s="138"/>
      <c r="F42" s="138"/>
      <c r="G42" s="138"/>
      <c r="H42" s="138"/>
      <c r="I42" s="138"/>
      <c r="J42" s="138"/>
      <c r="K42" s="138"/>
      <c r="L42" s="690"/>
      <c r="M42" s="652" t="s">
        <v>384</v>
      </c>
      <c r="N42" s="651">
        <v>20.89264</v>
      </c>
      <c r="O42" s="651">
        <v>20.125959999999999</v>
      </c>
      <c r="P42" s="718"/>
    </row>
    <row r="43" spans="1:16" ht="9.75" customHeight="1">
      <c r="A43" s="609" t="s">
        <v>448</v>
      </c>
      <c r="B43" s="745">
        <v>10.745760000000001</v>
      </c>
      <c r="C43" s="745">
        <v>1.1910000000000001</v>
      </c>
      <c r="D43" s="610">
        <f t="shared" si="0"/>
        <v>8.0224685138539051</v>
      </c>
      <c r="E43" s="138"/>
      <c r="F43" s="138"/>
      <c r="G43" s="138"/>
      <c r="H43" s="138"/>
      <c r="I43" s="138"/>
      <c r="J43" s="138"/>
      <c r="K43" s="138"/>
      <c r="L43" s="691"/>
      <c r="M43" s="652" t="s">
        <v>95</v>
      </c>
      <c r="N43" s="651">
        <v>24.139200000000002</v>
      </c>
      <c r="O43" s="651">
        <v>29.963999999999999</v>
      </c>
      <c r="P43" s="718"/>
    </row>
    <row r="44" spans="1:16" ht="9.75" customHeight="1">
      <c r="A44" s="607" t="s">
        <v>116</v>
      </c>
      <c r="B44" s="744">
        <v>9.9996899999999993</v>
      </c>
      <c r="C44" s="744">
        <v>19.972529999999999</v>
      </c>
      <c r="D44" s="608">
        <f t="shared" si="0"/>
        <v>-0.49932782677006871</v>
      </c>
      <c r="E44" s="138"/>
      <c r="F44" s="138"/>
      <c r="G44" s="138"/>
      <c r="H44" s="138"/>
      <c r="I44" s="138"/>
      <c r="J44" s="138"/>
      <c r="K44" s="138"/>
      <c r="L44" s="691"/>
      <c r="M44" s="652" t="s">
        <v>109</v>
      </c>
      <c r="N44" s="651">
        <v>24.244960000000003</v>
      </c>
      <c r="O44" s="651">
        <v>27.460039999999999</v>
      </c>
      <c r="P44" s="718"/>
    </row>
    <row r="45" spans="1:16" ht="9.75" customHeight="1">
      <c r="A45" s="609" t="s">
        <v>393</v>
      </c>
      <c r="B45" s="745">
        <v>9.9507000000000012</v>
      </c>
      <c r="C45" s="745">
        <v>10.316599999999999</v>
      </c>
      <c r="D45" s="610">
        <f t="shared" si="0"/>
        <v>-3.5467111257584727E-2</v>
      </c>
      <c r="E45" s="138"/>
      <c r="F45" s="138"/>
      <c r="G45" s="138"/>
      <c r="H45" s="138"/>
      <c r="I45" s="138"/>
      <c r="J45" s="138"/>
      <c r="K45" s="138"/>
      <c r="L45" s="691"/>
      <c r="M45" s="652" t="s">
        <v>99</v>
      </c>
      <c r="N45" s="651">
        <v>26.121200000000002</v>
      </c>
      <c r="O45" s="651">
        <v>48.132210000000001</v>
      </c>
      <c r="P45" s="718"/>
    </row>
    <row r="46" spans="1:16" ht="9.75" customHeight="1">
      <c r="A46" s="607" t="s">
        <v>430</v>
      </c>
      <c r="B46" s="744">
        <v>8.25</v>
      </c>
      <c r="C46" s="744">
        <v>9.4425799999999995</v>
      </c>
      <c r="D46" s="608">
        <f t="shared" si="0"/>
        <v>-0.12629810920320506</v>
      </c>
      <c r="E46" s="138"/>
      <c r="F46" s="138"/>
      <c r="G46" s="138"/>
      <c r="H46" s="138"/>
      <c r="I46" s="138"/>
      <c r="J46" s="138"/>
      <c r="K46" s="138"/>
      <c r="M46" s="652" t="s">
        <v>431</v>
      </c>
      <c r="N46" s="651">
        <v>29.360679999999995</v>
      </c>
      <c r="O46" s="651">
        <v>27.306080000000001</v>
      </c>
      <c r="P46" s="718"/>
    </row>
    <row r="47" spans="1:16" ht="9.75" customHeight="1">
      <c r="A47" s="609" t="s">
        <v>447</v>
      </c>
      <c r="B47" s="745">
        <v>7.8878199999999996</v>
      </c>
      <c r="C47" s="745">
        <v>5.8799999999999998E-3</v>
      </c>
      <c r="D47" s="610"/>
      <c r="E47" s="138"/>
      <c r="F47" s="138"/>
      <c r="G47" s="138"/>
      <c r="H47" s="138"/>
      <c r="I47" s="138"/>
      <c r="J47" s="138"/>
      <c r="K47" s="138"/>
      <c r="M47" s="652" t="s">
        <v>97</v>
      </c>
      <c r="N47" s="651">
        <v>45.714469999999999</v>
      </c>
      <c r="O47" s="651">
        <v>43.980359999999997</v>
      </c>
      <c r="P47" s="718"/>
    </row>
    <row r="48" spans="1:16" ht="9.6" customHeight="1">
      <c r="A48" s="612" t="s">
        <v>105</v>
      </c>
      <c r="B48" s="744">
        <v>6.8206699999999998</v>
      </c>
      <c r="C48" s="744">
        <v>0</v>
      </c>
      <c r="D48" s="608"/>
      <c r="E48" s="138"/>
      <c r="F48" s="138"/>
      <c r="G48" s="138"/>
      <c r="H48" s="138"/>
      <c r="I48" s="138"/>
      <c r="J48" s="138"/>
      <c r="K48" s="138"/>
      <c r="M48" s="652" t="s">
        <v>231</v>
      </c>
      <c r="N48" s="651">
        <v>46.626989999999999</v>
      </c>
      <c r="O48" s="651">
        <v>47.372480000000003</v>
      </c>
      <c r="P48" s="718"/>
    </row>
    <row r="49" spans="1:16" ht="9.75" customHeight="1">
      <c r="A49" s="609" t="s">
        <v>108</v>
      </c>
      <c r="B49" s="745">
        <v>5.9037800000000002</v>
      </c>
      <c r="C49" s="745">
        <v>0</v>
      </c>
      <c r="D49" s="610" t="str">
        <f t="shared" si="0"/>
        <v/>
      </c>
      <c r="E49" s="138"/>
      <c r="F49" s="138"/>
      <c r="G49" s="138"/>
      <c r="H49" s="138"/>
      <c r="I49" s="138"/>
      <c r="J49" s="138"/>
      <c r="K49" s="138"/>
      <c r="M49" s="652" t="s">
        <v>106</v>
      </c>
      <c r="N49" s="651">
        <v>55.347809999999996</v>
      </c>
      <c r="O49" s="651">
        <v>67.763549999999995</v>
      </c>
      <c r="P49" s="718"/>
    </row>
    <row r="50" spans="1:16" ht="10.95" customHeight="1">
      <c r="A50" s="612" t="s">
        <v>110</v>
      </c>
      <c r="B50" s="744">
        <v>4.3477100000000002</v>
      </c>
      <c r="C50" s="744">
        <v>5.1179000000000006</v>
      </c>
      <c r="D50" s="608">
        <f t="shared" si="0"/>
        <v>-0.15048945856699047</v>
      </c>
      <c r="E50" s="138"/>
      <c r="F50" s="138"/>
      <c r="G50" s="138"/>
      <c r="H50" s="138"/>
      <c r="I50" s="138"/>
      <c r="J50" s="138"/>
      <c r="K50" s="138"/>
      <c r="M50" s="652" t="s">
        <v>455</v>
      </c>
      <c r="N50" s="651">
        <v>59.895870000000002</v>
      </c>
      <c r="O50" s="651">
        <v>74.250879999999995</v>
      </c>
      <c r="P50" s="718"/>
    </row>
    <row r="51" spans="1:16" ht="11.25" customHeight="1">
      <c r="A51" s="611" t="s">
        <v>113</v>
      </c>
      <c r="B51" s="745">
        <v>3.597</v>
      </c>
      <c r="C51" s="745">
        <v>3.694</v>
      </c>
      <c r="D51" s="610">
        <f t="shared" si="0"/>
        <v>-2.6258798050893373E-2</v>
      </c>
      <c r="E51" s="138"/>
      <c r="F51" s="138"/>
      <c r="G51" s="138"/>
      <c r="H51" s="138"/>
      <c r="I51" s="138"/>
      <c r="J51" s="138"/>
      <c r="K51" s="138"/>
      <c r="M51" s="652" t="s">
        <v>103</v>
      </c>
      <c r="N51" s="651">
        <v>60.794280000000001</v>
      </c>
      <c r="O51" s="651">
        <v>0</v>
      </c>
      <c r="P51" s="718"/>
    </row>
    <row r="52" spans="1:16" ht="12" customHeight="1">
      <c r="A52" s="612" t="s">
        <v>111</v>
      </c>
      <c r="B52" s="744">
        <v>3.5679999999999996</v>
      </c>
      <c r="C52" s="744">
        <v>3.7050000000000001</v>
      </c>
      <c r="D52" s="608">
        <f t="shared" si="0"/>
        <v>-3.6977058029689758E-2</v>
      </c>
      <c r="E52" s="138"/>
      <c r="F52" s="138"/>
      <c r="G52" s="138"/>
      <c r="H52" s="138"/>
      <c r="I52" s="138"/>
      <c r="J52" s="138"/>
      <c r="K52" s="138"/>
      <c r="M52" s="652" t="s">
        <v>89</v>
      </c>
      <c r="N52" s="651">
        <v>69.017170000000007</v>
      </c>
      <c r="O52" s="651">
        <v>109.46476999999999</v>
      </c>
      <c r="P52" s="718"/>
    </row>
    <row r="53" spans="1:16" ht="9.75" customHeight="1">
      <c r="A53" s="611" t="s">
        <v>112</v>
      </c>
      <c r="B53" s="745">
        <v>3.2</v>
      </c>
      <c r="C53" s="745">
        <v>2.8</v>
      </c>
      <c r="D53" s="610">
        <f t="shared" si="0"/>
        <v>0.14285714285714302</v>
      </c>
      <c r="E53" s="138"/>
      <c r="F53" s="138"/>
      <c r="G53" s="138"/>
      <c r="H53" s="138"/>
      <c r="I53" s="138"/>
      <c r="J53" s="138"/>
      <c r="K53" s="138"/>
      <c r="M53" s="652" t="s">
        <v>450</v>
      </c>
      <c r="N53" s="651">
        <v>69.939610000000002</v>
      </c>
      <c r="O53" s="651">
        <v>62.914439999999999</v>
      </c>
      <c r="P53" s="718"/>
    </row>
    <row r="54" spans="1:16" ht="9.75" customHeight="1">
      <c r="A54" s="607" t="s">
        <v>445</v>
      </c>
      <c r="B54" s="744">
        <v>2.96</v>
      </c>
      <c r="C54" s="744">
        <v>0</v>
      </c>
      <c r="D54" s="608" t="str">
        <f t="shared" si="0"/>
        <v/>
      </c>
      <c r="E54" s="138"/>
      <c r="F54" s="138"/>
      <c r="G54" s="138"/>
      <c r="H54" s="138"/>
      <c r="I54" s="138"/>
      <c r="J54" s="138"/>
      <c r="K54" s="138"/>
      <c r="M54" s="652" t="s">
        <v>94</v>
      </c>
      <c r="N54" s="651">
        <v>87.534000000000006</v>
      </c>
      <c r="O54" s="651">
        <v>47.892000000000003</v>
      </c>
      <c r="P54" s="718"/>
    </row>
    <row r="55" spans="1:16" ht="9.75" customHeight="1">
      <c r="A55" s="609" t="s">
        <v>449</v>
      </c>
      <c r="B55" s="745">
        <v>1.2694399999999999</v>
      </c>
      <c r="C55" s="745">
        <v>0.52566999999999997</v>
      </c>
      <c r="D55" s="610">
        <f t="shared" si="0"/>
        <v>1.4148990811725985</v>
      </c>
      <c r="E55" s="138"/>
      <c r="F55" s="138"/>
      <c r="G55" s="138"/>
      <c r="H55" s="138"/>
      <c r="I55" s="138"/>
      <c r="J55" s="138"/>
      <c r="K55" s="138"/>
      <c r="M55" s="652" t="s">
        <v>408</v>
      </c>
      <c r="N55" s="651">
        <v>90.691609999999997</v>
      </c>
      <c r="O55" s="651">
        <v>90.378320000000002</v>
      </c>
      <c r="P55" s="718"/>
    </row>
    <row r="56" spans="1:16" ht="9.75" customHeight="1">
      <c r="A56" s="607" t="s">
        <v>521</v>
      </c>
      <c r="B56" s="744">
        <v>0.90869</v>
      </c>
      <c r="C56" s="744">
        <v>3.1549499999999999</v>
      </c>
      <c r="D56" s="608">
        <f t="shared" si="0"/>
        <v>-0.71197958763213365</v>
      </c>
      <c r="E56" s="138"/>
      <c r="F56" s="138"/>
      <c r="G56" s="138"/>
      <c r="H56" s="138"/>
      <c r="I56" s="138"/>
      <c r="J56" s="138"/>
      <c r="K56" s="138"/>
      <c r="M56" s="652" t="s">
        <v>93</v>
      </c>
      <c r="N56" s="651">
        <v>109.95885000000001</v>
      </c>
      <c r="O56" s="651">
        <v>110.72104</v>
      </c>
      <c r="P56" s="718"/>
    </row>
    <row r="57" spans="1:16" ht="9.75" customHeight="1">
      <c r="A57" s="609" t="s">
        <v>446</v>
      </c>
      <c r="B57" s="745">
        <v>0.51100000000000001</v>
      </c>
      <c r="C57" s="745">
        <v>0</v>
      </c>
      <c r="D57" s="610" t="str">
        <f t="shared" si="0"/>
        <v/>
      </c>
      <c r="E57" s="138"/>
      <c r="F57" s="138"/>
      <c r="G57" s="138"/>
      <c r="H57" s="138"/>
      <c r="I57" s="138"/>
      <c r="J57" s="138"/>
      <c r="K57" s="138"/>
      <c r="M57" s="652" t="s">
        <v>96</v>
      </c>
      <c r="N57" s="651">
        <v>126.879</v>
      </c>
      <c r="O57" s="651">
        <v>48.011000000000003</v>
      </c>
      <c r="P57" s="718"/>
    </row>
    <row r="58" spans="1:16" ht="9.75" customHeight="1">
      <c r="A58" s="607" t="s">
        <v>107</v>
      </c>
      <c r="B58" s="744">
        <v>2.0389999999999998E-2</v>
      </c>
      <c r="C58" s="744">
        <v>0</v>
      </c>
      <c r="D58" s="608" t="str">
        <f t="shared" si="0"/>
        <v/>
      </c>
      <c r="E58" s="138"/>
      <c r="F58" s="138"/>
      <c r="G58" s="138"/>
      <c r="H58" s="138"/>
      <c r="I58" s="138"/>
      <c r="J58" s="138"/>
      <c r="K58" s="138"/>
      <c r="M58" s="652" t="s">
        <v>92</v>
      </c>
      <c r="N58" s="651">
        <v>160.30700000000002</v>
      </c>
      <c r="O58" s="651">
        <v>204.80700000000002</v>
      </c>
      <c r="P58" s="718"/>
    </row>
    <row r="59" spans="1:16" ht="9.75" customHeight="1">
      <c r="A59" s="609" t="s">
        <v>522</v>
      </c>
      <c r="B59" s="745">
        <v>1.4E-2</v>
      </c>
      <c r="C59" s="745">
        <v>0</v>
      </c>
      <c r="D59" s="610" t="str">
        <f t="shared" si="0"/>
        <v/>
      </c>
      <c r="E59" s="138"/>
      <c r="F59" s="138"/>
      <c r="G59" s="138"/>
      <c r="H59" s="138"/>
      <c r="I59" s="138"/>
      <c r="J59" s="138"/>
      <c r="K59" s="138"/>
      <c r="M59" s="652" t="s">
        <v>90</v>
      </c>
      <c r="N59" s="651">
        <v>166.03899999999999</v>
      </c>
      <c r="O59" s="651">
        <v>162.03138999999999</v>
      </c>
      <c r="P59" s="718"/>
    </row>
    <row r="60" spans="1:16" ht="9.75" customHeight="1">
      <c r="A60" s="607" t="s">
        <v>117</v>
      </c>
      <c r="B60" s="744">
        <v>0</v>
      </c>
      <c r="C60" s="744">
        <v>0</v>
      </c>
      <c r="D60" s="608" t="str">
        <f t="shared" si="0"/>
        <v/>
      </c>
      <c r="E60" s="138"/>
      <c r="F60" s="138"/>
      <c r="G60" s="138"/>
      <c r="H60" s="138"/>
      <c r="I60" s="138"/>
      <c r="J60" s="138"/>
      <c r="K60" s="138"/>
      <c r="M60" s="652" t="s">
        <v>91</v>
      </c>
      <c r="N60" s="651">
        <v>173.173</v>
      </c>
      <c r="O60" s="651">
        <v>168.965</v>
      </c>
      <c r="P60" s="718"/>
    </row>
    <row r="61" spans="1:16" ht="9.75" customHeight="1">
      <c r="A61" s="614" t="s">
        <v>104</v>
      </c>
      <c r="B61" s="746">
        <v>0</v>
      </c>
      <c r="C61" s="746">
        <v>13.233359999999999</v>
      </c>
      <c r="D61" s="610">
        <f t="shared" si="0"/>
        <v>-1</v>
      </c>
      <c r="E61" s="138"/>
      <c r="F61" s="138"/>
      <c r="G61" s="138"/>
      <c r="H61" s="138"/>
      <c r="I61" s="138"/>
      <c r="J61" s="138"/>
      <c r="K61" s="138"/>
      <c r="M61" s="652" t="s">
        <v>88</v>
      </c>
      <c r="N61" s="651">
        <v>216.00424000000004</v>
      </c>
      <c r="O61" s="651">
        <v>409.38409999999999</v>
      </c>
      <c r="P61" s="718"/>
    </row>
    <row r="62" spans="1:16" ht="9.75" customHeight="1">
      <c r="A62" s="615" t="s">
        <v>229</v>
      </c>
      <c r="B62" s="747">
        <v>0</v>
      </c>
      <c r="C62" s="747">
        <v>0</v>
      </c>
      <c r="D62" s="616" t="str">
        <f t="shared" si="0"/>
        <v/>
      </c>
      <c r="E62" s="138"/>
      <c r="F62" s="138"/>
      <c r="G62" s="138"/>
      <c r="H62" s="138"/>
      <c r="I62" s="138"/>
      <c r="J62" s="138"/>
      <c r="K62" s="138"/>
      <c r="M62" s="652" t="s">
        <v>98</v>
      </c>
      <c r="N62" s="651">
        <v>278.49730999999997</v>
      </c>
      <c r="O62" s="651">
        <v>282.49957000000001</v>
      </c>
      <c r="P62" s="718"/>
    </row>
    <row r="63" spans="1:16" ht="9.75" customHeight="1">
      <c r="A63" s="614" t="s">
        <v>114</v>
      </c>
      <c r="B63" s="746">
        <v>0</v>
      </c>
      <c r="C63" s="746">
        <v>0</v>
      </c>
      <c r="D63" s="604" t="str">
        <f t="shared" si="0"/>
        <v/>
      </c>
      <c r="E63" s="138"/>
      <c r="F63" s="138"/>
      <c r="G63" s="138"/>
      <c r="H63" s="138"/>
      <c r="I63" s="138"/>
      <c r="J63" s="138"/>
      <c r="K63" s="138"/>
      <c r="M63" s="652" t="s">
        <v>230</v>
      </c>
      <c r="N63" s="651">
        <v>321.04184999999995</v>
      </c>
      <c r="O63" s="651">
        <v>469.51247000000001</v>
      </c>
      <c r="P63" s="718"/>
    </row>
    <row r="64" spans="1:16" ht="9.75" customHeight="1">
      <c r="A64" s="615" t="s">
        <v>236</v>
      </c>
      <c r="B64" s="747">
        <v>0</v>
      </c>
      <c r="C64" s="747">
        <v>0</v>
      </c>
      <c r="D64" s="616" t="str">
        <f t="shared" si="0"/>
        <v/>
      </c>
      <c r="E64" s="138"/>
      <c r="F64" s="138"/>
      <c r="G64" s="138"/>
      <c r="H64" s="138"/>
      <c r="I64" s="138"/>
      <c r="J64" s="138"/>
      <c r="K64" s="138"/>
      <c r="M64" s="652" t="s">
        <v>234</v>
      </c>
      <c r="N64" s="651">
        <v>338.88740999999999</v>
      </c>
      <c r="O64" s="651">
        <v>362.99900000000002</v>
      </c>
      <c r="P64" s="718"/>
    </row>
    <row r="65" spans="1:16" ht="9.75" customHeight="1">
      <c r="A65" s="614" t="s">
        <v>237</v>
      </c>
      <c r="B65" s="746">
        <v>0</v>
      </c>
      <c r="C65" s="746">
        <v>0</v>
      </c>
      <c r="D65" s="604" t="str">
        <f t="shared" si="0"/>
        <v/>
      </c>
      <c r="E65" s="138"/>
      <c r="F65" s="138"/>
      <c r="G65" s="138"/>
      <c r="H65" s="138"/>
      <c r="I65" s="138"/>
      <c r="J65" s="138"/>
      <c r="K65" s="138"/>
      <c r="M65" s="652" t="s">
        <v>232</v>
      </c>
      <c r="N65" s="651">
        <v>550.43043999999998</v>
      </c>
      <c r="O65" s="651">
        <v>562.50548000000003</v>
      </c>
      <c r="P65" s="718"/>
    </row>
    <row r="66" spans="1:16" ht="9.75" customHeight="1">
      <c r="A66" s="615" t="s">
        <v>100</v>
      </c>
      <c r="B66" s="747">
        <v>0</v>
      </c>
      <c r="C66" s="747">
        <v>26.05641</v>
      </c>
      <c r="D66" s="616">
        <f t="shared" si="0"/>
        <v>-1</v>
      </c>
      <c r="E66" s="138"/>
      <c r="F66" s="138"/>
      <c r="G66" s="138"/>
      <c r="H66" s="138"/>
      <c r="I66" s="138"/>
      <c r="J66" s="138"/>
      <c r="K66" s="138"/>
      <c r="M66" s="652" t="s">
        <v>86</v>
      </c>
      <c r="N66" s="654">
        <v>795.97600000000011</v>
      </c>
      <c r="O66" s="654">
        <v>823.12299999999993</v>
      </c>
      <c r="P66" s="718"/>
    </row>
    <row r="67" spans="1:16" ht="9.75" customHeight="1">
      <c r="A67" s="614" t="s">
        <v>115</v>
      </c>
      <c r="B67" s="746">
        <v>0</v>
      </c>
      <c r="C67" s="746">
        <v>0</v>
      </c>
      <c r="D67" s="604" t="str">
        <f t="shared" si="0"/>
        <v/>
      </c>
      <c r="E67" s="138"/>
      <c r="F67" s="138"/>
      <c r="G67" s="138"/>
      <c r="H67" s="138"/>
      <c r="I67" s="138"/>
      <c r="J67" s="138"/>
      <c r="K67" s="138"/>
      <c r="M67" s="652" t="s">
        <v>87</v>
      </c>
      <c r="N67" s="654">
        <v>818.88095999999996</v>
      </c>
      <c r="O67" s="654">
        <v>864.28847999999994</v>
      </c>
      <c r="P67" s="718"/>
    </row>
    <row r="68" spans="1:16" ht="9.75" customHeight="1">
      <c r="A68" s="615" t="s">
        <v>409</v>
      </c>
      <c r="B68" s="747">
        <v>0</v>
      </c>
      <c r="C68" s="747">
        <v>0</v>
      </c>
      <c r="D68" s="616" t="str">
        <f t="shared" si="0"/>
        <v/>
      </c>
      <c r="E68" s="138"/>
      <c r="F68" s="138"/>
      <c r="G68" s="138"/>
      <c r="H68" s="138"/>
      <c r="I68" s="138"/>
      <c r="J68" s="138"/>
      <c r="K68" s="138"/>
      <c r="M68" s="652" t="s">
        <v>85</v>
      </c>
      <c r="N68" s="654">
        <v>1078.4821800000002</v>
      </c>
      <c r="O68" s="654">
        <v>476.75297</v>
      </c>
      <c r="P68" s="718"/>
    </row>
    <row r="69" spans="1:16" ht="9.75" customHeight="1">
      <c r="A69" s="614" t="s">
        <v>394</v>
      </c>
      <c r="B69" s="746"/>
      <c r="C69" s="746">
        <v>0</v>
      </c>
      <c r="D69" s="604" t="str">
        <f>IF(C69=0,"",B69/C69-1)</f>
        <v/>
      </c>
      <c r="E69" s="138"/>
      <c r="F69" s="138"/>
      <c r="G69" s="138"/>
      <c r="H69" s="138"/>
      <c r="I69" s="138"/>
      <c r="J69" s="138"/>
      <c r="K69" s="138"/>
      <c r="M69" s="652" t="s">
        <v>392</v>
      </c>
      <c r="N69" s="654">
        <v>1324.3345899999999</v>
      </c>
      <c r="O69" s="654">
        <v>1265.93</v>
      </c>
      <c r="P69" s="718"/>
    </row>
    <row r="70" spans="1:16" ht="9.75" customHeight="1">
      <c r="A70" s="617" t="s">
        <v>41</v>
      </c>
      <c r="B70" s="618">
        <f>+SUM(B7:B69)</f>
        <v>7397.0539199999967</v>
      </c>
      <c r="C70" s="618">
        <f>+SUM(C7:C69)</f>
        <v>7146.7645799999982</v>
      </c>
      <c r="D70" s="619">
        <f>IF(C70=0,"",B70/C70-1)</f>
        <v>3.5021349478955299E-2</v>
      </c>
      <c r="E70" s="138"/>
      <c r="F70" s="138"/>
      <c r="G70" s="138"/>
      <c r="H70" s="138"/>
      <c r="I70" s="138"/>
      <c r="J70" s="138"/>
      <c r="K70" s="138"/>
      <c r="P70" s="718"/>
    </row>
    <row r="71" spans="1:16" ht="9.75" customHeight="1">
      <c r="E71" s="138"/>
      <c r="F71" s="138"/>
      <c r="G71" s="138"/>
      <c r="H71" s="138"/>
      <c r="I71" s="138"/>
      <c r="J71" s="138"/>
      <c r="K71" s="138"/>
      <c r="P71" s="718"/>
    </row>
    <row r="72" spans="1:16" ht="31.2" customHeight="1">
      <c r="A72" s="883" t="str">
        <f>"Cuadro N° 8: Participación de las empresas generadoras del COES en la máxima potencia coincidente (MW) en "&amp;'1. Resumen'!Q4&amp;"."</f>
        <v>Cuadro N° 8: Participación de las empresas generadoras del COES en la máxima potencia coincidente (MW) en febrero.</v>
      </c>
      <c r="B72" s="883"/>
      <c r="C72" s="883"/>
      <c r="D72" s="883"/>
      <c r="E72" s="132"/>
      <c r="F72" s="883" t="str">
        <f>"Gráfico N° 12: Comparación de la máxima potencia coincidente  (MW) de las empresas generadoras del COES en "&amp;'1. Resumen'!Q4&amp;"."</f>
        <v>Gráfico N° 12: Comparación de la máxima potencia coincidente  (MW) de las empresas generadoras del COES en febrero.</v>
      </c>
      <c r="G72" s="883"/>
      <c r="H72" s="883"/>
      <c r="I72" s="883"/>
      <c r="J72" s="883"/>
      <c r="K72" s="883"/>
    </row>
    <row r="73" spans="1:16">
      <c r="A73" s="896"/>
      <c r="B73" s="896"/>
      <c r="C73" s="896"/>
      <c r="D73" s="896"/>
      <c r="E73" s="896"/>
      <c r="F73" s="896"/>
      <c r="G73" s="896"/>
      <c r="H73" s="896"/>
      <c r="I73" s="896"/>
      <c r="J73" s="896"/>
      <c r="K73" s="896"/>
    </row>
    <row r="74" spans="1:16">
      <c r="A74" s="895"/>
      <c r="B74" s="895"/>
      <c r="C74" s="895"/>
      <c r="D74" s="895"/>
      <c r="E74" s="895"/>
      <c r="F74" s="895"/>
      <c r="G74" s="895"/>
      <c r="H74" s="895"/>
      <c r="I74" s="895"/>
      <c r="J74" s="895"/>
      <c r="K74" s="895"/>
    </row>
  </sheetData>
  <mergeCells count="9">
    <mergeCell ref="A74:K74"/>
    <mergeCell ref="A73:K73"/>
    <mergeCell ref="A72:D72"/>
    <mergeCell ref="F72:K72"/>
    <mergeCell ref="A1:K1"/>
    <mergeCell ref="A3:A6"/>
    <mergeCell ref="B3:D3"/>
    <mergeCell ref="H3:J3"/>
    <mergeCell ref="D4:D6"/>
  </mergeCells>
  <pageMargins left="0.4365" right="0.31630434782608696" top="0.80833333333333335" bottom="0.40065217391304347"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workbookViewId="0">
      <selection activeCell="D14" sqref="D14"/>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0" width="9.28515625" style="665" customWidth="1"/>
    <col min="11" max="11" width="9.28515625" style="46" customWidth="1"/>
    <col min="12" max="12" width="9.28515625" style="46"/>
    <col min="13" max="18" width="9.28515625" style="276"/>
    <col min="19" max="21" width="9.28515625" style="46"/>
    <col min="22" max="25" width="9.28515625" style="665"/>
    <col min="26" max="31" width="9.28515625" style="296"/>
    <col min="32" max="16384" width="9.28515625" style="46"/>
  </cols>
  <sheetData>
    <row r="1" spans="1:38" ht="11.25" customHeight="1"/>
    <row r="2" spans="1:38" ht="17.25" customHeight="1">
      <c r="A2" s="887" t="s">
        <v>245</v>
      </c>
      <c r="B2" s="887"/>
      <c r="C2" s="887"/>
      <c r="D2" s="887"/>
      <c r="E2" s="887"/>
      <c r="F2" s="887"/>
      <c r="G2" s="887"/>
      <c r="H2" s="887"/>
    </row>
    <row r="3" spans="1:38" ht="11.25" customHeight="1">
      <c r="A3" s="77"/>
      <c r="B3" s="77"/>
      <c r="C3" s="77"/>
      <c r="D3" s="77"/>
      <c r="E3" s="77"/>
      <c r="F3" s="82"/>
      <c r="G3" s="82"/>
      <c r="H3" s="82"/>
      <c r="I3" s="36"/>
      <c r="J3" s="664"/>
    </row>
    <row r="4" spans="1:38" ht="15.75" customHeight="1">
      <c r="A4" s="905" t="s">
        <v>417</v>
      </c>
      <c r="B4" s="905"/>
      <c r="C4" s="905"/>
      <c r="D4" s="905"/>
      <c r="E4" s="905"/>
      <c r="F4" s="905"/>
      <c r="G4" s="905"/>
      <c r="H4" s="905"/>
      <c r="I4" s="36"/>
      <c r="J4" s="664"/>
    </row>
    <row r="5" spans="1:38" ht="11.25" customHeight="1">
      <c r="A5" s="77"/>
      <c r="B5" s="164"/>
      <c r="C5" s="79"/>
      <c r="D5" s="79"/>
      <c r="E5" s="80"/>
      <c r="F5" s="76"/>
      <c r="G5" s="76"/>
      <c r="H5" s="81"/>
      <c r="I5" s="165"/>
      <c r="J5" s="693"/>
    </row>
    <row r="6" spans="1:38" ht="39" customHeight="1">
      <c r="A6" s="77"/>
      <c r="C6" s="373" t="s">
        <v>120</v>
      </c>
      <c r="D6" s="374" t="s">
        <v>800</v>
      </c>
      <c r="E6" s="374" t="s">
        <v>801</v>
      </c>
      <c r="F6" s="375" t="s">
        <v>121</v>
      </c>
      <c r="G6" s="169"/>
      <c r="H6" s="170"/>
    </row>
    <row r="7" spans="1:38" ht="11.25" customHeight="1">
      <c r="A7" s="77"/>
      <c r="C7" s="756" t="s">
        <v>122</v>
      </c>
      <c r="D7" s="757">
        <v>19.271999359130799</v>
      </c>
      <c r="E7" s="545">
        <v>24.764999389648398</v>
      </c>
      <c r="F7" s="413">
        <f>IF(E7=0,"",(D7-E7)/E7)</f>
        <v>-0.2218049733856903</v>
      </c>
      <c r="G7" s="137"/>
      <c r="H7" s="264"/>
    </row>
    <row r="8" spans="1:38" ht="11.25" customHeight="1">
      <c r="A8" s="77"/>
      <c r="C8" s="758" t="s">
        <v>123</v>
      </c>
      <c r="D8" s="759">
        <v>82.165000915527301</v>
      </c>
      <c r="E8" s="414">
        <v>115.639999389648</v>
      </c>
      <c r="F8" s="415">
        <f t="shared" ref="F8:F20" si="0">IF(E8=0,"",(D8-E8)/E8)</f>
        <v>-0.28947594820825773</v>
      </c>
      <c r="G8" s="137"/>
      <c r="H8" s="264"/>
    </row>
    <row r="9" spans="1:38" ht="11.25" customHeight="1">
      <c r="A9" s="77"/>
      <c r="C9" s="760" t="s">
        <v>124</v>
      </c>
      <c r="D9" s="761">
        <v>64.662002563476506</v>
      </c>
      <c r="E9" s="416">
        <v>101.639999389648</v>
      </c>
      <c r="F9" s="417">
        <f t="shared" si="0"/>
        <v>-0.36381343022654217</v>
      </c>
      <c r="G9" s="137"/>
      <c r="H9" s="264"/>
      <c r="M9" s="622" t="s">
        <v>251</v>
      </c>
      <c r="N9" s="277"/>
      <c r="O9" s="277"/>
      <c r="P9" s="277"/>
      <c r="Q9" s="277"/>
      <c r="R9" s="277"/>
      <c r="S9"/>
      <c r="T9"/>
      <c r="U9"/>
      <c r="V9" s="662"/>
      <c r="W9" s="662"/>
      <c r="X9" s="662"/>
      <c r="Y9" s="662"/>
      <c r="Z9" s="297"/>
      <c r="AA9" s="297"/>
      <c r="AB9" s="297"/>
      <c r="AC9" s="297"/>
      <c r="AD9" s="297"/>
      <c r="AE9" s="297"/>
      <c r="AF9" s="215"/>
      <c r="AG9" s="215"/>
      <c r="AH9" s="215"/>
      <c r="AI9" s="215"/>
      <c r="AJ9" s="215"/>
      <c r="AK9" s="215"/>
      <c r="AL9" s="215"/>
    </row>
    <row r="10" spans="1:38" ht="11.25" customHeight="1">
      <c r="A10" s="77"/>
      <c r="C10" s="758" t="s">
        <v>125</v>
      </c>
      <c r="D10" s="759">
        <v>33.186000823974602</v>
      </c>
      <c r="E10" s="414">
        <v>75.400001525878906</v>
      </c>
      <c r="F10" s="415">
        <f t="shared" si="0"/>
        <v>-0.55986737198427705</v>
      </c>
      <c r="G10" s="137"/>
      <c r="H10" s="264"/>
      <c r="M10" s="622" t="s">
        <v>252</v>
      </c>
      <c r="N10" s="277"/>
      <c r="O10" s="277"/>
      <c r="P10" s="277"/>
      <c r="Q10" s="277"/>
      <c r="R10" s="277"/>
      <c r="S10"/>
      <c r="T10"/>
      <c r="AD10" s="297"/>
      <c r="AE10" s="297"/>
      <c r="AF10" s="215"/>
      <c r="AG10" s="215"/>
      <c r="AH10" s="215"/>
      <c r="AI10" s="215"/>
      <c r="AJ10" s="215"/>
      <c r="AK10" s="215"/>
      <c r="AL10" s="215"/>
    </row>
    <row r="11" spans="1:38" ht="11.25" customHeight="1">
      <c r="A11" s="77"/>
      <c r="C11" s="760" t="s">
        <v>126</v>
      </c>
      <c r="D11" s="761">
        <v>12.5719995498657</v>
      </c>
      <c r="E11" s="416">
        <v>33.189998626708899</v>
      </c>
      <c r="F11" s="417">
        <f>IF(E11=0,"",(D11-E11)/E11)</f>
        <v>-0.62121120608457425</v>
      </c>
      <c r="G11" s="137"/>
      <c r="H11" s="264"/>
      <c r="M11" s="277"/>
      <c r="N11" s="623">
        <v>2020</v>
      </c>
      <c r="O11" s="623">
        <v>2021</v>
      </c>
      <c r="P11" s="623">
        <v>2022</v>
      </c>
      <c r="Q11" s="623">
        <v>2023</v>
      </c>
      <c r="R11" s="277"/>
      <c r="S11"/>
      <c r="T11"/>
      <c r="AD11" s="297"/>
      <c r="AE11" s="297"/>
      <c r="AF11" s="215"/>
      <c r="AG11" s="215"/>
      <c r="AH11" s="215"/>
      <c r="AI11" s="215"/>
      <c r="AJ11" s="215"/>
      <c r="AK11" s="215"/>
      <c r="AL11" s="215"/>
    </row>
    <row r="12" spans="1:38" ht="11.25" customHeight="1">
      <c r="A12" s="77"/>
      <c r="C12" s="758" t="s">
        <v>127</v>
      </c>
      <c r="D12" s="759">
        <v>11.949999809265099</v>
      </c>
      <c r="E12" s="414">
        <v>15.399999618530201</v>
      </c>
      <c r="F12" s="415">
        <f t="shared" si="0"/>
        <v>-0.22402596718988585</v>
      </c>
      <c r="G12" s="137"/>
      <c r="H12" s="264"/>
      <c r="M12" s="624">
        <v>1</v>
      </c>
      <c r="N12" s="625">
        <v>117.290000915527</v>
      </c>
      <c r="O12" s="625">
        <v>129.00799559999999</v>
      </c>
      <c r="P12" s="625">
        <v>126.9000015</v>
      </c>
      <c r="Q12" s="701">
        <v>80.403999330000005</v>
      </c>
      <c r="R12" s="277"/>
      <c r="S12"/>
      <c r="T12"/>
      <c r="AD12" s="297"/>
      <c r="AE12" s="297"/>
      <c r="AF12" s="215"/>
      <c r="AG12" s="215"/>
      <c r="AH12" s="215"/>
      <c r="AI12" s="215"/>
      <c r="AJ12" s="215"/>
      <c r="AK12" s="215"/>
      <c r="AL12" s="215"/>
    </row>
    <row r="13" spans="1:38" ht="11.25" customHeight="1">
      <c r="A13" s="77"/>
      <c r="C13" s="760" t="s">
        <v>128</v>
      </c>
      <c r="D13" s="761">
        <v>39.380001068115199</v>
      </c>
      <c r="E13" s="416">
        <v>103.059997558593</v>
      </c>
      <c r="F13" s="417">
        <f t="shared" si="0"/>
        <v>-0.61789247039593254</v>
      </c>
      <c r="G13" s="137"/>
      <c r="H13" s="264"/>
      <c r="M13" s="624">
        <v>2</v>
      </c>
      <c r="N13" s="625">
        <v>146.93600459999999</v>
      </c>
      <c r="O13" s="625">
        <v>140.9219971</v>
      </c>
      <c r="P13" s="625">
        <v>126.61000060000001</v>
      </c>
      <c r="Q13" s="701">
        <v>84.577003480000002</v>
      </c>
      <c r="R13" s="277"/>
      <c r="S13"/>
      <c r="T13"/>
      <c r="AD13" s="297"/>
      <c r="AE13" s="297"/>
      <c r="AF13" s="215"/>
      <c r="AG13" s="215"/>
      <c r="AH13" s="215"/>
      <c r="AI13" s="215"/>
      <c r="AJ13" s="215"/>
      <c r="AK13" s="215"/>
      <c r="AL13" s="215"/>
    </row>
    <row r="14" spans="1:38" ht="11.25" customHeight="1">
      <c r="A14" s="77"/>
      <c r="C14" s="758" t="s">
        <v>129</v>
      </c>
      <c r="D14" s="759">
        <v>231.69900512695301</v>
      </c>
      <c r="E14" s="414">
        <v>239.72999572753901</v>
      </c>
      <c r="F14" s="415">
        <f t="shared" si="0"/>
        <v>-3.3500149099879341E-2</v>
      </c>
      <c r="G14" s="137"/>
      <c r="H14" s="264"/>
      <c r="M14" s="624">
        <v>3</v>
      </c>
      <c r="N14" s="625">
        <v>149.93200680000001</v>
      </c>
      <c r="O14" s="625">
        <v>146.8099976</v>
      </c>
      <c r="P14" s="625">
        <v>130.51999660000001</v>
      </c>
      <c r="Q14" s="701">
        <v>84.956001281738196</v>
      </c>
      <c r="R14" s="277"/>
      <c r="S14"/>
      <c r="T14"/>
      <c r="AD14" s="297"/>
      <c r="AE14" s="297"/>
      <c r="AF14" s="215"/>
      <c r="AG14" s="215"/>
      <c r="AH14" s="215"/>
      <c r="AI14" s="215"/>
      <c r="AJ14" s="215"/>
      <c r="AK14" s="215"/>
      <c r="AL14" s="215"/>
    </row>
    <row r="15" spans="1:38" ht="11.25" customHeight="1">
      <c r="A15" s="77"/>
      <c r="C15" s="760" t="s">
        <v>130</v>
      </c>
      <c r="D15" s="761">
        <v>9.75</v>
      </c>
      <c r="E15" s="416">
        <v>57.590000152587798</v>
      </c>
      <c r="F15" s="417">
        <f t="shared" si="0"/>
        <v>-0.83069977471493572</v>
      </c>
      <c r="G15" s="137"/>
      <c r="H15" s="264"/>
      <c r="M15" s="624">
        <v>4</v>
      </c>
      <c r="N15" s="625">
        <v>152.6190033</v>
      </c>
      <c r="O15" s="625">
        <v>159.0500031</v>
      </c>
      <c r="P15" s="625">
        <v>137.43000029999999</v>
      </c>
      <c r="Q15" s="701">
        <v>88.667999269999996</v>
      </c>
      <c r="R15" s="277"/>
      <c r="S15"/>
      <c r="T15"/>
      <c r="AD15" s="297"/>
      <c r="AE15" s="297"/>
      <c r="AF15" s="215"/>
      <c r="AG15" s="215"/>
      <c r="AH15" s="215"/>
      <c r="AI15" s="215"/>
      <c r="AJ15" s="215"/>
      <c r="AK15" s="215"/>
      <c r="AL15" s="215"/>
    </row>
    <row r="16" spans="1:38" ht="11.25" customHeight="1">
      <c r="A16" s="77"/>
      <c r="C16" s="758" t="s">
        <v>131</v>
      </c>
      <c r="D16" s="759">
        <v>107.59600067138599</v>
      </c>
      <c r="E16" s="414">
        <v>286.72698974609301</v>
      </c>
      <c r="F16" s="415">
        <f t="shared" si="0"/>
        <v>-0.62474407879542115</v>
      </c>
      <c r="G16" s="137"/>
      <c r="H16" s="264"/>
      <c r="M16" s="624">
        <v>5</v>
      </c>
      <c r="N16" s="625">
        <v>162.19599909999999</v>
      </c>
      <c r="O16" s="625">
        <v>174.75</v>
      </c>
      <c r="P16" s="625">
        <v>153.3059998</v>
      </c>
      <c r="Q16" s="701">
        <v>92.379997258261795</v>
      </c>
      <c r="R16" s="277"/>
      <c r="S16"/>
      <c r="T16"/>
      <c r="AD16" s="297"/>
      <c r="AE16" s="297"/>
      <c r="AF16" s="215"/>
      <c r="AG16" s="215"/>
      <c r="AH16" s="215"/>
      <c r="AI16" s="215"/>
      <c r="AJ16" s="215"/>
      <c r="AK16" s="215"/>
      <c r="AL16" s="215"/>
    </row>
    <row r="17" spans="1:38" ht="11.25" customHeight="1">
      <c r="A17" s="77"/>
      <c r="C17" s="760" t="s">
        <v>132</v>
      </c>
      <c r="D17" s="761">
        <v>91.519996643066406</v>
      </c>
      <c r="E17" s="416">
        <v>118.220001220703</v>
      </c>
      <c r="F17" s="417">
        <f t="shared" si="0"/>
        <v>-0.22585014635375267</v>
      </c>
      <c r="G17" s="137"/>
      <c r="H17" s="264"/>
      <c r="M17" s="624">
        <v>6</v>
      </c>
      <c r="N17" s="625">
        <v>168.51100158691401</v>
      </c>
      <c r="O17" s="625">
        <v>179.64900209999999</v>
      </c>
      <c r="P17" s="625">
        <v>137.3439941</v>
      </c>
      <c r="Q17" s="701">
        <v>102.379997253418</v>
      </c>
      <c r="R17" s="277"/>
      <c r="S17"/>
      <c r="T17"/>
      <c r="AD17" s="297"/>
      <c r="AE17" s="297"/>
      <c r="AF17" s="215"/>
      <c r="AG17" s="215"/>
      <c r="AH17" s="215"/>
      <c r="AI17" s="215"/>
      <c r="AJ17" s="215"/>
      <c r="AK17" s="215"/>
      <c r="AL17" s="215"/>
    </row>
    <row r="18" spans="1:38" ht="11.25" customHeight="1">
      <c r="A18" s="77"/>
      <c r="C18" s="758" t="s">
        <v>133</v>
      </c>
      <c r="D18" s="759">
        <v>11.310000419616699</v>
      </c>
      <c r="E18" s="414">
        <v>12.1490001678466</v>
      </c>
      <c r="F18" s="415">
        <f t="shared" si="0"/>
        <v>-6.9059160148041435E-2</v>
      </c>
      <c r="G18" s="137"/>
      <c r="H18" s="264"/>
      <c r="M18" s="624">
        <v>7</v>
      </c>
      <c r="N18" s="625">
        <v>175.46800229999999</v>
      </c>
      <c r="O18" s="625">
        <v>184.3</v>
      </c>
      <c r="P18" s="625">
        <v>148.73699569999999</v>
      </c>
      <c r="Q18" s="701">
        <v>108.6900024</v>
      </c>
      <c r="R18" s="277"/>
      <c r="S18"/>
      <c r="T18"/>
      <c r="AD18" s="297"/>
      <c r="AE18" s="297"/>
      <c r="AF18" s="215"/>
      <c r="AG18" s="215"/>
      <c r="AH18" s="215"/>
      <c r="AI18" s="215"/>
      <c r="AJ18" s="215"/>
      <c r="AK18" s="215"/>
      <c r="AL18" s="215"/>
    </row>
    <row r="19" spans="1:38" ht="12.75" customHeight="1">
      <c r="A19" s="77"/>
      <c r="C19" s="760" t="s">
        <v>134</v>
      </c>
      <c r="D19" s="761">
        <v>20.3619995117187</v>
      </c>
      <c r="E19" s="416">
        <v>54.125</v>
      </c>
      <c r="F19" s="417">
        <f t="shared" si="0"/>
        <v>-0.62379677576501247</v>
      </c>
      <c r="G19" s="137"/>
      <c r="H19" s="264"/>
      <c r="M19" s="624">
        <v>8</v>
      </c>
      <c r="N19" s="625">
        <v>188.82800292968699</v>
      </c>
      <c r="O19" s="625">
        <v>186.76999999999998</v>
      </c>
      <c r="P19" s="625">
        <v>152.691</v>
      </c>
      <c r="Q19" s="701">
        <v>120.7900009</v>
      </c>
      <c r="R19" s="277"/>
      <c r="S19"/>
      <c r="T19"/>
      <c r="AD19" s="297"/>
      <c r="AE19" s="297"/>
      <c r="AF19" s="215"/>
      <c r="AG19" s="215"/>
      <c r="AH19" s="215"/>
      <c r="AI19" s="215"/>
      <c r="AJ19" s="215"/>
      <c r="AK19" s="215"/>
      <c r="AL19" s="215"/>
    </row>
    <row r="20" spans="1:38" ht="13.5" customHeight="1">
      <c r="A20" s="77"/>
      <c r="C20" s="758" t="s">
        <v>135</v>
      </c>
      <c r="D20" s="759">
        <v>14.796999931335399</v>
      </c>
      <c r="E20" s="414">
        <v>16.191999435424801</v>
      </c>
      <c r="F20" s="415">
        <f t="shared" si="0"/>
        <v>-8.6153628503557539E-2</v>
      </c>
      <c r="G20" s="137"/>
      <c r="H20" s="264"/>
      <c r="M20" s="624">
        <v>9</v>
      </c>
      <c r="N20" s="625">
        <v>196.47700499999999</v>
      </c>
      <c r="O20" s="625">
        <v>193.21000671386699</v>
      </c>
      <c r="P20" s="625">
        <v>167.3399963</v>
      </c>
      <c r="Q20" s="701">
        <v>135.97399902343699</v>
      </c>
      <c r="R20" s="277"/>
      <c r="S20"/>
      <c r="T20"/>
      <c r="AD20" s="297"/>
      <c r="AE20" s="297"/>
      <c r="AF20" s="215"/>
      <c r="AG20" s="215"/>
      <c r="AH20" s="215"/>
      <c r="AI20" s="215"/>
      <c r="AJ20" s="215"/>
      <c r="AK20" s="215"/>
      <c r="AL20" s="215"/>
    </row>
    <row r="21" spans="1:38" ht="11.25" customHeight="1">
      <c r="A21" s="77"/>
      <c r="C21" s="760" t="s">
        <v>136</v>
      </c>
      <c r="D21" s="761">
        <v>4.34800004959106</v>
      </c>
      <c r="E21" s="416">
        <v>4.2140002250671298</v>
      </c>
      <c r="F21" s="417">
        <f t="shared" ref="F21:F27" si="1">IF(E21=0,"",(D21-E21)/E21)</f>
        <v>3.1798722678472467E-2</v>
      </c>
      <c r="M21" s="624">
        <v>10</v>
      </c>
      <c r="N21" s="625">
        <v>199.98199460000001</v>
      </c>
      <c r="O21" s="625">
        <v>196.71000670000001</v>
      </c>
      <c r="P21" s="625">
        <v>164.90809684999999</v>
      </c>
      <c r="Q21" s="701"/>
      <c r="R21" s="277"/>
      <c r="S21"/>
      <c r="T21"/>
      <c r="AD21" s="297"/>
      <c r="AE21" s="297"/>
      <c r="AF21" s="215"/>
      <c r="AG21" s="215"/>
      <c r="AH21" s="215"/>
      <c r="AI21" s="215"/>
      <c r="AJ21" s="215"/>
      <c r="AK21" s="215"/>
      <c r="AL21" s="215"/>
    </row>
    <row r="22" spans="1:38" ht="11.25" customHeight="1">
      <c r="A22" s="77"/>
      <c r="C22" s="758" t="s">
        <v>137</v>
      </c>
      <c r="D22" s="759">
        <v>7.83500003814697</v>
      </c>
      <c r="E22" s="414">
        <v>7.83500003814697</v>
      </c>
      <c r="F22" s="415">
        <f t="shared" si="1"/>
        <v>0</v>
      </c>
      <c r="G22" s="137"/>
      <c r="H22" s="264"/>
      <c r="M22" s="624">
        <v>11</v>
      </c>
      <c r="N22" s="625">
        <v>200.89500430000001</v>
      </c>
      <c r="O22" s="625">
        <v>203.61799619999999</v>
      </c>
      <c r="P22" s="625">
        <v>184.82999999999998</v>
      </c>
      <c r="Q22" s="626"/>
      <c r="AF22" s="265"/>
      <c r="AG22" s="265"/>
      <c r="AH22" s="265"/>
      <c r="AI22" s="265"/>
      <c r="AJ22" s="265"/>
      <c r="AK22" s="265"/>
      <c r="AL22" s="265"/>
    </row>
    <row r="23" spans="1:38" ht="11.25" customHeight="1">
      <c r="A23" s="77"/>
      <c r="C23" s="760" t="s">
        <v>399</v>
      </c>
      <c r="D23" s="761">
        <v>7.6409997940063397</v>
      </c>
      <c r="E23" s="416">
        <v>7.1209998130798304</v>
      </c>
      <c r="F23" s="417">
        <f t="shared" si="1"/>
        <v>7.3023451000711281E-2</v>
      </c>
      <c r="G23" s="137"/>
      <c r="H23" s="264"/>
      <c r="M23" s="624">
        <v>12</v>
      </c>
      <c r="N23" s="625">
        <v>210.61200000000002</v>
      </c>
      <c r="O23" s="625">
        <v>209.9909973</v>
      </c>
      <c r="P23" s="625">
        <v>191.4409943</v>
      </c>
      <c r="Q23" s="626"/>
      <c r="AF23" s="265"/>
      <c r="AG23" s="265"/>
      <c r="AH23" s="265"/>
      <c r="AI23" s="265"/>
      <c r="AJ23" s="265"/>
      <c r="AK23" s="265"/>
      <c r="AL23" s="265"/>
    </row>
    <row r="24" spans="1:38" ht="11.25" customHeight="1">
      <c r="A24" s="77"/>
      <c r="C24" s="758" t="s">
        <v>138</v>
      </c>
      <c r="D24" s="759">
        <v>108.69000244140599</v>
      </c>
      <c r="E24" s="414">
        <v>152.690994262695</v>
      </c>
      <c r="F24" s="415">
        <f t="shared" si="1"/>
        <v>-0.28817018340707207</v>
      </c>
      <c r="G24" s="137"/>
      <c r="H24" s="264"/>
      <c r="M24" s="624">
        <v>13</v>
      </c>
      <c r="N24" s="625">
        <v>221.91900634765599</v>
      </c>
      <c r="O24" s="625">
        <v>219.56300350000001</v>
      </c>
      <c r="P24" s="625">
        <v>207.84</v>
      </c>
      <c r="Q24" s="626"/>
      <c r="AF24" s="265"/>
      <c r="AG24" s="265"/>
      <c r="AH24" s="265"/>
      <c r="AI24" s="265"/>
      <c r="AJ24" s="265"/>
      <c r="AK24" s="265"/>
      <c r="AL24" s="265"/>
    </row>
    <row r="25" spans="1:38" ht="11.25" customHeight="1">
      <c r="A25" s="77"/>
      <c r="C25" s="760" t="s">
        <v>139</v>
      </c>
      <c r="D25" s="761">
        <v>21.799999237060501</v>
      </c>
      <c r="E25" s="416">
        <v>32.831001281738203</v>
      </c>
      <c r="F25" s="417">
        <f t="shared" si="1"/>
        <v>-0.33599347001376856</v>
      </c>
      <c r="G25" s="137"/>
      <c r="H25" s="264"/>
      <c r="M25" s="624">
        <v>14</v>
      </c>
      <c r="N25" s="625">
        <v>223.19599909999999</v>
      </c>
      <c r="O25" s="625">
        <v>225.1629944</v>
      </c>
      <c r="P25" s="625">
        <v>216.294998168945</v>
      </c>
      <c r="Q25" s="626"/>
      <c r="AF25" s="265"/>
      <c r="AG25" s="265"/>
      <c r="AH25" s="265"/>
      <c r="AI25" s="265"/>
      <c r="AJ25" s="265"/>
      <c r="AK25" s="265"/>
      <c r="AL25" s="265"/>
    </row>
    <row r="26" spans="1:38" ht="11.25" customHeight="1">
      <c r="A26" s="77"/>
      <c r="C26" s="758" t="s">
        <v>140</v>
      </c>
      <c r="D26" s="759">
        <v>46.31</v>
      </c>
      <c r="E26" s="414">
        <v>36.835000000000001</v>
      </c>
      <c r="F26" s="415">
        <f t="shared" si="1"/>
        <v>0.25722817972037465</v>
      </c>
      <c r="G26" s="137"/>
      <c r="H26" s="137"/>
      <c r="M26" s="624">
        <v>15</v>
      </c>
      <c r="N26" s="625">
        <v>225.0500031</v>
      </c>
      <c r="O26" s="625">
        <v>224.9100037</v>
      </c>
      <c r="P26" s="625">
        <v>220.08099369999999</v>
      </c>
      <c r="Q26" s="626"/>
      <c r="AF26" s="265"/>
      <c r="AG26" s="265"/>
      <c r="AH26" s="265"/>
      <c r="AI26" s="265"/>
      <c r="AJ26" s="265"/>
      <c r="AK26" s="265"/>
      <c r="AL26" s="265"/>
    </row>
    <row r="27" spans="1:38" ht="11.25" customHeight="1">
      <c r="A27" s="77"/>
      <c r="C27" s="762" t="s">
        <v>141</v>
      </c>
      <c r="D27" s="763">
        <v>105.13500213623</v>
      </c>
      <c r="E27" s="416">
        <v>296.41198730468699</v>
      </c>
      <c r="F27" s="417">
        <f t="shared" si="1"/>
        <v>-0.64530785987356198</v>
      </c>
      <c r="G27" s="137"/>
      <c r="H27" s="137"/>
      <c r="M27" s="624">
        <v>16</v>
      </c>
      <c r="N27" s="625">
        <v>224.84800720000001</v>
      </c>
      <c r="O27" s="625">
        <v>224.5</v>
      </c>
      <c r="P27" s="625">
        <v>221.83999633789</v>
      </c>
      <c r="Q27" s="626"/>
      <c r="AF27" s="265"/>
      <c r="AG27" s="265"/>
      <c r="AH27" s="265"/>
      <c r="AI27" s="265"/>
      <c r="AJ27" s="265"/>
      <c r="AK27" s="265"/>
      <c r="AL27" s="265"/>
    </row>
    <row r="28" spans="1:38" ht="26.25" customHeight="1">
      <c r="A28" s="77"/>
      <c r="C28" s="906" t="str">
        <f>"Cuadro N°9: Volumen útil de los principales embalses y lagunas del SEIN al término del periodo mensual ("&amp;'1. Resumen'!Q7&amp;" de "&amp;'1. Resumen'!Q4&amp;") "</f>
        <v xml:space="preserve">Cuadro N°9: Volumen útil de los principales embalses y lagunas del SEIN al término del periodo mensual (28 de febrero) </v>
      </c>
      <c r="D28" s="906"/>
      <c r="E28" s="906"/>
      <c r="F28" s="906"/>
      <c r="G28" s="137"/>
      <c r="H28" s="137"/>
      <c r="M28" s="624">
        <v>17</v>
      </c>
      <c r="N28" s="625">
        <v>225.27900695800699</v>
      </c>
      <c r="O28" s="625">
        <v>225.58500670000001</v>
      </c>
      <c r="P28" s="625">
        <v>220.96049318788999</v>
      </c>
      <c r="Q28" s="626"/>
      <c r="AF28" s="265"/>
      <c r="AG28" s="265"/>
      <c r="AH28" s="265"/>
      <c r="AI28" s="265"/>
      <c r="AJ28" s="265"/>
      <c r="AK28" s="265"/>
      <c r="AL28" s="265"/>
    </row>
    <row r="29" spans="1:38" ht="12" customHeight="1">
      <c r="A29" s="75"/>
      <c r="G29" s="137"/>
      <c r="H29" s="137"/>
      <c r="I29" s="167"/>
      <c r="J29" s="694"/>
      <c r="M29" s="624">
        <v>18</v>
      </c>
      <c r="N29" s="625">
        <v>226.44200129999999</v>
      </c>
      <c r="O29" s="625">
        <v>225.2599945</v>
      </c>
      <c r="P29" s="625">
        <v>221.41</v>
      </c>
      <c r="Q29" s="626"/>
      <c r="AF29" s="265"/>
      <c r="AG29" s="265"/>
      <c r="AH29" s="265"/>
      <c r="AI29" s="265"/>
      <c r="AJ29" s="265"/>
      <c r="AK29" s="265"/>
      <c r="AL29" s="265"/>
    </row>
    <row r="30" spans="1:38" ht="11.25" customHeight="1">
      <c r="A30" s="75"/>
      <c r="B30" s="173"/>
      <c r="C30" s="173"/>
      <c r="D30" s="173"/>
      <c r="E30" s="173"/>
      <c r="F30" s="171"/>
      <c r="G30" s="137"/>
      <c r="H30" s="137"/>
      <c r="M30" s="624">
        <v>19</v>
      </c>
      <c r="N30" s="625">
        <v>227.14199830000001</v>
      </c>
      <c r="O30" s="625">
        <v>225.3280029</v>
      </c>
      <c r="P30" s="625">
        <v>222.52999877929599</v>
      </c>
      <c r="Q30" s="626"/>
      <c r="AF30" s="265"/>
      <c r="AG30" s="265"/>
      <c r="AH30" s="265"/>
      <c r="AI30" s="265"/>
      <c r="AJ30" s="265"/>
      <c r="AK30" s="265"/>
      <c r="AL30" s="265"/>
    </row>
    <row r="31" spans="1:38" ht="3.6" customHeight="1">
      <c r="A31" s="75"/>
      <c r="B31" s="173"/>
      <c r="C31" s="173"/>
      <c r="D31" s="173"/>
      <c r="E31" s="173"/>
      <c r="F31" s="171"/>
      <c r="G31" s="171"/>
      <c r="H31" s="171"/>
      <c r="I31" s="167"/>
      <c r="J31" s="694"/>
      <c r="M31" s="624">
        <v>20</v>
      </c>
      <c r="N31" s="625">
        <v>227.625</v>
      </c>
      <c r="O31" s="625">
        <v>225.2279968</v>
      </c>
      <c r="P31" s="625">
        <v>222.47799682617099</v>
      </c>
      <c r="Q31" s="626"/>
      <c r="AF31" s="265"/>
      <c r="AG31" s="265"/>
      <c r="AH31" s="265"/>
      <c r="AI31" s="265"/>
      <c r="AJ31" s="265"/>
      <c r="AK31" s="265"/>
      <c r="AL31" s="265"/>
    </row>
    <row r="32" spans="1:38" ht="13.5" customHeight="1">
      <c r="A32" s="905" t="s">
        <v>416</v>
      </c>
      <c r="B32" s="905"/>
      <c r="C32" s="905"/>
      <c r="D32" s="905"/>
      <c r="E32" s="905"/>
      <c r="F32" s="905"/>
      <c r="G32" s="905"/>
      <c r="H32" s="905"/>
      <c r="I32" s="56"/>
      <c r="J32" s="694"/>
      <c r="M32" s="624">
        <v>21</v>
      </c>
      <c r="N32" s="625">
        <v>227.75800000000001</v>
      </c>
      <c r="O32" s="625">
        <v>225.25399780000001</v>
      </c>
      <c r="P32" s="625">
        <v>221.33000183105401</v>
      </c>
      <c r="Q32" s="626"/>
      <c r="AF32" s="265"/>
      <c r="AG32" s="265"/>
      <c r="AH32" s="265"/>
      <c r="AI32" s="265"/>
      <c r="AJ32" s="265"/>
      <c r="AK32" s="265"/>
      <c r="AL32" s="265"/>
    </row>
    <row r="33" spans="1:38" ht="11.25" customHeight="1">
      <c r="A33" s="75"/>
      <c r="B33" s="82"/>
      <c r="C33" s="82"/>
      <c r="D33" s="82"/>
      <c r="E33" s="82"/>
      <c r="F33" s="82"/>
      <c r="G33" s="82"/>
      <c r="H33" s="82"/>
      <c r="I33" s="56"/>
      <c r="J33" s="694"/>
      <c r="M33" s="624">
        <v>22</v>
      </c>
      <c r="N33" s="625">
        <v>226.41700739999999</v>
      </c>
      <c r="O33" s="625">
        <v>223.9129944</v>
      </c>
      <c r="P33" s="625">
        <v>221.8000031</v>
      </c>
      <c r="Q33" s="626"/>
      <c r="AF33" s="265"/>
      <c r="AG33" s="265"/>
      <c r="AH33" s="265"/>
      <c r="AI33" s="265"/>
      <c r="AJ33" s="265"/>
      <c r="AK33" s="265"/>
      <c r="AL33" s="265"/>
    </row>
    <row r="34" spans="1:38" ht="11.25" customHeight="1">
      <c r="A34" s="75"/>
      <c r="B34" s="82"/>
      <c r="C34" s="82"/>
      <c r="D34" s="82"/>
      <c r="E34" s="82"/>
      <c r="F34" s="82"/>
      <c r="G34" s="82"/>
      <c r="H34" s="82"/>
      <c r="I34" s="56"/>
      <c r="J34" s="694"/>
      <c r="M34" s="624">
        <v>23</v>
      </c>
      <c r="N34" s="625">
        <v>224.4589996</v>
      </c>
      <c r="O34" s="625">
        <v>221.64599609999999</v>
      </c>
      <c r="P34" s="625">
        <v>218.83000183105401</v>
      </c>
      <c r="Q34" s="626"/>
      <c r="AF34" s="265"/>
      <c r="AG34" s="265"/>
      <c r="AH34" s="265"/>
      <c r="AI34" s="265"/>
      <c r="AJ34" s="265"/>
      <c r="AK34" s="265"/>
      <c r="AL34" s="265"/>
    </row>
    <row r="35" spans="1:38" ht="11.25" customHeight="1">
      <c r="A35" s="75"/>
      <c r="B35" s="82"/>
      <c r="C35" s="82"/>
      <c r="D35" s="82"/>
      <c r="E35" s="82"/>
      <c r="F35" s="82"/>
      <c r="G35" s="82"/>
      <c r="H35" s="82"/>
      <c r="I35" s="168"/>
      <c r="J35" s="694"/>
      <c r="M35" s="624">
        <v>24</v>
      </c>
      <c r="N35" s="625">
        <v>220.634994506835</v>
      </c>
      <c r="O35" s="625">
        <v>218.4100037</v>
      </c>
      <c r="P35" s="625">
        <v>217.02000430000001</v>
      </c>
      <c r="Q35" s="626"/>
      <c r="AF35" s="265"/>
      <c r="AG35" s="265"/>
      <c r="AH35" s="265"/>
      <c r="AI35" s="265"/>
      <c r="AJ35" s="265"/>
      <c r="AK35" s="265"/>
      <c r="AL35" s="265"/>
    </row>
    <row r="36" spans="1:38" ht="11.25" customHeight="1">
      <c r="A36" s="75"/>
      <c r="B36" s="82"/>
      <c r="C36" s="82"/>
      <c r="D36" s="82"/>
      <c r="E36" s="82"/>
      <c r="F36" s="82"/>
      <c r="G36" s="82"/>
      <c r="H36" s="82"/>
      <c r="I36" s="56"/>
      <c r="J36" s="694"/>
      <c r="M36" s="624">
        <v>25</v>
      </c>
      <c r="N36" s="625">
        <v>218.28599550000001</v>
      </c>
      <c r="O36" s="625">
        <v>215.33500670000001</v>
      </c>
      <c r="P36" s="625">
        <v>214.76800539999999</v>
      </c>
      <c r="Q36" s="626"/>
      <c r="AF36" s="265"/>
      <c r="AG36" s="265"/>
      <c r="AH36" s="265"/>
      <c r="AI36" s="265"/>
      <c r="AJ36" s="265"/>
      <c r="AK36" s="265"/>
      <c r="AL36" s="265"/>
    </row>
    <row r="37" spans="1:38" ht="11.25" customHeight="1">
      <c r="A37" s="75"/>
      <c r="B37" s="82"/>
      <c r="C37" s="82"/>
      <c r="D37" s="82"/>
      <c r="E37" s="82"/>
      <c r="F37" s="82"/>
      <c r="G37" s="82"/>
      <c r="H37" s="82"/>
      <c r="I37" s="56"/>
      <c r="J37" s="695"/>
      <c r="M37" s="624">
        <v>26</v>
      </c>
      <c r="N37" s="625">
        <v>214.90499879999999</v>
      </c>
      <c r="O37" s="625">
        <v>212.2720032</v>
      </c>
      <c r="P37" s="625">
        <v>212.9750061</v>
      </c>
      <c r="Q37" s="626"/>
      <c r="AF37" s="265"/>
      <c r="AG37" s="265"/>
      <c r="AH37" s="265"/>
      <c r="AI37" s="265"/>
      <c r="AJ37" s="265"/>
      <c r="AK37" s="265"/>
      <c r="AL37" s="265"/>
    </row>
    <row r="38" spans="1:38" ht="11.25" customHeight="1">
      <c r="A38" s="75"/>
      <c r="B38" s="82"/>
      <c r="C38" s="82"/>
      <c r="D38" s="82"/>
      <c r="E38" s="82"/>
      <c r="F38" s="82"/>
      <c r="G38" s="82"/>
      <c r="H38" s="82"/>
      <c r="I38" s="56"/>
      <c r="J38" s="695"/>
      <c r="M38" s="624">
        <v>27</v>
      </c>
      <c r="N38" s="625">
        <v>210.91799926757801</v>
      </c>
      <c r="O38" s="625">
        <v>209.19900509999999</v>
      </c>
      <c r="P38" s="625">
        <v>210.75</v>
      </c>
      <c r="Q38" s="626"/>
      <c r="AF38" s="265"/>
      <c r="AG38" s="265"/>
      <c r="AH38" s="265"/>
      <c r="AI38" s="265"/>
      <c r="AJ38" s="265"/>
      <c r="AK38" s="265"/>
      <c r="AL38" s="265"/>
    </row>
    <row r="39" spans="1:38" ht="11.25" customHeight="1">
      <c r="A39" s="75"/>
      <c r="B39" s="82"/>
      <c r="C39" s="82"/>
      <c r="D39" s="82"/>
      <c r="E39" s="82"/>
      <c r="F39" s="82"/>
      <c r="G39" s="82"/>
      <c r="H39" s="82"/>
      <c r="I39" s="56"/>
      <c r="J39" s="696"/>
      <c r="M39" s="624">
        <v>28</v>
      </c>
      <c r="N39" s="625">
        <v>207.96099849999999</v>
      </c>
      <c r="O39" s="627">
        <v>207.8560028</v>
      </c>
      <c r="P39" s="627">
        <v>207.5500031</v>
      </c>
      <c r="Q39" s="626"/>
      <c r="AF39" s="265"/>
      <c r="AG39" s="265"/>
      <c r="AH39" s="265"/>
      <c r="AI39" s="265"/>
      <c r="AJ39" s="265"/>
      <c r="AK39" s="265"/>
      <c r="AL39" s="265"/>
    </row>
    <row r="40" spans="1:38" ht="11.25" customHeight="1">
      <c r="A40" s="75"/>
      <c r="B40" s="82"/>
      <c r="C40" s="82"/>
      <c r="D40" s="82"/>
      <c r="E40" s="82"/>
      <c r="F40" s="82"/>
      <c r="G40" s="82"/>
      <c r="H40" s="82"/>
      <c r="I40" s="56"/>
      <c r="J40" s="696"/>
      <c r="M40" s="624">
        <v>29</v>
      </c>
      <c r="N40" s="625">
        <v>205.66700739999999</v>
      </c>
      <c r="O40" s="625">
        <v>200.68699649999999</v>
      </c>
      <c r="P40" s="625">
        <v>204.99000549316401</v>
      </c>
      <c r="Q40" s="626"/>
      <c r="AF40" s="265"/>
      <c r="AG40" s="265"/>
      <c r="AH40" s="265"/>
      <c r="AI40" s="265"/>
      <c r="AJ40" s="265"/>
      <c r="AK40" s="265"/>
      <c r="AL40" s="265"/>
    </row>
    <row r="41" spans="1:38" ht="11.25" customHeight="1">
      <c r="A41" s="75"/>
      <c r="B41" s="82"/>
      <c r="C41" s="82"/>
      <c r="D41" s="82"/>
      <c r="E41" s="82"/>
      <c r="F41" s="82"/>
      <c r="G41" s="82"/>
      <c r="H41" s="82"/>
      <c r="I41" s="56"/>
      <c r="J41" s="696"/>
      <c r="M41" s="624">
        <v>30</v>
      </c>
      <c r="N41" s="625">
        <v>197.3999939</v>
      </c>
      <c r="O41" s="625">
        <v>197.3999939</v>
      </c>
      <c r="P41" s="625">
        <v>195.11000060000001</v>
      </c>
      <c r="Q41" s="626"/>
      <c r="AF41" s="265"/>
      <c r="AG41" s="265"/>
      <c r="AH41" s="265"/>
      <c r="AI41" s="265"/>
      <c r="AJ41" s="265"/>
      <c r="AK41" s="265"/>
      <c r="AL41" s="265"/>
    </row>
    <row r="42" spans="1:38" ht="11.25" customHeight="1">
      <c r="A42" s="75"/>
      <c r="B42" s="82"/>
      <c r="C42" s="82"/>
      <c r="D42" s="82"/>
      <c r="E42" s="82"/>
      <c r="F42" s="82"/>
      <c r="G42" s="82"/>
      <c r="H42" s="82"/>
      <c r="I42" s="168"/>
      <c r="J42" s="695"/>
      <c r="M42" s="624">
        <v>31</v>
      </c>
      <c r="N42" s="625">
        <v>194.98199460000001</v>
      </c>
      <c r="O42" s="625">
        <v>193.71000670000001</v>
      </c>
      <c r="P42" s="625">
        <v>191.32699584960901</v>
      </c>
      <c r="Q42" s="626"/>
      <c r="AF42" s="265"/>
      <c r="AG42" s="265"/>
      <c r="AH42" s="265"/>
      <c r="AI42" s="265"/>
      <c r="AJ42" s="265"/>
      <c r="AK42" s="265"/>
      <c r="AL42" s="265"/>
    </row>
    <row r="43" spans="1:38" ht="11.25" customHeight="1">
      <c r="A43" s="75"/>
      <c r="B43" s="82"/>
      <c r="C43" s="82"/>
      <c r="D43" s="82"/>
      <c r="E43" s="82"/>
      <c r="F43" s="82"/>
      <c r="G43" s="82"/>
      <c r="H43" s="82"/>
      <c r="I43" s="56"/>
      <c r="J43" s="695"/>
      <c r="M43" s="624">
        <v>32</v>
      </c>
      <c r="N43" s="625">
        <v>190.13999938964801</v>
      </c>
      <c r="O43" s="625">
        <v>187.46000670000001</v>
      </c>
      <c r="P43" s="625">
        <v>187.98199462890599</v>
      </c>
      <c r="Q43" s="626"/>
      <c r="AF43" s="265"/>
      <c r="AG43" s="265"/>
      <c r="AH43" s="265"/>
      <c r="AI43" s="265"/>
      <c r="AJ43" s="265"/>
      <c r="AK43" s="265"/>
      <c r="AL43" s="265"/>
    </row>
    <row r="44" spans="1:38" ht="9.6" customHeight="1">
      <c r="A44" s="75"/>
      <c r="B44" s="82"/>
      <c r="C44" s="82"/>
      <c r="D44" s="82"/>
      <c r="E44" s="82"/>
      <c r="F44" s="82"/>
      <c r="G44" s="82"/>
      <c r="H44" s="82"/>
      <c r="I44" s="56"/>
      <c r="J44" s="695"/>
      <c r="M44" s="624">
        <v>33</v>
      </c>
      <c r="N44" s="625">
        <v>186.17300420000001</v>
      </c>
      <c r="O44" s="625">
        <v>186.17300420000001</v>
      </c>
      <c r="P44" s="625">
        <v>184.75399780000001</v>
      </c>
      <c r="Q44" s="626"/>
      <c r="AF44" s="265"/>
      <c r="AG44" s="265"/>
      <c r="AH44" s="265"/>
      <c r="AI44" s="265"/>
      <c r="AJ44" s="265"/>
      <c r="AK44" s="265"/>
      <c r="AL44" s="265"/>
    </row>
    <row r="45" spans="1:38" ht="11.25" customHeight="1">
      <c r="A45" s="75"/>
      <c r="B45" s="82"/>
      <c r="C45" s="82"/>
      <c r="D45" s="82"/>
      <c r="E45" s="82"/>
      <c r="F45" s="82"/>
      <c r="G45" s="82"/>
      <c r="H45" s="82"/>
      <c r="I45" s="59"/>
      <c r="J45" s="697"/>
      <c r="M45" s="624">
        <v>34</v>
      </c>
      <c r="N45" s="625">
        <v>183.14799500000001</v>
      </c>
      <c r="O45" s="625">
        <v>181.1710052</v>
      </c>
      <c r="P45" s="625">
        <v>181.1710052</v>
      </c>
      <c r="Q45" s="626"/>
      <c r="AF45" s="265"/>
      <c r="AG45" s="265"/>
      <c r="AH45" s="265"/>
      <c r="AI45" s="265"/>
      <c r="AJ45" s="265"/>
      <c r="AK45" s="265"/>
      <c r="AL45" s="265"/>
    </row>
    <row r="46" spans="1:38" ht="11.25" customHeight="1">
      <c r="A46" s="75"/>
      <c r="B46" s="82"/>
      <c r="C46" s="82"/>
      <c r="D46" s="82"/>
      <c r="E46" s="82"/>
      <c r="F46" s="82"/>
      <c r="G46" s="82"/>
      <c r="H46" s="82"/>
      <c r="I46" s="59"/>
      <c r="J46" s="697"/>
      <c r="M46" s="624">
        <v>35</v>
      </c>
      <c r="N46" s="628">
        <v>175.24000549316401</v>
      </c>
      <c r="O46" s="625">
        <v>176.38999939999999</v>
      </c>
      <c r="P46" s="625">
        <v>173.61999511718699</v>
      </c>
      <c r="Q46" s="626"/>
      <c r="AF46" s="265"/>
      <c r="AG46" s="265"/>
      <c r="AH46" s="265"/>
      <c r="AI46" s="265"/>
      <c r="AJ46" s="265"/>
      <c r="AK46" s="265"/>
      <c r="AL46" s="265"/>
    </row>
    <row r="47" spans="1:38" ht="11.25" customHeight="1">
      <c r="A47" s="75"/>
      <c r="B47" s="82"/>
      <c r="C47" s="82"/>
      <c r="D47" s="82"/>
      <c r="E47" s="82"/>
      <c r="F47" s="82"/>
      <c r="G47" s="82"/>
      <c r="H47" s="82"/>
      <c r="I47" s="59"/>
      <c r="J47" s="697"/>
      <c r="M47" s="624">
        <v>36</v>
      </c>
      <c r="N47" s="628">
        <v>171.61000061035099</v>
      </c>
      <c r="O47" s="625">
        <v>173.66999820000001</v>
      </c>
      <c r="P47" s="625">
        <v>168.88000489999999</v>
      </c>
      <c r="AF47" s="265"/>
      <c r="AG47" s="265"/>
      <c r="AH47" s="265"/>
      <c r="AI47" s="265"/>
      <c r="AJ47" s="265"/>
      <c r="AK47" s="265"/>
      <c r="AL47" s="265"/>
    </row>
    <row r="48" spans="1:38" ht="11.25" customHeight="1">
      <c r="A48" s="75"/>
      <c r="B48" s="82"/>
      <c r="C48" s="82"/>
      <c r="D48" s="82"/>
      <c r="E48" s="82"/>
      <c r="F48" s="82"/>
      <c r="G48" s="82"/>
      <c r="H48" s="82"/>
      <c r="I48" s="59"/>
      <c r="J48" s="697"/>
      <c r="M48" s="624">
        <v>37</v>
      </c>
      <c r="N48" s="625">
        <v>167.78999328613199</v>
      </c>
      <c r="O48" s="625">
        <v>170.7400055</v>
      </c>
      <c r="P48" s="625">
        <v>163.31300355859301</v>
      </c>
      <c r="AF48" s="265"/>
      <c r="AG48" s="265"/>
      <c r="AH48" s="265"/>
      <c r="AI48" s="265"/>
      <c r="AJ48" s="265"/>
      <c r="AK48" s="265"/>
      <c r="AL48" s="265"/>
    </row>
    <row r="49" spans="1:38" ht="11.25" customHeight="1">
      <c r="A49" s="75"/>
      <c r="B49" s="82"/>
      <c r="C49" s="82"/>
      <c r="D49" s="82"/>
      <c r="E49" s="82"/>
      <c r="F49" s="82"/>
      <c r="G49" s="82"/>
      <c r="H49" s="82"/>
      <c r="I49" s="59"/>
      <c r="J49" s="697"/>
      <c r="M49" s="624">
        <v>38</v>
      </c>
      <c r="N49" s="625">
        <v>170.03999328613199</v>
      </c>
      <c r="O49" s="625">
        <v>167.64599609999999</v>
      </c>
      <c r="P49" s="625">
        <v>160.03999328613199</v>
      </c>
      <c r="AF49" s="265"/>
      <c r="AG49" s="265"/>
      <c r="AH49" s="265"/>
      <c r="AI49" s="265"/>
      <c r="AJ49" s="265"/>
      <c r="AK49" s="265"/>
      <c r="AL49" s="265"/>
    </row>
    <row r="50" spans="1:38" ht="13.2">
      <c r="A50" s="75"/>
      <c r="B50" s="82"/>
      <c r="C50" s="82"/>
      <c r="D50" s="82"/>
      <c r="E50" s="82"/>
      <c r="F50" s="82"/>
      <c r="G50" s="82"/>
      <c r="H50" s="82"/>
      <c r="I50" s="59"/>
      <c r="J50" s="697"/>
      <c r="M50" s="624">
        <v>39</v>
      </c>
      <c r="N50" s="625">
        <v>159.69</v>
      </c>
      <c r="O50" s="625">
        <v>157.6900024</v>
      </c>
      <c r="P50" s="625">
        <v>154.0410004</v>
      </c>
      <c r="AF50" s="265"/>
      <c r="AG50" s="265"/>
      <c r="AH50" s="265"/>
      <c r="AI50" s="265"/>
      <c r="AJ50" s="265"/>
      <c r="AK50" s="265"/>
      <c r="AL50" s="265"/>
    </row>
    <row r="51" spans="1:38" ht="10.5" customHeight="1">
      <c r="A51" s="75"/>
      <c r="B51" s="82"/>
      <c r="C51" s="82"/>
      <c r="D51" s="82"/>
      <c r="E51" s="82"/>
      <c r="F51" s="82"/>
      <c r="G51" s="82"/>
      <c r="H51" s="82"/>
      <c r="I51" s="59"/>
      <c r="J51" s="697"/>
      <c r="M51" s="624">
        <v>40</v>
      </c>
      <c r="N51" s="625">
        <v>150.2969971</v>
      </c>
      <c r="O51" s="625">
        <v>154.1900024</v>
      </c>
      <c r="P51" s="625">
        <v>137.69400024414</v>
      </c>
      <c r="AF51" s="265"/>
      <c r="AG51" s="265"/>
      <c r="AH51" s="265"/>
      <c r="AI51" s="265"/>
      <c r="AJ51" s="265"/>
      <c r="AK51" s="265"/>
      <c r="AL51" s="265"/>
    </row>
    <row r="52" spans="1:38" ht="13.2">
      <c r="A52" s="75"/>
      <c r="B52" s="82"/>
      <c r="C52" s="82"/>
      <c r="D52" s="82"/>
      <c r="E52" s="82"/>
      <c r="F52" s="82"/>
      <c r="G52" s="82"/>
      <c r="H52" s="82"/>
      <c r="I52" s="59"/>
      <c r="J52" s="697"/>
      <c r="M52" s="624">
        <v>41</v>
      </c>
      <c r="N52" s="625">
        <v>146.7689972</v>
      </c>
      <c r="O52" s="625">
        <v>148.9620056</v>
      </c>
      <c r="P52" s="625">
        <v>133.05799866484401</v>
      </c>
      <c r="AF52" s="265"/>
      <c r="AG52" s="265"/>
      <c r="AH52" s="265"/>
      <c r="AI52" s="265"/>
      <c r="AJ52" s="265"/>
      <c r="AK52" s="265"/>
      <c r="AL52" s="265"/>
    </row>
    <row r="53" spans="1:38" ht="13.2">
      <c r="A53" s="75"/>
      <c r="B53" s="82"/>
      <c r="C53" s="82"/>
      <c r="D53" s="82"/>
      <c r="E53" s="82"/>
      <c r="F53" s="82"/>
      <c r="G53" s="82"/>
      <c r="H53" s="82"/>
      <c r="I53" s="59"/>
      <c r="J53" s="697"/>
      <c r="M53" s="624">
        <v>42</v>
      </c>
      <c r="N53" s="625">
        <v>142.69900512695301</v>
      </c>
      <c r="O53" s="625">
        <v>144.58599849999999</v>
      </c>
      <c r="P53" s="625">
        <v>135.26800539999999</v>
      </c>
      <c r="AF53" s="265"/>
      <c r="AG53" s="265"/>
      <c r="AH53" s="265"/>
      <c r="AI53" s="265"/>
      <c r="AJ53" s="265"/>
      <c r="AK53" s="265"/>
      <c r="AL53" s="265"/>
    </row>
    <row r="54" spans="1:38" ht="13.2">
      <c r="A54" s="75"/>
      <c r="B54" s="82"/>
      <c r="C54" s="82"/>
      <c r="D54" s="82"/>
      <c r="E54" s="82"/>
      <c r="F54" s="82"/>
      <c r="G54" s="82"/>
      <c r="H54" s="82"/>
      <c r="I54" s="59"/>
      <c r="J54" s="697"/>
      <c r="M54" s="624">
        <v>43</v>
      </c>
      <c r="N54" s="625">
        <v>135.75</v>
      </c>
      <c r="O54" s="625">
        <v>140.38000489999999</v>
      </c>
      <c r="P54" s="625">
        <v>131.78599548339801</v>
      </c>
      <c r="AF54" s="265"/>
      <c r="AG54" s="265"/>
      <c r="AH54" s="265"/>
      <c r="AI54" s="265"/>
      <c r="AJ54" s="265"/>
      <c r="AK54" s="265"/>
      <c r="AL54" s="265"/>
    </row>
    <row r="55" spans="1:38" ht="13.2">
      <c r="A55" s="75"/>
      <c r="B55" s="82"/>
      <c r="C55" s="82"/>
      <c r="D55" s="82"/>
      <c r="E55" s="82"/>
      <c r="F55" s="82"/>
      <c r="G55" s="82"/>
      <c r="H55" s="82"/>
      <c r="I55" s="59"/>
      <c r="J55" s="697"/>
      <c r="M55" s="624">
        <v>44</v>
      </c>
      <c r="N55" s="625">
        <v>130.27000430000001</v>
      </c>
      <c r="O55" s="625">
        <v>133.1060028</v>
      </c>
      <c r="P55" s="625">
        <v>122.9000015</v>
      </c>
      <c r="AF55" s="265"/>
      <c r="AG55" s="265"/>
      <c r="AH55" s="265"/>
      <c r="AI55" s="265"/>
      <c r="AJ55" s="265"/>
      <c r="AK55" s="265"/>
      <c r="AL55" s="265"/>
    </row>
    <row r="56" spans="1:38" ht="13.2">
      <c r="A56" s="75"/>
      <c r="B56" s="82"/>
      <c r="C56" s="82"/>
      <c r="D56" s="82"/>
      <c r="E56" s="82"/>
      <c r="F56" s="82"/>
      <c r="G56" s="82"/>
      <c r="H56" s="82"/>
      <c r="I56" s="59"/>
      <c r="J56" s="697"/>
      <c r="M56" s="624">
        <v>45</v>
      </c>
      <c r="N56" s="625">
        <v>124.5780029</v>
      </c>
      <c r="O56" s="625">
        <v>128.5500031</v>
      </c>
      <c r="P56" s="625">
        <v>115.61799621582</v>
      </c>
      <c r="AF56" s="265"/>
      <c r="AG56" s="265"/>
      <c r="AH56" s="265"/>
      <c r="AI56" s="265"/>
      <c r="AJ56" s="265"/>
      <c r="AK56" s="265"/>
      <c r="AL56" s="265"/>
    </row>
    <row r="57" spans="1:38" ht="13.2">
      <c r="A57" s="75"/>
      <c r="B57" s="82"/>
      <c r="C57" s="82"/>
      <c r="D57" s="82"/>
      <c r="E57" s="82"/>
      <c r="F57" s="82"/>
      <c r="G57" s="82"/>
      <c r="H57" s="82"/>
      <c r="M57" s="624">
        <v>46</v>
      </c>
      <c r="N57" s="625">
        <v>120.7269974</v>
      </c>
      <c r="O57" s="625">
        <v>123.4499969</v>
      </c>
      <c r="P57" s="625">
        <v>109.3000031</v>
      </c>
      <c r="AF57" s="265"/>
      <c r="AG57" s="265"/>
      <c r="AH57" s="265"/>
      <c r="AI57" s="265"/>
      <c r="AJ57" s="265"/>
      <c r="AK57" s="265"/>
      <c r="AL57" s="265"/>
    </row>
    <row r="58" spans="1:38" ht="13.2">
      <c r="A58" s="75"/>
      <c r="B58" s="82"/>
      <c r="C58" s="82"/>
      <c r="D58" s="82"/>
      <c r="E58" s="82"/>
      <c r="F58" s="82"/>
      <c r="G58" s="82"/>
      <c r="H58" s="82"/>
      <c r="M58" s="624">
        <v>47</v>
      </c>
      <c r="N58" s="625">
        <v>113.7900009</v>
      </c>
      <c r="O58" s="625">
        <v>121.12899779999999</v>
      </c>
      <c r="P58" s="625">
        <v>102.5579987</v>
      </c>
      <c r="AF58" s="265"/>
      <c r="AG58" s="265"/>
      <c r="AH58" s="265"/>
      <c r="AI58" s="265"/>
      <c r="AJ58" s="265"/>
      <c r="AK58" s="265"/>
      <c r="AL58" s="265"/>
    </row>
    <row r="59" spans="1:38" ht="13.2">
      <c r="A59" s="262" t="s">
        <v>601</v>
      </c>
      <c r="B59" s="82"/>
      <c r="D59" s="82"/>
      <c r="E59" s="82"/>
      <c r="F59" s="82"/>
      <c r="G59" s="82"/>
      <c r="H59" s="82"/>
      <c r="M59" s="624">
        <v>48</v>
      </c>
      <c r="N59" s="625">
        <v>104.1470032</v>
      </c>
      <c r="O59" s="625">
        <v>122.5419998</v>
      </c>
      <c r="P59" s="625">
        <v>93.499000549316406</v>
      </c>
      <c r="AF59" s="265"/>
      <c r="AG59" s="265"/>
      <c r="AH59" s="265"/>
      <c r="AI59" s="265"/>
      <c r="AJ59" s="265"/>
      <c r="AK59" s="265"/>
      <c r="AL59" s="265"/>
    </row>
    <row r="60" spans="1:38" ht="13.2">
      <c r="A60" s="54"/>
      <c r="B60" s="82"/>
      <c r="C60" s="82"/>
      <c r="D60" s="82"/>
      <c r="E60" s="82"/>
      <c r="F60" s="82"/>
      <c r="G60" s="82"/>
      <c r="H60" s="82"/>
      <c r="M60" s="624">
        <v>49</v>
      </c>
      <c r="N60" s="625">
        <v>104.8560028</v>
      </c>
      <c r="O60" s="625">
        <v>129.1600037</v>
      </c>
      <c r="P60" s="625">
        <v>86.319999690000003</v>
      </c>
      <c r="AF60" s="265"/>
      <c r="AG60" s="265"/>
      <c r="AH60" s="265"/>
      <c r="AI60" s="265"/>
      <c r="AJ60" s="265"/>
      <c r="AK60" s="265"/>
      <c r="AL60" s="265"/>
    </row>
    <row r="61" spans="1:38" ht="10.8">
      <c r="M61" s="624">
        <v>50</v>
      </c>
      <c r="N61" s="625">
        <v>105.70500180000001</v>
      </c>
      <c r="O61" s="625">
        <v>131.85099790000001</v>
      </c>
      <c r="P61" s="625">
        <v>82.027000430000001</v>
      </c>
      <c r="AD61" s="297"/>
      <c r="AE61" s="297"/>
      <c r="AF61" s="215"/>
      <c r="AG61" s="215"/>
      <c r="AH61" s="215"/>
      <c r="AI61" s="215"/>
      <c r="AJ61" s="215"/>
      <c r="AK61" s="215"/>
      <c r="AL61" s="215"/>
    </row>
    <row r="62" spans="1:38" ht="10.8">
      <c r="M62" s="624">
        <v>51</v>
      </c>
      <c r="N62" s="625">
        <v>110.41200259999999</v>
      </c>
      <c r="O62" s="625">
        <v>128.24499510000001</v>
      </c>
      <c r="P62" s="625">
        <v>79.66999817</v>
      </c>
      <c r="AD62" s="297"/>
      <c r="AE62" s="297"/>
      <c r="AF62" s="215"/>
      <c r="AG62" s="215"/>
      <c r="AH62" s="215"/>
      <c r="AI62" s="215"/>
      <c r="AJ62" s="215"/>
      <c r="AK62" s="215"/>
      <c r="AL62" s="215"/>
    </row>
    <row r="63" spans="1:38" ht="10.8">
      <c r="M63" s="624">
        <v>52</v>
      </c>
      <c r="N63" s="625">
        <v>119.1200027</v>
      </c>
      <c r="O63" s="625">
        <v>127.295997619628</v>
      </c>
      <c r="P63" s="625">
        <v>77.312995909999998</v>
      </c>
      <c r="AD63" s="297"/>
      <c r="AE63" s="297"/>
      <c r="AF63" s="215"/>
      <c r="AG63" s="215"/>
      <c r="AH63" s="215"/>
      <c r="AI63" s="215"/>
      <c r="AJ63" s="215"/>
      <c r="AK63" s="215"/>
      <c r="AL63" s="215"/>
    </row>
    <row r="64" spans="1:38" ht="10.8">
      <c r="M64" s="624">
        <v>53</v>
      </c>
      <c r="N64" s="625">
        <v>146.8090057</v>
      </c>
      <c r="O64" s="625"/>
      <c r="P64" s="734"/>
      <c r="AD64" s="297"/>
      <c r="AE64" s="297"/>
      <c r="AF64" s="215"/>
      <c r="AG64" s="215"/>
      <c r="AH64" s="215"/>
      <c r="AI64" s="215"/>
      <c r="AJ64" s="215"/>
      <c r="AK64" s="215"/>
      <c r="AL64" s="215"/>
    </row>
    <row r="65" spans="13:38">
      <c r="M65" s="277"/>
      <c r="N65" s="277"/>
      <c r="O65" s="277"/>
      <c r="P65" s="277"/>
      <c r="Q65" s="277"/>
      <c r="R65" s="277"/>
      <c r="S65"/>
      <c r="T65"/>
      <c r="AD65" s="297"/>
      <c r="AE65" s="297"/>
      <c r="AF65" s="215"/>
      <c r="AG65" s="215"/>
      <c r="AH65" s="215"/>
      <c r="AI65" s="215"/>
      <c r="AJ65" s="215"/>
      <c r="AK65" s="215"/>
      <c r="AL65" s="215"/>
    </row>
  </sheetData>
  <mergeCells count="4">
    <mergeCell ref="A2:H2"/>
    <mergeCell ref="A4:H4"/>
    <mergeCell ref="C28:F28"/>
    <mergeCell ref="A32:H32"/>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workbookViewId="0">
      <selection activeCell="D14" sqref="D14"/>
    </sheetView>
  </sheetViews>
  <sheetFormatPr baseColWidth="10" defaultColWidth="9.28515625" defaultRowHeight="10.199999999999999"/>
  <cols>
    <col min="10" max="11" width="9.28515625" customWidth="1"/>
    <col min="13" max="13" width="9.28515625" style="662"/>
    <col min="14" max="24" width="9.28515625" style="277"/>
    <col min="25" max="31" width="9.28515625" style="662"/>
  </cols>
  <sheetData>
    <row r="1" spans="1:23" ht="11.25" customHeight="1"/>
    <row r="2" spans="1:23" ht="11.25" customHeight="1">
      <c r="A2" s="288"/>
      <c r="B2" s="294"/>
      <c r="C2" s="294"/>
      <c r="D2" s="294"/>
      <c r="E2" s="294"/>
      <c r="F2" s="294"/>
      <c r="G2" s="295"/>
      <c r="H2" s="29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622" t="s">
        <v>253</v>
      </c>
      <c r="T4" s="699" t="s">
        <v>254</v>
      </c>
    </row>
    <row r="5" spans="1:23" ht="11.25" customHeight="1">
      <c r="A5" s="907"/>
      <c r="B5" s="907"/>
      <c r="C5" s="907"/>
      <c r="D5" s="907"/>
      <c r="E5" s="907"/>
      <c r="F5" s="907"/>
      <c r="G5" s="907"/>
      <c r="H5" s="907"/>
      <c r="I5" s="907"/>
      <c r="J5" s="12"/>
      <c r="K5" s="12"/>
      <c r="L5" s="8"/>
      <c r="O5" s="623">
        <v>2020</v>
      </c>
      <c r="P5" s="623">
        <v>2021</v>
      </c>
      <c r="Q5" s="623">
        <v>2022</v>
      </c>
      <c r="R5" s="623">
        <v>2023</v>
      </c>
      <c r="T5" s="623">
        <v>2020</v>
      </c>
      <c r="U5" s="623">
        <v>2021</v>
      </c>
      <c r="V5" s="623">
        <v>2022</v>
      </c>
      <c r="W5" s="623">
        <v>2023</v>
      </c>
    </row>
    <row r="6" spans="1:23" ht="11.25" customHeight="1">
      <c r="A6" s="17"/>
      <c r="B6" s="159"/>
      <c r="C6" s="68"/>
      <c r="D6" s="69"/>
      <c r="E6" s="69"/>
      <c r="F6" s="70"/>
      <c r="G6" s="66"/>
      <c r="H6" s="66"/>
      <c r="I6" s="71"/>
      <c r="J6" s="12"/>
      <c r="K6" s="12"/>
      <c r="L6" s="5"/>
      <c r="N6" s="624">
        <v>1</v>
      </c>
      <c r="O6" s="625">
        <v>133.42999267578099</v>
      </c>
      <c r="P6" s="625">
        <v>78.003997799999993</v>
      </c>
      <c r="Q6" s="700">
        <v>35.493000029999997</v>
      </c>
      <c r="R6" s="701">
        <v>33.673000340000002</v>
      </c>
      <c r="S6" s="624">
        <v>1</v>
      </c>
      <c r="T6" s="625">
        <v>186.65300035476668</v>
      </c>
      <c r="U6" s="625">
        <v>222.16899967999998</v>
      </c>
      <c r="V6" s="700">
        <v>204.009998798</v>
      </c>
      <c r="W6" s="701">
        <v>151.66299939000001</v>
      </c>
    </row>
    <row r="7" spans="1:23" ht="11.25" customHeight="1">
      <c r="A7" s="17"/>
      <c r="B7" s="908"/>
      <c r="C7" s="908"/>
      <c r="D7" s="160"/>
      <c r="E7" s="160"/>
      <c r="F7" s="70"/>
      <c r="G7" s="66"/>
      <c r="H7" s="66"/>
      <c r="I7" s="71"/>
      <c r="J7" s="3"/>
      <c r="K7" s="3"/>
      <c r="L7" s="15"/>
      <c r="N7" s="624">
        <v>2</v>
      </c>
      <c r="O7" s="625">
        <v>141.27299500000001</v>
      </c>
      <c r="P7" s="625">
        <v>98.037002560000005</v>
      </c>
      <c r="Q7" s="700">
        <v>56.155998230000002</v>
      </c>
      <c r="R7" s="701">
        <v>30.78100014</v>
      </c>
      <c r="S7" s="624">
        <v>2</v>
      </c>
      <c r="T7" s="625">
        <v>194.494995117</v>
      </c>
      <c r="U7" s="625">
        <v>243.88599584999997</v>
      </c>
      <c r="V7" s="700">
        <v>226.30700303700002</v>
      </c>
      <c r="W7" s="701">
        <v>148.510999441</v>
      </c>
    </row>
    <row r="8" spans="1:23" ht="11.25" customHeight="1">
      <c r="A8" s="17"/>
      <c r="B8" s="161"/>
      <c r="C8" s="39"/>
      <c r="D8" s="162"/>
      <c r="E8" s="162"/>
      <c r="F8" s="70"/>
      <c r="G8" s="66"/>
      <c r="H8" s="66"/>
      <c r="I8" s="71"/>
      <c r="J8" s="4"/>
      <c r="K8" s="4"/>
      <c r="L8" s="12"/>
      <c r="N8" s="624">
        <v>3</v>
      </c>
      <c r="O8" s="625">
        <v>151.56199649999999</v>
      </c>
      <c r="P8" s="625">
        <v>137.10699460000001</v>
      </c>
      <c r="Q8" s="700">
        <v>68.723999019999994</v>
      </c>
      <c r="R8" s="701">
        <v>34.400001525878899</v>
      </c>
      <c r="S8" s="624">
        <v>3</v>
      </c>
      <c r="T8" s="625">
        <v>212.15300178999999</v>
      </c>
      <c r="U8" s="625">
        <v>260.96799851000003</v>
      </c>
      <c r="V8" s="700">
        <v>246.70599747499998</v>
      </c>
      <c r="W8" s="701">
        <v>143.81200027465798</v>
      </c>
    </row>
    <row r="9" spans="1:23" ht="11.25" customHeight="1">
      <c r="A9" s="17"/>
      <c r="B9" s="161"/>
      <c r="C9" s="39"/>
      <c r="D9" s="162"/>
      <c r="E9" s="162"/>
      <c r="F9" s="70"/>
      <c r="G9" s="66"/>
      <c r="H9" s="66"/>
      <c r="I9" s="71"/>
      <c r="J9" s="3"/>
      <c r="K9" s="6"/>
      <c r="L9" s="15"/>
      <c r="N9" s="624">
        <v>4</v>
      </c>
      <c r="O9" s="625">
        <v>167.9100037</v>
      </c>
      <c r="P9" s="625">
        <v>187.18600459999999</v>
      </c>
      <c r="Q9" s="700">
        <v>95.908996579999993</v>
      </c>
      <c r="R9" s="701">
        <v>34.0359993</v>
      </c>
      <c r="S9" s="624">
        <v>4</v>
      </c>
      <c r="T9" s="625">
        <v>213.71899984999999</v>
      </c>
      <c r="U9" s="625">
        <v>282.90399740999999</v>
      </c>
      <c r="V9" s="700">
        <v>284.02000140000001</v>
      </c>
      <c r="W9" s="701">
        <v>140.23999690700001</v>
      </c>
    </row>
    <row r="10" spans="1:23" ht="11.25" customHeight="1">
      <c r="A10" s="17"/>
      <c r="B10" s="161"/>
      <c r="C10" s="39"/>
      <c r="D10" s="162"/>
      <c r="E10" s="162"/>
      <c r="F10" s="70"/>
      <c r="G10" s="66"/>
      <c r="H10" s="66"/>
      <c r="I10" s="71"/>
      <c r="J10" s="3"/>
      <c r="K10" s="3"/>
      <c r="L10" s="15"/>
      <c r="N10" s="624">
        <v>5</v>
      </c>
      <c r="O10" s="625">
        <v>209.06850435244098</v>
      </c>
      <c r="P10" s="625">
        <v>240.25399780000001</v>
      </c>
      <c r="Q10" s="700">
        <v>122.54900360000001</v>
      </c>
      <c r="R10" s="701">
        <v>41.573</v>
      </c>
      <c r="S10" s="624">
        <v>5</v>
      </c>
      <c r="T10" s="625">
        <v>219.56099320000001</v>
      </c>
      <c r="U10" s="625">
        <v>283.46798616000001</v>
      </c>
      <c r="V10" s="700">
        <v>316.55300431000006</v>
      </c>
      <c r="W10" s="701">
        <v>149.94700005392335</v>
      </c>
    </row>
    <row r="11" spans="1:23" ht="11.25" customHeight="1">
      <c r="A11" s="17"/>
      <c r="B11" s="162"/>
      <c r="C11" s="39"/>
      <c r="D11" s="162"/>
      <c r="E11" s="162"/>
      <c r="F11" s="70"/>
      <c r="G11" s="66"/>
      <c r="H11" s="66"/>
      <c r="I11" s="71"/>
      <c r="J11" s="3"/>
      <c r="K11" s="3"/>
      <c r="L11" s="15"/>
      <c r="N11" s="624">
        <v>6</v>
      </c>
      <c r="O11" s="625">
        <v>250.22700500488199</v>
      </c>
      <c r="P11" s="625">
        <v>285.57900999999998</v>
      </c>
      <c r="Q11" s="700">
        <v>164.02999879999999</v>
      </c>
      <c r="R11" s="701">
        <v>58.094001770019503</v>
      </c>
      <c r="S11" s="624">
        <v>6</v>
      </c>
      <c r="T11" s="625">
        <v>285.12099838256813</v>
      </c>
      <c r="U11" s="625">
        <v>323.49900059000004</v>
      </c>
      <c r="V11" s="700">
        <v>327.15899755999999</v>
      </c>
      <c r="W11" s="701">
        <v>183.37299919128398</v>
      </c>
    </row>
    <row r="12" spans="1:23" ht="11.25" customHeight="1">
      <c r="A12" s="17"/>
      <c r="B12" s="162"/>
      <c r="C12" s="39"/>
      <c r="D12" s="162"/>
      <c r="E12" s="162"/>
      <c r="F12" s="70"/>
      <c r="G12" s="66"/>
      <c r="H12" s="66"/>
      <c r="I12" s="71"/>
      <c r="J12" s="3"/>
      <c r="K12" s="3"/>
      <c r="L12" s="15"/>
      <c r="N12" s="624">
        <v>7</v>
      </c>
      <c r="O12" s="625">
        <v>274.18798829999997</v>
      </c>
      <c r="P12" s="625">
        <v>286.72699999999998</v>
      </c>
      <c r="Q12" s="700">
        <v>195.61700188</v>
      </c>
      <c r="R12" s="701">
        <v>69.123001099999996</v>
      </c>
      <c r="S12" s="624">
        <v>7</v>
      </c>
      <c r="T12" s="625">
        <v>329.34199910000001</v>
      </c>
      <c r="U12" s="625">
        <v>323.53270380002277</v>
      </c>
      <c r="V12" s="700">
        <v>354.25649632083298</v>
      </c>
      <c r="W12" s="701">
        <v>222.42599583999998</v>
      </c>
    </row>
    <row r="13" spans="1:23" ht="11.25" customHeight="1">
      <c r="A13" s="17"/>
      <c r="B13" s="162"/>
      <c r="C13" s="39"/>
      <c r="D13" s="162"/>
      <c r="E13" s="162"/>
      <c r="F13" s="70"/>
      <c r="G13" s="66"/>
      <c r="H13" s="66"/>
      <c r="I13" s="71"/>
      <c r="J13" s="4"/>
      <c r="K13" s="4"/>
      <c r="L13" s="12"/>
      <c r="N13" s="624">
        <v>8</v>
      </c>
      <c r="O13" s="625">
        <v>291.3330078125</v>
      </c>
      <c r="P13" s="625">
        <v>276.42099999999999</v>
      </c>
      <c r="Q13" s="700">
        <v>273.05700683593699</v>
      </c>
      <c r="R13" s="701">
        <v>91.259002690000003</v>
      </c>
      <c r="S13" s="624">
        <v>8</v>
      </c>
      <c r="T13" s="625">
        <v>352.60932731628355</v>
      </c>
      <c r="U13" s="625">
        <v>320.11500000000001</v>
      </c>
      <c r="V13" s="700">
        <v>356.44099426269452</v>
      </c>
      <c r="W13" s="701">
        <v>223.43000031000003</v>
      </c>
    </row>
    <row r="14" spans="1:23" ht="11.25" customHeight="1">
      <c r="A14" s="17"/>
      <c r="B14" s="162"/>
      <c r="C14" s="39"/>
      <c r="D14" s="162"/>
      <c r="E14" s="162"/>
      <c r="F14" s="70"/>
      <c r="G14" s="66"/>
      <c r="H14" s="66"/>
      <c r="I14" s="71"/>
      <c r="J14" s="3"/>
      <c r="K14" s="6"/>
      <c r="L14" s="15"/>
      <c r="N14" s="624">
        <v>9</v>
      </c>
      <c r="O14" s="625">
        <v>281.57400510000002</v>
      </c>
      <c r="P14" s="625">
        <v>271.92898559570301</v>
      </c>
      <c r="Q14" s="700">
        <v>291.33300780000002</v>
      </c>
      <c r="R14" s="701">
        <v>113.653999328613</v>
      </c>
      <c r="S14" s="624">
        <v>9</v>
      </c>
      <c r="T14" s="625">
        <v>377.95000650999998</v>
      </c>
      <c r="U14" s="625">
        <v>323.68899917602516</v>
      </c>
      <c r="V14" s="700">
        <v>371.62199979000002</v>
      </c>
      <c r="W14" s="701">
        <v>223.83099651336642</v>
      </c>
    </row>
    <row r="15" spans="1:23" ht="11.25" customHeight="1">
      <c r="A15" s="17"/>
      <c r="B15" s="162"/>
      <c r="C15" s="39"/>
      <c r="D15" s="162"/>
      <c r="E15" s="162"/>
      <c r="F15" s="70"/>
      <c r="G15" s="66"/>
      <c r="H15" s="66"/>
      <c r="I15" s="71"/>
      <c r="J15" s="3"/>
      <c r="K15" s="6"/>
      <c r="L15" s="15"/>
      <c r="N15" s="624">
        <v>10</v>
      </c>
      <c r="O15" s="625">
        <v>277.58898929999998</v>
      </c>
      <c r="P15" s="625">
        <v>283.85998540000003</v>
      </c>
      <c r="Q15" s="700">
        <v>290.13098150000002</v>
      </c>
      <c r="R15" s="701"/>
      <c r="S15" s="624">
        <v>10</v>
      </c>
      <c r="T15" s="625">
        <v>383.25900259000002</v>
      </c>
      <c r="U15" s="625">
        <v>329.89599799999996</v>
      </c>
      <c r="V15" s="700">
        <v>380.60428970547002</v>
      </c>
      <c r="W15" s="701"/>
    </row>
    <row r="16" spans="1:23" ht="11.25" customHeight="1">
      <c r="A16" s="17"/>
      <c r="B16" s="162"/>
      <c r="C16" s="39"/>
      <c r="D16" s="162"/>
      <c r="E16" s="162"/>
      <c r="F16" s="70"/>
      <c r="G16" s="66"/>
      <c r="H16" s="66"/>
      <c r="I16" s="71"/>
      <c r="J16" s="3"/>
      <c r="K16" s="6"/>
      <c r="L16" s="15"/>
      <c r="N16" s="624">
        <v>11</v>
      </c>
      <c r="O16" s="625">
        <v>288.4509888</v>
      </c>
      <c r="P16" s="625">
        <v>297.12600709999998</v>
      </c>
      <c r="Q16" s="700">
        <v>306.47698974609301</v>
      </c>
      <c r="R16" s="626"/>
      <c r="S16" s="624">
        <v>11</v>
      </c>
      <c r="T16" s="625">
        <v>394.92200288000009</v>
      </c>
      <c r="U16" s="625">
        <v>345.04400820999996</v>
      </c>
      <c r="V16" s="700">
        <v>384.68100166320727</v>
      </c>
      <c r="W16" s="701"/>
    </row>
    <row r="17" spans="1:23" ht="11.25" customHeight="1">
      <c r="A17" s="17"/>
      <c r="B17" s="162"/>
      <c r="C17" s="39"/>
      <c r="D17" s="162"/>
      <c r="E17" s="162"/>
      <c r="F17" s="70"/>
      <c r="G17" s="66"/>
      <c r="H17" s="66"/>
      <c r="I17" s="71"/>
      <c r="J17" s="3"/>
      <c r="K17" s="6"/>
      <c r="L17" s="15"/>
      <c r="N17" s="624">
        <v>12</v>
      </c>
      <c r="O17" s="625">
        <v>295.38400268554602</v>
      </c>
      <c r="P17" s="625">
        <v>303.54400629999998</v>
      </c>
      <c r="Q17" s="700">
        <v>307.06500240000003</v>
      </c>
      <c r="R17" s="626"/>
      <c r="S17" s="624">
        <v>12</v>
      </c>
      <c r="T17" s="625">
        <v>390.290998458861</v>
      </c>
      <c r="U17" s="625">
        <v>376.08100894</v>
      </c>
      <c r="V17" s="700">
        <v>387.41699027999999</v>
      </c>
      <c r="W17" s="701"/>
    </row>
    <row r="18" spans="1:23" ht="11.25" customHeight="1">
      <c r="A18" s="17"/>
      <c r="B18" s="162"/>
      <c r="C18" s="39"/>
      <c r="D18" s="162"/>
      <c r="E18" s="162"/>
      <c r="F18" s="70"/>
      <c r="G18" s="66"/>
      <c r="H18" s="66"/>
      <c r="I18" s="71"/>
      <c r="J18" s="3"/>
      <c r="K18" s="6"/>
      <c r="L18" s="15"/>
      <c r="N18" s="624">
        <v>13</v>
      </c>
      <c r="O18" s="625">
        <v>303.54400634765602</v>
      </c>
      <c r="P18" s="625">
        <v>310.60000609999997</v>
      </c>
      <c r="Q18" s="700">
        <v>308.24</v>
      </c>
      <c r="R18" s="626"/>
      <c r="S18" s="624">
        <v>13</v>
      </c>
      <c r="T18" s="625">
        <v>402.17499160766499</v>
      </c>
      <c r="U18" s="625">
        <v>390.74499132000005</v>
      </c>
      <c r="V18" s="700">
        <v>387.17</v>
      </c>
      <c r="W18" s="701"/>
    </row>
    <row r="19" spans="1:23" ht="11.25" customHeight="1">
      <c r="A19" s="17"/>
      <c r="B19" s="162"/>
      <c r="C19" s="39"/>
      <c r="D19" s="162"/>
      <c r="E19" s="162"/>
      <c r="F19" s="70"/>
      <c r="G19" s="66"/>
      <c r="H19" s="66"/>
      <c r="I19" s="71"/>
      <c r="J19" s="3"/>
      <c r="K19" s="6"/>
      <c r="L19" s="15"/>
      <c r="N19" s="624">
        <v>14</v>
      </c>
      <c r="O19" s="625">
        <v>296.54501340000002</v>
      </c>
      <c r="P19" s="625">
        <v>310.60000609999997</v>
      </c>
      <c r="Q19" s="700">
        <v>316.52200317382801</v>
      </c>
      <c r="R19" s="276"/>
      <c r="S19" s="624">
        <v>14</v>
      </c>
      <c r="T19" s="625">
        <v>398.93495940999998</v>
      </c>
      <c r="U19" s="625">
        <v>396.33900255999993</v>
      </c>
      <c r="V19" s="700">
        <v>389.18700027465661</v>
      </c>
    </row>
    <row r="20" spans="1:23" ht="11.25" customHeight="1">
      <c r="A20" s="17"/>
      <c r="B20" s="162"/>
      <c r="C20" s="39"/>
      <c r="D20" s="162"/>
      <c r="E20" s="162"/>
      <c r="F20" s="70"/>
      <c r="G20" s="66"/>
      <c r="H20" s="66"/>
      <c r="I20" s="71"/>
      <c r="J20" s="3"/>
      <c r="K20" s="6"/>
      <c r="L20" s="15"/>
      <c r="N20" s="624">
        <v>15</v>
      </c>
      <c r="O20" s="625">
        <v>289.60299680000003</v>
      </c>
      <c r="P20" s="625">
        <v>308.24200439999998</v>
      </c>
      <c r="Q20" s="700">
        <v>323.08200069999998</v>
      </c>
      <c r="R20" s="276"/>
      <c r="S20" s="624">
        <v>15</v>
      </c>
      <c r="T20" s="625">
        <v>388.01895332999999</v>
      </c>
      <c r="U20" s="625">
        <v>407.79200167999994</v>
      </c>
      <c r="V20" s="700">
        <v>391.56700128</v>
      </c>
    </row>
    <row r="21" spans="1:23" ht="11.25" customHeight="1">
      <c r="A21" s="17"/>
      <c r="B21" s="162"/>
      <c r="C21" s="39"/>
      <c r="D21" s="162"/>
      <c r="E21" s="162"/>
      <c r="F21" s="70"/>
      <c r="G21" s="66"/>
      <c r="H21" s="66"/>
      <c r="I21" s="71"/>
      <c r="J21" s="3"/>
      <c r="K21" s="7"/>
      <c r="L21" s="16"/>
      <c r="N21" s="624">
        <v>16</v>
      </c>
      <c r="O21" s="625">
        <v>285.006012</v>
      </c>
      <c r="P21" s="625">
        <v>302.9590149</v>
      </c>
      <c r="Q21" s="700">
        <v>320.093994140625</v>
      </c>
      <c r="R21" s="276"/>
      <c r="S21" s="624">
        <v>16</v>
      </c>
      <c r="T21" s="625">
        <v>383.39695458999995</v>
      </c>
      <c r="U21" s="625">
        <v>404.66700356000001</v>
      </c>
      <c r="V21" s="700">
        <v>387.48099899291947</v>
      </c>
    </row>
    <row r="22" spans="1:23" ht="11.25" customHeight="1">
      <c r="A22" s="77"/>
      <c r="B22" s="162"/>
      <c r="C22" s="39"/>
      <c r="D22" s="162"/>
      <c r="E22" s="162"/>
      <c r="F22" s="70"/>
      <c r="G22" s="66"/>
      <c r="H22" s="66"/>
      <c r="I22" s="71"/>
      <c r="J22" s="3"/>
      <c r="K22" s="6"/>
      <c r="L22" s="15"/>
      <c r="N22" s="624">
        <v>17</v>
      </c>
      <c r="O22" s="625">
        <v>285.00601196289</v>
      </c>
      <c r="P22" s="625">
        <v>304.71600339999998</v>
      </c>
      <c r="Q22" s="700">
        <v>317.51499449062499</v>
      </c>
      <c r="R22" s="276"/>
      <c r="S22" s="624">
        <v>17</v>
      </c>
      <c r="T22" s="625">
        <v>381.56399345397853</v>
      </c>
      <c r="U22" s="625">
        <v>401.20799636000004</v>
      </c>
      <c r="V22" s="700">
        <v>384.68462114530365</v>
      </c>
    </row>
    <row r="23" spans="1:23" ht="11.25" customHeight="1">
      <c r="A23" s="77"/>
      <c r="B23" s="162"/>
      <c r="C23" s="39"/>
      <c r="D23" s="162"/>
      <c r="E23" s="162"/>
      <c r="F23" s="70"/>
      <c r="G23" s="66"/>
      <c r="H23" s="66"/>
      <c r="I23" s="71"/>
      <c r="J23" s="3"/>
      <c r="K23" s="6"/>
      <c r="L23" s="15"/>
      <c r="N23" s="624">
        <v>18</v>
      </c>
      <c r="O23" s="625">
        <v>285.006012</v>
      </c>
      <c r="P23" s="625">
        <v>301.20498659999998</v>
      </c>
      <c r="Q23" s="700">
        <v>286.73</v>
      </c>
      <c r="R23" s="276"/>
      <c r="S23" s="624">
        <v>18</v>
      </c>
      <c r="T23" s="625">
        <v>379.87400246999994</v>
      </c>
      <c r="U23" s="625">
        <v>398.68500135999994</v>
      </c>
      <c r="V23" s="700">
        <v>375.79000000000008</v>
      </c>
    </row>
    <row r="24" spans="1:23" ht="11.25" customHeight="1">
      <c r="A24" s="77"/>
      <c r="B24" s="162"/>
      <c r="C24" s="39"/>
      <c r="D24" s="162"/>
      <c r="E24" s="162"/>
      <c r="F24" s="70"/>
      <c r="G24" s="66"/>
      <c r="H24" s="66"/>
      <c r="I24" s="71"/>
      <c r="J24" s="6"/>
      <c r="K24" s="6"/>
      <c r="L24" s="15"/>
      <c r="N24" s="624">
        <v>19</v>
      </c>
      <c r="O24" s="625">
        <v>314.7409973</v>
      </c>
      <c r="P24" s="625">
        <v>301.78900149999998</v>
      </c>
      <c r="Q24" s="700">
        <v>294.225006103515</v>
      </c>
      <c r="R24" s="276"/>
      <c r="S24" s="624">
        <v>19</v>
      </c>
      <c r="T24" s="625">
        <v>375.69400404000004</v>
      </c>
      <c r="U24" s="625">
        <v>396.22801973000003</v>
      </c>
      <c r="V24" s="700">
        <v>370.16600227355934</v>
      </c>
    </row>
    <row r="25" spans="1:23" ht="11.25" customHeight="1">
      <c r="A25" s="263" t="s">
        <v>602</v>
      </c>
      <c r="B25" s="162"/>
      <c r="C25" s="39"/>
      <c r="D25" s="162"/>
      <c r="E25" s="162"/>
      <c r="F25" s="70"/>
      <c r="G25" s="66"/>
      <c r="H25" s="66"/>
      <c r="I25" s="71"/>
      <c r="J25" s="3"/>
      <c r="K25" s="7"/>
      <c r="L25" s="16"/>
      <c r="N25" s="702">
        <v>20</v>
      </c>
      <c r="O25" s="625">
        <v>314.14801030000001</v>
      </c>
      <c r="P25" s="625">
        <v>305.30300899999997</v>
      </c>
      <c r="Q25" s="700">
        <v>298.29000854492102</v>
      </c>
      <c r="R25" s="276"/>
      <c r="S25" s="624">
        <v>20</v>
      </c>
      <c r="T25" s="625">
        <v>370.56599616999995</v>
      </c>
      <c r="U25" s="625">
        <v>391.74099727000004</v>
      </c>
      <c r="V25" s="700">
        <v>364.40299987792889</v>
      </c>
      <c r="W25" s="703"/>
    </row>
    <row r="26" spans="1:23" ht="11.25" customHeight="1">
      <c r="A26" s="54"/>
      <c r="B26" s="162"/>
      <c r="C26" s="39"/>
      <c r="D26" s="162"/>
      <c r="E26" s="162"/>
      <c r="F26" s="70"/>
      <c r="G26" s="66"/>
      <c r="H26" s="66"/>
      <c r="I26" s="71"/>
      <c r="J26" s="4"/>
      <c r="K26" s="6"/>
      <c r="L26" s="15"/>
      <c r="N26" s="624">
        <v>21</v>
      </c>
      <c r="O26" s="625">
        <v>312.37200927734301</v>
      </c>
      <c r="P26" s="625">
        <v>308.24200439999998</v>
      </c>
      <c r="Q26" s="700">
        <v>302.95901489257801</v>
      </c>
      <c r="R26" s="704"/>
      <c r="S26" s="624">
        <v>21</v>
      </c>
      <c r="T26" s="625">
        <v>365.52200794219863</v>
      </c>
      <c r="U26" s="625">
        <v>387.63294980000006</v>
      </c>
      <c r="V26" s="700">
        <v>358.7700004577631</v>
      </c>
    </row>
    <row r="27" spans="1:23" ht="11.25" customHeight="1">
      <c r="A27" s="77"/>
      <c r="B27" s="162"/>
      <c r="C27" s="39"/>
      <c r="D27" s="162"/>
      <c r="E27" s="162"/>
      <c r="F27" s="73"/>
      <c r="G27" s="73"/>
      <c r="H27" s="73"/>
      <c r="I27" s="73"/>
      <c r="J27" s="4"/>
      <c r="K27" s="6"/>
      <c r="L27" s="15"/>
      <c r="N27" s="624">
        <v>22</v>
      </c>
      <c r="O27" s="625">
        <v>310.60000609999997</v>
      </c>
      <c r="P27" s="625">
        <v>307.6530151</v>
      </c>
      <c r="Q27" s="700">
        <v>306.47698969999999</v>
      </c>
      <c r="R27" s="704"/>
      <c r="S27" s="624">
        <v>22</v>
      </c>
      <c r="T27" s="625">
        <v>359.19900507300002</v>
      </c>
      <c r="U27" s="625">
        <v>383.63200570999999</v>
      </c>
      <c r="V27" s="700">
        <v>353.17899700999999</v>
      </c>
    </row>
    <row r="28" spans="1:23" ht="11.25" customHeight="1">
      <c r="A28" s="77"/>
      <c r="B28" s="162"/>
      <c r="C28" s="39"/>
      <c r="D28" s="162"/>
      <c r="E28" s="162"/>
      <c r="F28" s="73"/>
      <c r="G28" s="73"/>
      <c r="H28" s="73"/>
      <c r="I28" s="73"/>
      <c r="J28" s="4"/>
      <c r="K28" s="6"/>
      <c r="L28" s="15"/>
      <c r="N28" s="624">
        <v>23</v>
      </c>
      <c r="O28" s="625">
        <v>307.06500240000003</v>
      </c>
      <c r="P28" s="625">
        <v>302.9590149</v>
      </c>
      <c r="Q28" s="700">
        <v>304.13000488281199</v>
      </c>
      <c r="R28" s="704"/>
      <c r="S28" s="624">
        <v>23</v>
      </c>
      <c r="T28" s="625">
        <v>354.24799921000005</v>
      </c>
      <c r="U28" s="625">
        <v>379.05501368</v>
      </c>
      <c r="V28" s="700">
        <v>347.3810005187978</v>
      </c>
    </row>
    <row r="29" spans="1:23" ht="11.25" customHeight="1">
      <c r="A29" s="77"/>
      <c r="B29" s="162"/>
      <c r="C29" s="39"/>
      <c r="D29" s="162"/>
      <c r="E29" s="162"/>
      <c r="F29" s="73"/>
      <c r="G29" s="73"/>
      <c r="H29" s="73"/>
      <c r="I29" s="73"/>
      <c r="J29" s="4"/>
      <c r="K29" s="6"/>
      <c r="L29" s="15"/>
      <c r="N29" s="624">
        <v>24</v>
      </c>
      <c r="O29" s="625">
        <v>300.621002197265</v>
      </c>
      <c r="P29" s="625">
        <v>291.91101070000002</v>
      </c>
      <c r="Q29" s="700">
        <v>295.9649963</v>
      </c>
      <c r="R29" s="704"/>
      <c r="S29" s="624">
        <v>24</v>
      </c>
      <c r="T29" s="625">
        <v>348.87000203132561</v>
      </c>
      <c r="U29" s="625">
        <v>374.35099984999999</v>
      </c>
      <c r="V29" s="700">
        <v>341.67700381999998</v>
      </c>
    </row>
    <row r="30" spans="1:23" ht="11.25" customHeight="1">
      <c r="A30" s="74"/>
      <c r="B30" s="73"/>
      <c r="C30" s="73"/>
      <c r="D30" s="73"/>
      <c r="E30" s="73"/>
      <c r="F30" s="73"/>
      <c r="G30" s="73"/>
      <c r="H30" s="73"/>
      <c r="I30" s="73"/>
      <c r="J30" s="3"/>
      <c r="K30" s="6"/>
      <c r="L30" s="15"/>
      <c r="N30" s="624">
        <v>25</v>
      </c>
      <c r="O30" s="625">
        <v>286.72698969999999</v>
      </c>
      <c r="P30" s="625">
        <v>282.14498900000001</v>
      </c>
      <c r="Q30" s="700">
        <v>285.57900999999998</v>
      </c>
      <c r="R30" s="704"/>
      <c r="S30" s="624">
        <v>25</v>
      </c>
      <c r="T30" s="625">
        <v>343.83099551700002</v>
      </c>
      <c r="U30" s="625">
        <v>369.41900067</v>
      </c>
      <c r="V30" s="700">
        <v>335.75800323999999</v>
      </c>
    </row>
    <row r="31" spans="1:23" ht="11.25" customHeight="1">
      <c r="A31" s="74"/>
      <c r="B31" s="73"/>
      <c r="C31" s="73"/>
      <c r="D31" s="73"/>
      <c r="E31" s="73"/>
      <c r="F31" s="73"/>
      <c r="G31" s="73"/>
      <c r="H31" s="73"/>
      <c r="I31" s="73"/>
      <c r="J31" s="3"/>
      <c r="K31" s="6"/>
      <c r="L31" s="15"/>
      <c r="N31" s="624">
        <v>26</v>
      </c>
      <c r="O31" s="625">
        <v>266.86801150000002</v>
      </c>
      <c r="P31" s="625">
        <v>270.23800660000001</v>
      </c>
      <c r="Q31" s="700">
        <v>274.75399779999998</v>
      </c>
      <c r="R31" s="704"/>
      <c r="S31" s="624">
        <v>26</v>
      </c>
      <c r="T31" s="625">
        <v>338.47100355099997</v>
      </c>
      <c r="U31" s="625">
        <v>363.95100021999997</v>
      </c>
      <c r="V31" s="700">
        <v>330.74199960999994</v>
      </c>
    </row>
    <row r="32" spans="1:23" ht="11.25" customHeight="1">
      <c r="A32" s="74"/>
      <c r="B32" s="73"/>
      <c r="C32" s="73"/>
      <c r="D32" s="73"/>
      <c r="E32" s="73"/>
      <c r="F32" s="73"/>
      <c r="G32" s="73"/>
      <c r="H32" s="73"/>
      <c r="I32" s="73"/>
      <c r="J32" s="3"/>
      <c r="K32" s="6"/>
      <c r="L32" s="15"/>
      <c r="N32" s="624">
        <v>27</v>
      </c>
      <c r="O32" s="625">
        <v>255.73500061035099</v>
      </c>
      <c r="P32" s="625">
        <v>251.32600400000001</v>
      </c>
      <c r="Q32" s="700">
        <v>261.83898929999998</v>
      </c>
      <c r="R32" s="704"/>
      <c r="S32" s="624">
        <v>27</v>
      </c>
      <c r="T32" s="625">
        <v>333.23996639251612</v>
      </c>
      <c r="U32" s="625">
        <v>358.46099474000005</v>
      </c>
      <c r="V32" s="700">
        <v>325.96500109999999</v>
      </c>
    </row>
    <row r="33" spans="1:22" ht="11.25" customHeight="1">
      <c r="A33" s="74"/>
      <c r="B33" s="73"/>
      <c r="C33" s="73"/>
      <c r="D33" s="73"/>
      <c r="E33" s="73"/>
      <c r="F33" s="73"/>
      <c r="G33" s="73"/>
      <c r="H33" s="73"/>
      <c r="I33" s="73"/>
      <c r="J33" s="3"/>
      <c r="K33" s="6"/>
      <c r="L33" s="15"/>
      <c r="N33" s="624">
        <v>28</v>
      </c>
      <c r="O33" s="625">
        <v>244.7590027</v>
      </c>
      <c r="P33" s="627">
        <v>243.66999820000001</v>
      </c>
      <c r="Q33" s="700">
        <v>249.13000489999999</v>
      </c>
      <c r="R33" s="704"/>
      <c r="S33" s="624">
        <v>28</v>
      </c>
      <c r="T33" s="625">
        <v>327.71050074999999</v>
      </c>
      <c r="U33" s="625">
        <v>352.90699958999994</v>
      </c>
      <c r="V33" s="700">
        <v>319.04200172500003</v>
      </c>
    </row>
    <row r="34" spans="1:22" ht="11.25" customHeight="1">
      <c r="A34" s="74"/>
      <c r="B34" s="73"/>
      <c r="C34" s="73"/>
      <c r="D34" s="73"/>
      <c r="E34" s="73"/>
      <c r="F34" s="73"/>
      <c r="G34" s="73"/>
      <c r="H34" s="73"/>
      <c r="I34" s="73"/>
      <c r="J34" s="3"/>
      <c r="K34" s="6"/>
      <c r="L34" s="15"/>
      <c r="N34" s="624">
        <v>29</v>
      </c>
      <c r="O34" s="625">
        <v>231.25799559999999</v>
      </c>
      <c r="P34" s="625">
        <v>236.0899963</v>
      </c>
      <c r="Q34" s="700">
        <v>235.552001953125</v>
      </c>
      <c r="R34" s="704"/>
      <c r="S34" s="624">
        <v>29</v>
      </c>
      <c r="T34" s="625">
        <v>322.11699965099996</v>
      </c>
      <c r="U34" s="625">
        <v>346.83199694000007</v>
      </c>
      <c r="V34" s="700">
        <v>313.23499679565401</v>
      </c>
    </row>
    <row r="35" spans="1:22" ht="11.25" customHeight="1">
      <c r="A35" s="74"/>
      <c r="B35" s="73"/>
      <c r="C35" s="73"/>
      <c r="D35" s="73"/>
      <c r="E35" s="73"/>
      <c r="F35" s="73"/>
      <c r="G35" s="73"/>
      <c r="H35" s="73"/>
      <c r="I35" s="73"/>
      <c r="J35" s="6"/>
      <c r="K35" s="6"/>
      <c r="L35" s="15"/>
      <c r="N35" s="624">
        <v>30</v>
      </c>
      <c r="O35" s="625">
        <v>219.58000179999999</v>
      </c>
      <c r="P35" s="625">
        <v>223.80499270000001</v>
      </c>
      <c r="Q35" s="700">
        <v>235.55200199999999</v>
      </c>
      <c r="R35" s="704"/>
      <c r="S35" s="624">
        <v>30</v>
      </c>
      <c r="T35" s="625">
        <v>316.39600081599997</v>
      </c>
      <c r="U35" s="625">
        <v>340.42700004</v>
      </c>
      <c r="V35" s="700">
        <v>308.18499564899997</v>
      </c>
    </row>
    <row r="36" spans="1:22" ht="11.25" customHeight="1">
      <c r="A36" s="74"/>
      <c r="B36" s="73"/>
      <c r="C36" s="73"/>
      <c r="D36" s="73"/>
      <c r="E36" s="73"/>
      <c r="F36" s="73"/>
      <c r="G36" s="73"/>
      <c r="H36" s="73"/>
      <c r="I36" s="73"/>
      <c r="J36" s="3"/>
      <c r="K36" s="6"/>
      <c r="L36" s="15"/>
      <c r="N36" s="624">
        <v>31</v>
      </c>
      <c r="O36" s="625">
        <v>209.128006</v>
      </c>
      <c r="P36" s="625">
        <v>211.72599790000001</v>
      </c>
      <c r="Q36" s="700">
        <v>204.47599792480401</v>
      </c>
      <c r="R36" s="704"/>
      <c r="S36" s="624">
        <v>31</v>
      </c>
      <c r="T36" s="625">
        <v>310.66199637099999</v>
      </c>
      <c r="U36" s="625">
        <v>333.77900123000001</v>
      </c>
      <c r="V36" s="700">
        <v>300.29800155758841</v>
      </c>
    </row>
    <row r="37" spans="1:22" ht="11.25" customHeight="1">
      <c r="A37" s="74"/>
      <c r="B37" s="73"/>
      <c r="C37" s="73"/>
      <c r="D37" s="73"/>
      <c r="E37" s="73"/>
      <c r="F37" s="73"/>
      <c r="G37" s="73"/>
      <c r="H37" s="73"/>
      <c r="I37" s="73"/>
      <c r="J37" s="3"/>
      <c r="K37" s="10"/>
      <c r="L37" s="15"/>
      <c r="N37" s="624">
        <v>32</v>
      </c>
      <c r="O37" s="625">
        <v>201.39199830000001</v>
      </c>
      <c r="P37" s="625">
        <v>200.36700440000001</v>
      </c>
      <c r="Q37" s="700">
        <v>190.20399475097599</v>
      </c>
      <c r="R37" s="276"/>
      <c r="S37" s="624">
        <v>32</v>
      </c>
      <c r="T37" s="625">
        <v>304.63100243800005</v>
      </c>
      <c r="U37" s="625">
        <v>326.91499899999997</v>
      </c>
      <c r="V37" s="700">
        <v>292.89500425755955</v>
      </c>
    </row>
    <row r="38" spans="1:22" ht="11.25" customHeight="1">
      <c r="A38" s="74"/>
      <c r="B38" s="73"/>
      <c r="C38" s="73"/>
      <c r="D38" s="73"/>
      <c r="E38" s="73"/>
      <c r="F38" s="73"/>
      <c r="G38" s="73"/>
      <c r="H38" s="73"/>
      <c r="I38" s="73"/>
      <c r="J38" s="3"/>
      <c r="K38" s="10"/>
      <c r="L38" s="38"/>
      <c r="N38" s="624">
        <v>33</v>
      </c>
      <c r="O38" s="625">
        <v>189.6999969</v>
      </c>
      <c r="P38" s="625">
        <v>187.18600459999999</v>
      </c>
      <c r="Q38" s="700">
        <v>187.18600459999999</v>
      </c>
      <c r="R38" s="276"/>
      <c r="S38" s="624">
        <v>33</v>
      </c>
      <c r="T38" s="625">
        <v>299.14499665</v>
      </c>
      <c r="U38" s="625">
        <v>320.04999731999993</v>
      </c>
      <c r="V38" s="700">
        <v>302.95999780999995</v>
      </c>
    </row>
    <row r="39" spans="1:22" ht="11.25" customHeight="1">
      <c r="A39" s="74"/>
      <c r="B39" s="73"/>
      <c r="C39" s="73"/>
      <c r="D39" s="73"/>
      <c r="E39" s="73"/>
      <c r="F39" s="73"/>
      <c r="G39" s="73"/>
      <c r="H39" s="73"/>
      <c r="I39" s="73"/>
      <c r="J39" s="3"/>
      <c r="K39" s="7"/>
      <c r="L39" s="15"/>
      <c r="N39" s="624">
        <v>34</v>
      </c>
      <c r="O39" s="625">
        <v>178.71099849999999</v>
      </c>
      <c r="P39" s="625">
        <v>176.73300169999999</v>
      </c>
      <c r="Q39" s="700">
        <v>173.7779999</v>
      </c>
      <c r="R39" s="276"/>
      <c r="S39" s="624">
        <v>34</v>
      </c>
      <c r="T39" s="625">
        <v>293.22399712800001</v>
      </c>
      <c r="U39" s="625">
        <v>312.22399334000005</v>
      </c>
      <c r="V39" s="700">
        <v>277.92099988699999</v>
      </c>
    </row>
    <row r="40" spans="1:22" ht="11.25" customHeight="1">
      <c r="A40" s="74"/>
      <c r="B40" s="73"/>
      <c r="C40" s="73"/>
      <c r="D40" s="73"/>
      <c r="E40" s="73"/>
      <c r="F40" s="73"/>
      <c r="G40" s="73"/>
      <c r="H40" s="73"/>
      <c r="I40" s="73"/>
      <c r="J40" s="3"/>
      <c r="K40" s="7"/>
      <c r="L40" s="15"/>
      <c r="N40" s="624">
        <v>35</v>
      </c>
      <c r="O40" s="625">
        <v>167.91000366210901</v>
      </c>
      <c r="P40" s="628">
        <v>168.8840027</v>
      </c>
      <c r="Q40" s="700">
        <v>169.37899780273401</v>
      </c>
      <c r="R40" s="276"/>
      <c r="S40" s="624">
        <v>35</v>
      </c>
      <c r="T40" s="625">
        <v>287.11000061035065</v>
      </c>
      <c r="U40" s="625">
        <v>304.73300071000006</v>
      </c>
      <c r="V40" s="700">
        <v>270.68900412321057</v>
      </c>
    </row>
    <row r="41" spans="1:22" ht="11.25" customHeight="1">
      <c r="A41" s="74"/>
      <c r="B41" s="73"/>
      <c r="C41" s="73"/>
      <c r="D41" s="73"/>
      <c r="E41" s="73"/>
      <c r="F41" s="73"/>
      <c r="G41" s="73"/>
      <c r="H41" s="73"/>
      <c r="I41" s="73"/>
      <c r="J41" s="3"/>
      <c r="K41" s="7"/>
      <c r="L41" s="15"/>
      <c r="N41" s="624">
        <v>36</v>
      </c>
      <c r="O41" s="625">
        <v>158.25599670410099</v>
      </c>
      <c r="P41" s="628">
        <v>158.2559967</v>
      </c>
      <c r="Q41" s="700">
        <v>165.48199460000001</v>
      </c>
      <c r="R41" s="276"/>
      <c r="S41" s="624">
        <v>36</v>
      </c>
      <c r="T41" s="625">
        <v>280.34500217437699</v>
      </c>
      <c r="U41" s="625">
        <v>297.47899814000004</v>
      </c>
      <c r="V41" s="700">
        <v>263.03699629800002</v>
      </c>
    </row>
    <row r="42" spans="1:22" ht="11.25" customHeight="1">
      <c r="A42" s="74"/>
      <c r="B42" s="73"/>
      <c r="C42" s="73"/>
      <c r="D42" s="73"/>
      <c r="E42" s="73"/>
      <c r="F42" s="73"/>
      <c r="G42" s="73"/>
      <c r="H42" s="73"/>
      <c r="I42" s="73"/>
      <c r="J42" s="6"/>
      <c r="K42" s="10"/>
      <c r="L42" s="15"/>
      <c r="N42" s="624">
        <v>37</v>
      </c>
      <c r="O42" s="625">
        <v>147.34800720214801</v>
      </c>
      <c r="P42" s="628">
        <v>147.34800720000001</v>
      </c>
      <c r="Q42" s="700">
        <v>142.98404230134</v>
      </c>
      <c r="R42" s="276"/>
      <c r="S42" s="624">
        <v>37</v>
      </c>
      <c r="T42" s="625">
        <v>273.90200042724575</v>
      </c>
      <c r="U42" s="625">
        <v>289.18600270099995</v>
      </c>
      <c r="V42" s="700">
        <v>267.3754964899627</v>
      </c>
    </row>
    <row r="43" spans="1:22" ht="11.25" customHeight="1">
      <c r="A43" s="74"/>
      <c r="B43" s="73"/>
      <c r="C43" s="73"/>
      <c r="D43" s="73"/>
      <c r="E43" s="73"/>
      <c r="F43" s="73"/>
      <c r="G43" s="73"/>
      <c r="H43" s="73"/>
      <c r="I43" s="73"/>
      <c r="J43" s="3"/>
      <c r="K43" s="10"/>
      <c r="L43" s="15"/>
      <c r="N43" s="624">
        <v>38</v>
      </c>
      <c r="O43" s="625">
        <v>136.64599609375</v>
      </c>
      <c r="P43" s="628">
        <v>131.14500430000001</v>
      </c>
      <c r="Q43" s="700">
        <v>132.51499938964801</v>
      </c>
      <c r="R43" s="276"/>
      <c r="S43" s="624">
        <v>38</v>
      </c>
      <c r="T43" s="625">
        <v>267.16300058364783</v>
      </c>
      <c r="U43" s="625">
        <v>281.63800617199996</v>
      </c>
      <c r="V43" s="700">
        <v>247.34099905192824</v>
      </c>
    </row>
    <row r="44" spans="1:22" ht="11.25" customHeight="1">
      <c r="A44" s="74"/>
      <c r="B44" s="73"/>
      <c r="C44" s="73"/>
      <c r="D44" s="73"/>
      <c r="E44" s="73"/>
      <c r="F44" s="73"/>
      <c r="G44" s="73"/>
      <c r="H44" s="73"/>
      <c r="I44" s="73"/>
      <c r="J44" s="3"/>
      <c r="K44" s="10"/>
      <c r="L44" s="15"/>
      <c r="N44" s="624">
        <v>39</v>
      </c>
      <c r="O44" s="625">
        <v>131.14500430000001</v>
      </c>
      <c r="P44" s="628">
        <v>117.1940002</v>
      </c>
      <c r="Q44" s="700">
        <v>131.60099790000001</v>
      </c>
      <c r="R44" s="276"/>
      <c r="S44" s="624">
        <v>39</v>
      </c>
      <c r="T44" s="625">
        <v>262.426999588</v>
      </c>
      <c r="U44" s="625">
        <v>274.41000078900004</v>
      </c>
      <c r="V44" s="700">
        <v>239.01999990799999</v>
      </c>
    </row>
    <row r="45" spans="1:22" ht="11.25" customHeight="1">
      <c r="A45" s="74"/>
      <c r="B45" s="73"/>
      <c r="C45" s="73"/>
      <c r="D45" s="73"/>
      <c r="E45" s="73"/>
      <c r="F45" s="73"/>
      <c r="G45" s="73"/>
      <c r="H45" s="73"/>
      <c r="I45" s="73"/>
      <c r="J45" s="11"/>
      <c r="K45" s="11"/>
      <c r="L45" s="11"/>
      <c r="N45" s="624">
        <v>40</v>
      </c>
      <c r="O45" s="625">
        <v>120.7580032</v>
      </c>
      <c r="P45" s="625">
        <v>113.2139969</v>
      </c>
      <c r="Q45" s="700">
        <v>127.05599975585901</v>
      </c>
      <c r="R45" s="276"/>
      <c r="S45" s="624">
        <v>40</v>
      </c>
      <c r="T45" s="625">
        <v>258.968997</v>
      </c>
      <c r="U45" s="625">
        <v>267.74887463900001</v>
      </c>
      <c r="V45" s="700">
        <v>230.88899938762165</v>
      </c>
    </row>
    <row r="46" spans="1:22" ht="11.25" customHeight="1">
      <c r="A46" s="74"/>
      <c r="B46" s="73"/>
      <c r="C46" s="73"/>
      <c r="D46" s="73"/>
      <c r="E46" s="73"/>
      <c r="F46" s="73"/>
      <c r="G46" s="73"/>
      <c r="H46" s="73"/>
      <c r="I46" s="73"/>
      <c r="J46" s="11"/>
      <c r="K46" s="11"/>
      <c r="L46" s="11"/>
      <c r="N46" s="624">
        <v>41</v>
      </c>
      <c r="O46" s="625">
        <v>102.3249969</v>
      </c>
      <c r="P46" s="625">
        <v>105.78199770000001</v>
      </c>
      <c r="Q46" s="700">
        <v>113.457096562483</v>
      </c>
      <c r="R46" s="276"/>
      <c r="S46" s="624">
        <v>41</v>
      </c>
      <c r="T46" s="625">
        <v>255.76199719799999</v>
      </c>
      <c r="U46" s="625">
        <v>261.11699532200004</v>
      </c>
      <c r="V46" s="700">
        <v>221.89513753580701</v>
      </c>
    </row>
    <row r="47" spans="1:22" ht="11.25" customHeight="1">
      <c r="A47" s="74"/>
      <c r="B47" s="73"/>
      <c r="C47" s="73"/>
      <c r="D47" s="73"/>
      <c r="E47" s="73"/>
      <c r="F47" s="73"/>
      <c r="G47" s="73"/>
      <c r="H47" s="73"/>
      <c r="I47" s="73"/>
      <c r="J47" s="11"/>
      <c r="K47" s="11"/>
      <c r="L47" s="11"/>
      <c r="N47" s="624">
        <v>42</v>
      </c>
      <c r="O47" s="625">
        <v>92.944999694824205</v>
      </c>
      <c r="P47" s="625">
        <v>94.636001590000006</v>
      </c>
      <c r="Q47" s="700">
        <v>110.13999939999999</v>
      </c>
      <c r="R47" s="276"/>
      <c r="S47" s="624">
        <v>42</v>
      </c>
      <c r="T47" s="625">
        <v>251.31199836730943</v>
      </c>
      <c r="U47" s="625">
        <v>255.18400193299999</v>
      </c>
      <c r="V47" s="700">
        <v>214.51600204000002</v>
      </c>
    </row>
    <row r="48" spans="1:22" ht="11.25" customHeight="1">
      <c r="A48" s="74"/>
      <c r="B48" s="73"/>
      <c r="C48" s="73"/>
      <c r="D48" s="73"/>
      <c r="E48" s="73"/>
      <c r="F48" s="73"/>
      <c r="G48" s="73"/>
      <c r="H48" s="73"/>
      <c r="I48" s="73"/>
      <c r="J48" s="11"/>
      <c r="K48" s="11"/>
      <c r="L48" s="11"/>
      <c r="N48" s="624">
        <v>43</v>
      </c>
      <c r="O48" s="625">
        <v>84.166999820000001</v>
      </c>
      <c r="P48" s="625">
        <v>83.753997799999993</v>
      </c>
      <c r="Q48" s="700">
        <v>91.259002685546804</v>
      </c>
      <c r="R48" s="276"/>
      <c r="S48" s="624">
        <v>43</v>
      </c>
      <c r="T48" s="625">
        <v>245.88199755799999</v>
      </c>
      <c r="U48" s="625">
        <v>247.82599997900002</v>
      </c>
      <c r="V48" s="700">
        <v>206.5210008025168</v>
      </c>
    </row>
    <row r="49" spans="1:22" ht="11.25" customHeight="1">
      <c r="A49" s="74"/>
      <c r="B49" s="73"/>
      <c r="C49" s="73"/>
      <c r="D49" s="73"/>
      <c r="E49" s="73"/>
      <c r="F49" s="73"/>
      <c r="G49" s="73"/>
      <c r="H49" s="73"/>
      <c r="I49" s="73"/>
      <c r="J49" s="11"/>
      <c r="K49" s="11"/>
      <c r="L49" s="11"/>
      <c r="N49" s="624">
        <v>44</v>
      </c>
      <c r="O49" s="625">
        <v>82.51499939</v>
      </c>
      <c r="P49" s="625">
        <v>73.136001590000006</v>
      </c>
      <c r="Q49" s="700">
        <v>69.921997070000003</v>
      </c>
      <c r="R49" s="276"/>
      <c r="S49" s="624">
        <v>44</v>
      </c>
      <c r="T49" s="625">
        <v>239.051002463</v>
      </c>
      <c r="U49" s="625">
        <v>240.19699645200001</v>
      </c>
      <c r="V49" s="700">
        <v>205.3030003903163</v>
      </c>
    </row>
    <row r="50" spans="1:22" ht="13.2">
      <c r="A50" s="74"/>
      <c r="B50" s="73"/>
      <c r="C50" s="73"/>
      <c r="D50" s="73"/>
      <c r="E50" s="73"/>
      <c r="F50" s="73"/>
      <c r="G50" s="73"/>
      <c r="H50" s="73"/>
      <c r="I50" s="73"/>
      <c r="J50" s="11"/>
      <c r="K50" s="11"/>
      <c r="L50" s="11"/>
      <c r="N50" s="624">
        <v>45</v>
      </c>
      <c r="O50" s="625">
        <v>72.33000183</v>
      </c>
      <c r="P50" s="625">
        <v>72.33000183</v>
      </c>
      <c r="Q50" s="700">
        <v>66.931999206542898</v>
      </c>
      <c r="R50" s="276"/>
      <c r="S50" s="624">
        <v>45</v>
      </c>
      <c r="T50" s="625">
        <v>232.679000852</v>
      </c>
      <c r="U50" s="625">
        <v>232.069998986</v>
      </c>
      <c r="V50" s="700">
        <v>197.31799500565413</v>
      </c>
    </row>
    <row r="51" spans="1:22" ht="13.2">
      <c r="A51" s="74"/>
      <c r="B51" s="73"/>
      <c r="C51" s="73"/>
      <c r="D51" s="73"/>
      <c r="E51" s="73"/>
      <c r="F51" s="73"/>
      <c r="G51" s="73"/>
      <c r="H51" s="73"/>
      <c r="I51" s="73"/>
      <c r="J51" s="11"/>
      <c r="K51" s="11"/>
      <c r="L51" s="11"/>
      <c r="N51" s="624">
        <v>46</v>
      </c>
      <c r="O51" s="625">
        <v>57.318000789999999</v>
      </c>
      <c r="P51" s="625">
        <v>66.33699799</v>
      </c>
      <c r="Q51" s="700">
        <v>50.784000399999996</v>
      </c>
      <c r="R51" s="276"/>
      <c r="S51" s="624">
        <v>46</v>
      </c>
      <c r="T51" s="625">
        <v>225.80399990800001</v>
      </c>
      <c r="U51" s="625">
        <v>224.04500101899998</v>
      </c>
      <c r="V51" s="700">
        <v>182.13499730299998</v>
      </c>
    </row>
    <row r="52" spans="1:22" ht="13.2">
      <c r="A52" s="74"/>
      <c r="B52" s="73"/>
      <c r="C52" s="73"/>
      <c r="D52" s="73"/>
      <c r="E52" s="73"/>
      <c r="F52" s="73"/>
      <c r="G52" s="73"/>
      <c r="H52" s="73"/>
      <c r="I52" s="73"/>
      <c r="J52" s="11"/>
      <c r="K52" s="11"/>
      <c r="L52" s="11"/>
      <c r="N52" s="624">
        <v>47</v>
      </c>
      <c r="O52" s="625">
        <v>44.738998410000001</v>
      </c>
      <c r="P52" s="625">
        <v>59.261001589999999</v>
      </c>
      <c r="Q52" s="700">
        <v>43.990001679999999</v>
      </c>
      <c r="R52" s="276"/>
      <c r="S52" s="624">
        <v>47</v>
      </c>
      <c r="T52" s="625">
        <v>219.24500608799997</v>
      </c>
      <c r="U52" s="625">
        <v>219.29099989100001</v>
      </c>
      <c r="V52" s="700">
        <v>175.02100271200001</v>
      </c>
    </row>
    <row r="53" spans="1:22" ht="13.2">
      <c r="A53" s="74"/>
      <c r="B53" s="73"/>
      <c r="C53" s="73"/>
      <c r="D53" s="73"/>
      <c r="E53" s="73"/>
      <c r="F53" s="73"/>
      <c r="G53" s="73"/>
      <c r="H53" s="73"/>
      <c r="I53" s="73"/>
      <c r="J53" s="11"/>
      <c r="K53" s="11"/>
      <c r="L53" s="11"/>
      <c r="N53" s="624">
        <v>48</v>
      </c>
      <c r="O53" s="625">
        <v>34.763999939999998</v>
      </c>
      <c r="P53" s="625">
        <v>59.261001589999999</v>
      </c>
      <c r="Q53" s="700">
        <v>28.9869995117187</v>
      </c>
      <c r="R53" s="276"/>
      <c r="S53" s="624">
        <v>48</v>
      </c>
      <c r="T53" s="625">
        <v>212.09200192</v>
      </c>
      <c r="U53" s="625">
        <v>216.02500223999999</v>
      </c>
      <c r="V53" s="700">
        <v>167.88399881124482</v>
      </c>
    </row>
    <row r="54" spans="1:22" ht="13.2">
      <c r="A54" s="74"/>
      <c r="B54" s="73"/>
      <c r="C54" s="73"/>
      <c r="D54" s="73"/>
      <c r="E54" s="73"/>
      <c r="F54" s="73"/>
      <c r="G54" s="73"/>
      <c r="H54" s="73"/>
      <c r="I54" s="73"/>
      <c r="J54" s="11"/>
      <c r="K54" s="11"/>
      <c r="L54" s="11"/>
      <c r="N54" s="624">
        <v>49</v>
      </c>
      <c r="O54" s="705">
        <v>27.915000920000001</v>
      </c>
      <c r="P54" s="625">
        <v>47.749000549999998</v>
      </c>
      <c r="Q54" s="700">
        <v>14.64000034</v>
      </c>
      <c r="R54" s="276"/>
      <c r="S54" s="624">
        <v>49</v>
      </c>
      <c r="T54" s="625">
        <v>206.70499944799997</v>
      </c>
      <c r="U54" s="625">
        <v>215.407995212</v>
      </c>
      <c r="V54" s="700">
        <v>163.290001034</v>
      </c>
    </row>
    <row r="55" spans="1:22" ht="13.2">
      <c r="A55" s="74"/>
      <c r="B55" s="73"/>
      <c r="C55" s="73"/>
      <c r="D55" s="73"/>
      <c r="E55" s="73"/>
      <c r="F55" s="73"/>
      <c r="G55" s="73"/>
      <c r="H55" s="73"/>
      <c r="I55" s="73"/>
      <c r="J55" s="11"/>
      <c r="K55" s="11"/>
      <c r="L55" s="11"/>
      <c r="N55" s="624">
        <v>50</v>
      </c>
      <c r="O55" s="625">
        <v>19.81399918</v>
      </c>
      <c r="P55" s="625">
        <v>46.993999479999999</v>
      </c>
      <c r="Q55" s="700">
        <v>29.344999309999999</v>
      </c>
      <c r="R55" s="276"/>
      <c r="S55" s="624">
        <v>50</v>
      </c>
      <c r="T55" s="625">
        <v>200.08300209800001</v>
      </c>
      <c r="U55" s="625">
        <v>212.33400107200001</v>
      </c>
      <c r="V55" s="700">
        <v>164.16899752900002</v>
      </c>
    </row>
    <row r="56" spans="1:22" ht="13.2">
      <c r="A56" s="74"/>
      <c r="B56" s="73"/>
      <c r="C56" s="73"/>
      <c r="D56" s="73"/>
      <c r="E56" s="73"/>
      <c r="F56" s="73"/>
      <c r="G56" s="73"/>
      <c r="H56" s="73"/>
      <c r="I56" s="73"/>
      <c r="J56" s="11"/>
      <c r="K56" s="11"/>
      <c r="L56" s="11"/>
      <c r="N56" s="624">
        <v>51</v>
      </c>
      <c r="O56" s="625">
        <v>22.256999969999999</v>
      </c>
      <c r="P56" s="625">
        <v>35.858001710000003</v>
      </c>
      <c r="Q56" s="700">
        <v>24.719999309999999</v>
      </c>
      <c r="R56" s="276"/>
      <c r="S56" s="624">
        <v>51</v>
      </c>
      <c r="T56" s="625">
        <v>200.81900405299996</v>
      </c>
      <c r="U56" s="625">
        <v>207.130002496</v>
      </c>
      <c r="V56" s="700">
        <v>159.756001709</v>
      </c>
    </row>
    <row r="57" spans="1:22" ht="13.2">
      <c r="A57" s="74"/>
      <c r="B57" s="73"/>
      <c r="C57" s="73"/>
      <c r="D57" s="73"/>
      <c r="E57" s="73"/>
      <c r="F57" s="73"/>
      <c r="G57" s="73"/>
      <c r="H57" s="73"/>
      <c r="I57" s="73"/>
      <c r="N57" s="624">
        <v>52</v>
      </c>
      <c r="O57" s="625">
        <v>51.54700089</v>
      </c>
      <c r="P57" s="625">
        <v>31.502000809999998</v>
      </c>
      <c r="Q57" s="700">
        <v>32.981665290000002</v>
      </c>
      <c r="R57" s="276"/>
      <c r="S57" s="624">
        <v>52</v>
      </c>
      <c r="T57" s="625">
        <v>217.92999649000001</v>
      </c>
      <c r="U57" s="625">
        <v>207.130002496</v>
      </c>
      <c r="V57" s="700">
        <v>158.87100076566699</v>
      </c>
    </row>
    <row r="58" spans="1:22" ht="13.2">
      <c r="A58" s="74"/>
      <c r="B58" s="73"/>
      <c r="C58" s="73"/>
      <c r="D58" s="73"/>
      <c r="E58" s="73"/>
      <c r="F58" s="73"/>
      <c r="G58" s="73"/>
      <c r="H58" s="73"/>
      <c r="I58" s="73"/>
      <c r="N58" s="624">
        <v>53</v>
      </c>
      <c r="O58" s="276">
        <v>140.34500120000001</v>
      </c>
      <c r="P58" s="276"/>
      <c r="Q58" s="276"/>
      <c r="R58" s="276"/>
      <c r="S58" s="624">
        <v>53</v>
      </c>
      <c r="T58" s="625"/>
      <c r="U58" s="625"/>
      <c r="V58" s="700"/>
    </row>
    <row r="59" spans="1:22" ht="13.2">
      <c r="B59" s="73"/>
      <c r="C59" s="73"/>
      <c r="D59" s="73"/>
      <c r="E59" s="73"/>
      <c r="F59" s="73"/>
      <c r="G59" s="73"/>
      <c r="H59" s="73"/>
      <c r="I59" s="73"/>
    </row>
    <row r="60" spans="1:22" ht="13.2">
      <c r="A60" s="74"/>
      <c r="B60" s="73"/>
      <c r="C60" s="73"/>
      <c r="D60" s="73"/>
      <c r="E60" s="73"/>
      <c r="F60" s="73"/>
      <c r="G60" s="73"/>
      <c r="H60" s="73"/>
      <c r="I60" s="73"/>
    </row>
    <row r="63" spans="1:22">
      <c r="A63" s="263" t="s">
        <v>603</v>
      </c>
    </row>
  </sheetData>
  <mergeCells count="2">
    <mergeCell ref="A5:I5"/>
    <mergeCell ref="B7:C7"/>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AH182"/>
  <sheetViews>
    <sheetView showGridLines="0" view="pageBreakPreview" zoomScaleNormal="100" zoomScaleSheetLayoutView="100" workbookViewId="0">
      <selection activeCell="D14" sqref="D14"/>
    </sheetView>
  </sheetViews>
  <sheetFormatPr baseColWidth="10" defaultColWidth="9.28515625" defaultRowHeight="10.199999999999999"/>
  <cols>
    <col min="1" max="1" width="9.42578125" customWidth="1"/>
    <col min="2" max="2" width="11.42578125" customWidth="1"/>
    <col min="3" max="3" width="31.85546875" customWidth="1"/>
    <col min="4" max="5" width="12" customWidth="1"/>
    <col min="6" max="6" width="12.28515625" customWidth="1"/>
    <col min="7" max="7" width="11.140625" customWidth="1"/>
    <col min="8" max="8" width="11.85546875" customWidth="1"/>
    <col min="9" max="9" width="9.28515625" customWidth="1"/>
    <col min="10" max="10" width="9.28515625" style="276"/>
    <col min="11" max="11" width="9.28515625" style="518"/>
    <col min="12" max="12" width="3.140625" style="518" bestFit="1" customWidth="1"/>
    <col min="13" max="16" width="9.28515625" style="276"/>
    <col min="17" max="17" width="9.28515625" style="277"/>
    <col min="18" max="31" width="9.28515625" style="748"/>
    <col min="32" max="34" width="9.28515625" style="662"/>
  </cols>
  <sheetData>
    <row r="1" spans="1:15" ht="11.25" customHeight="1"/>
    <row r="2" spans="1:15" ht="11.25" customHeight="1">
      <c r="A2" s="17"/>
      <c r="B2" s="17"/>
      <c r="C2" s="17"/>
      <c r="D2" s="17"/>
      <c r="E2" s="73"/>
      <c r="F2" s="73"/>
      <c r="G2" s="73"/>
    </row>
    <row r="3" spans="1:15" ht="17.25" customHeight="1">
      <c r="A3" s="909" t="s">
        <v>366</v>
      </c>
      <c r="B3" s="909"/>
      <c r="C3" s="909"/>
      <c r="D3" s="909"/>
      <c r="E3" s="909"/>
      <c r="F3" s="909"/>
      <c r="G3" s="909"/>
      <c r="H3" s="36"/>
      <c r="I3" s="36"/>
      <c r="K3" s="518" t="s">
        <v>255</v>
      </c>
      <c r="M3" s="276" t="s">
        <v>256</v>
      </c>
      <c r="N3" s="276" t="s">
        <v>257</v>
      </c>
      <c r="O3" s="276" t="s">
        <v>258</v>
      </c>
    </row>
    <row r="4" spans="1:15" ht="11.25" customHeight="1">
      <c r="A4" s="74"/>
      <c r="B4" s="73"/>
      <c r="C4" s="73"/>
      <c r="D4" s="73"/>
      <c r="E4" s="73"/>
      <c r="F4" s="73"/>
      <c r="G4" s="73"/>
      <c r="H4" s="36"/>
      <c r="I4" s="36"/>
      <c r="J4" s="276">
        <v>2020</v>
      </c>
      <c r="L4" s="518">
        <v>1</v>
      </c>
      <c r="M4" s="629">
        <v>42.7519994463239</v>
      </c>
      <c r="N4" s="629">
        <v>129.33128356933543</v>
      </c>
      <c r="O4" s="629">
        <v>35.412713732038192</v>
      </c>
    </row>
    <row r="5" spans="1:15" ht="11.25" customHeight="1">
      <c r="A5" s="74"/>
      <c r="B5" s="73"/>
      <c r="C5" s="73"/>
      <c r="D5" s="73"/>
      <c r="E5" s="73"/>
      <c r="F5" s="73"/>
      <c r="G5" s="73"/>
      <c r="H5" s="12"/>
      <c r="I5" s="12"/>
      <c r="L5" s="518">
        <v>2</v>
      </c>
      <c r="M5" s="629">
        <v>30.679571151428568</v>
      </c>
      <c r="N5" s="629">
        <v>73.393001012857141</v>
      </c>
      <c r="O5" s="629">
        <v>22.044856754285714</v>
      </c>
    </row>
    <row r="6" spans="1:15" ht="29.25" customHeight="1">
      <c r="A6" s="136"/>
      <c r="C6" s="373" t="s">
        <v>142</v>
      </c>
      <c r="D6" s="376" t="str">
        <f>UPPER('1. Resumen'!Q4)&amp;"
 "&amp;'1. Resumen'!Q5</f>
        <v>FEBRERO
 2023</v>
      </c>
      <c r="E6" s="377" t="str">
        <f>UPPER('1. Resumen'!Q4)&amp;"
 "&amp;'1. Resumen'!Q5-1</f>
        <v>FEBRERO
 2022</v>
      </c>
      <c r="F6" s="378" t="s">
        <v>418</v>
      </c>
      <c r="G6" s="138"/>
      <c r="H6" s="24"/>
      <c r="I6" s="12"/>
      <c r="L6" s="518">
        <v>3</v>
      </c>
      <c r="M6" s="629">
        <v>46.443999700000006</v>
      </c>
      <c r="N6" s="629">
        <v>73.092571804285726</v>
      </c>
      <c r="O6" s="629">
        <v>18.210142817142859</v>
      </c>
    </row>
    <row r="7" spans="1:15" ht="11.25" customHeight="1">
      <c r="A7" s="174"/>
      <c r="C7" s="418" t="s">
        <v>143</v>
      </c>
      <c r="D7" s="419">
        <v>44.021250316074884</v>
      </c>
      <c r="E7" s="419">
        <v>122.26685714721654</v>
      </c>
      <c r="F7" s="420">
        <f>IF(E7=0,"",(D7-E7)/E7)</f>
        <v>-0.6399576193974571</v>
      </c>
      <c r="G7" s="138"/>
      <c r="H7" s="25"/>
      <c r="I7" s="3"/>
      <c r="L7" s="518">
        <v>4</v>
      </c>
      <c r="M7" s="629">
        <v>56.559571404285713</v>
      </c>
      <c r="N7" s="629">
        <v>140.69343129999999</v>
      </c>
      <c r="O7" s="629">
        <v>15.934428624285713</v>
      </c>
    </row>
    <row r="8" spans="1:15" ht="11.25" customHeight="1">
      <c r="A8" s="174"/>
      <c r="C8" s="421" t="s">
        <v>553</v>
      </c>
      <c r="D8" s="422">
        <v>31.007892949240521</v>
      </c>
      <c r="E8" s="422">
        <v>49.386714322226346</v>
      </c>
      <c r="F8" s="423">
        <f t="shared" ref="F8:F17" si="0">IF(E8=0,"",(D8-E8)/E8)</f>
        <v>-0.37214100239736925</v>
      </c>
      <c r="G8" s="138"/>
      <c r="H8" s="23"/>
      <c r="I8" s="3"/>
      <c r="L8" s="518">
        <v>5</v>
      </c>
      <c r="M8" s="629">
        <v>85.997285015714283</v>
      </c>
      <c r="N8" s="629">
        <v>189.96014404285714</v>
      </c>
      <c r="O8" s="629">
        <v>16.347999845714288</v>
      </c>
    </row>
    <row r="9" spans="1:15" ht="11.25" customHeight="1">
      <c r="A9" s="174"/>
      <c r="C9" s="424" t="s">
        <v>149</v>
      </c>
      <c r="D9" s="425">
        <v>165.35421453203438</v>
      </c>
      <c r="E9" s="425">
        <v>196.37796238490475</v>
      </c>
      <c r="F9" s="426">
        <f t="shared" si="0"/>
        <v>-0.15797978284377553</v>
      </c>
      <c r="G9" s="138"/>
      <c r="H9" s="25"/>
      <c r="I9" s="3"/>
      <c r="L9" s="518">
        <v>6</v>
      </c>
      <c r="M9" s="629">
        <v>79.643857683454215</v>
      </c>
      <c r="N9" s="629">
        <v>184.55100359235459</v>
      </c>
      <c r="O9" s="629">
        <v>24.545571190970243</v>
      </c>
    </row>
    <row r="10" spans="1:15" ht="11.25" customHeight="1">
      <c r="A10" s="174"/>
      <c r="C10" s="421" t="s">
        <v>155</v>
      </c>
      <c r="D10" s="422">
        <v>108.60942813328312</v>
      </c>
      <c r="E10" s="422">
        <v>138.09353664943106</v>
      </c>
      <c r="F10" s="423">
        <f t="shared" si="0"/>
        <v>-0.2135082439882563</v>
      </c>
      <c r="G10" s="138"/>
      <c r="H10" s="25"/>
      <c r="I10" s="3"/>
      <c r="L10" s="518">
        <v>7</v>
      </c>
      <c r="M10" s="629">
        <v>62.11542837857143</v>
      </c>
      <c r="N10" s="629">
        <v>141.4891401142857</v>
      </c>
      <c r="O10" s="629">
        <v>17.933714184285712</v>
      </c>
    </row>
    <row r="11" spans="1:15" ht="11.25" customHeight="1">
      <c r="A11" s="174"/>
      <c r="C11" s="424" t="s">
        <v>156</v>
      </c>
      <c r="D11" s="425">
        <v>76.421857561383788</v>
      </c>
      <c r="E11" s="425">
        <v>77.533999783651893</v>
      </c>
      <c r="F11" s="426">
        <f t="shared" si="0"/>
        <v>-1.4343929442198091E-2</v>
      </c>
      <c r="G11" s="138"/>
      <c r="H11" s="25"/>
      <c r="I11" s="3"/>
      <c r="K11" s="518">
        <v>8</v>
      </c>
      <c r="L11" s="518">
        <v>8</v>
      </c>
      <c r="M11" s="629">
        <v>41.134571620396166</v>
      </c>
      <c r="N11" s="629">
        <v>83.969571794782198</v>
      </c>
      <c r="O11" s="629">
        <v>15.5625712530953</v>
      </c>
    </row>
    <row r="12" spans="1:15" ht="11.25" customHeight="1">
      <c r="A12" s="174"/>
      <c r="C12" s="421" t="s">
        <v>157</v>
      </c>
      <c r="D12" s="422">
        <v>53.163107122693688</v>
      </c>
      <c r="E12" s="422">
        <v>57.161500658307652</v>
      </c>
      <c r="F12" s="423">
        <f t="shared" si="0"/>
        <v>-6.9949065184887707E-2</v>
      </c>
      <c r="G12" s="138"/>
      <c r="H12" s="25"/>
      <c r="I12" s="3"/>
      <c r="L12" s="518">
        <v>9</v>
      </c>
      <c r="M12" s="629">
        <v>70.027142117142859</v>
      </c>
      <c r="N12" s="629">
        <v>124.34114185428572</v>
      </c>
      <c r="O12" s="629">
        <v>23.340428760000002</v>
      </c>
    </row>
    <row r="13" spans="1:15" ht="11.25" customHeight="1">
      <c r="A13" s="174"/>
      <c r="C13" s="424" t="s">
        <v>148</v>
      </c>
      <c r="D13" s="425">
        <v>126.404</v>
      </c>
      <c r="E13" s="425">
        <v>92.128273809523819</v>
      </c>
      <c r="F13" s="426">
        <f t="shared" si="0"/>
        <v>0.37204350817797371</v>
      </c>
      <c r="G13" s="138"/>
      <c r="H13" s="23"/>
      <c r="I13" s="3"/>
      <c r="L13" s="518">
        <v>10</v>
      </c>
      <c r="M13" s="629">
        <v>51.713285718571434</v>
      </c>
      <c r="N13" s="629">
        <v>110.96499854142857</v>
      </c>
      <c r="O13" s="629">
        <v>51.143429344285714</v>
      </c>
    </row>
    <row r="14" spans="1:15" ht="11.25" customHeight="1">
      <c r="A14" s="174"/>
      <c r="C14" s="421" t="s">
        <v>246</v>
      </c>
      <c r="D14" s="422">
        <v>67.020468303135416</v>
      </c>
      <c r="E14" s="422">
        <v>100.96462876456108</v>
      </c>
      <c r="F14" s="423">
        <f t="shared" si="0"/>
        <v>-0.33619853682203782</v>
      </c>
      <c r="G14" s="138"/>
      <c r="H14" s="25"/>
      <c r="I14" s="3"/>
      <c r="L14" s="518">
        <v>11</v>
      </c>
      <c r="M14" s="629">
        <v>64.999999455714274</v>
      </c>
      <c r="N14" s="629">
        <v>130.17914037142856</v>
      </c>
      <c r="O14" s="629">
        <v>73.820713587142862</v>
      </c>
    </row>
    <row r="15" spans="1:15" ht="11.25" customHeight="1">
      <c r="A15" s="174"/>
      <c r="C15" s="424" t="s">
        <v>247</v>
      </c>
      <c r="D15" s="425">
        <v>130.81446484156984</v>
      </c>
      <c r="E15" s="425">
        <v>376.97392708914589</v>
      </c>
      <c r="F15" s="426">
        <f t="shared" si="0"/>
        <v>-0.65298803062675692</v>
      </c>
      <c r="G15" s="138"/>
      <c r="H15" s="25"/>
      <c r="I15" s="3"/>
      <c r="L15" s="518">
        <v>12</v>
      </c>
      <c r="M15" s="629">
        <v>70.530143192836164</v>
      </c>
      <c r="N15" s="629">
        <v>127.86657169886942</v>
      </c>
      <c r="O15" s="629">
        <v>34.1388571602957</v>
      </c>
    </row>
    <row r="16" spans="1:15" ht="11.25" customHeight="1">
      <c r="A16" s="174"/>
      <c r="C16" s="421" t="s">
        <v>153</v>
      </c>
      <c r="D16" s="422">
        <v>68.207321575709642</v>
      </c>
      <c r="E16" s="422">
        <v>72.26374994005468</v>
      </c>
      <c r="F16" s="423">
        <f t="shared" si="0"/>
        <v>-5.6133654393938706E-2</v>
      </c>
      <c r="G16" s="138"/>
      <c r="H16" s="25"/>
      <c r="I16" s="3"/>
      <c r="L16" s="518">
        <v>13</v>
      </c>
      <c r="M16" s="629">
        <v>73.710714612688278</v>
      </c>
      <c r="N16" s="629">
        <v>138.12900325230143</v>
      </c>
      <c r="O16" s="629">
        <v>66.457714898245612</v>
      </c>
    </row>
    <row r="17" spans="1:15" ht="11.25" customHeight="1">
      <c r="A17" s="174"/>
      <c r="C17" s="424" t="s">
        <v>558</v>
      </c>
      <c r="D17" s="425">
        <v>29.02</v>
      </c>
      <c r="E17" s="425">
        <v>23.539678539548554</v>
      </c>
      <c r="F17" s="426">
        <f t="shared" si="0"/>
        <v>0.23281207732909628</v>
      </c>
      <c r="G17" s="138"/>
      <c r="H17" s="25"/>
      <c r="I17" s="3"/>
      <c r="L17" s="518">
        <v>14</v>
      </c>
      <c r="M17" s="629">
        <v>57.796857017142862</v>
      </c>
      <c r="N17" s="629">
        <v>109.14457049285714</v>
      </c>
      <c r="O17" s="629">
        <v>82.626999985714278</v>
      </c>
    </row>
    <row r="18" spans="1:15" ht="11.25" customHeight="1">
      <c r="A18" s="174"/>
      <c r="C18" s="421" t="s">
        <v>557</v>
      </c>
      <c r="D18" s="422">
        <v>19.7</v>
      </c>
      <c r="E18" s="422">
        <v>15.298</v>
      </c>
      <c r="F18" s="423">
        <f t="shared" ref="F18" si="1">IF(E18=0,"",(D18-E18)/E18)</f>
        <v>0.28775003268401095</v>
      </c>
      <c r="G18" s="138"/>
      <c r="H18" s="25"/>
      <c r="I18" s="3"/>
      <c r="L18" s="518">
        <v>15</v>
      </c>
      <c r="M18" s="629">
        <v>44.430285317142861</v>
      </c>
      <c r="N18" s="629">
        <v>80.133571635714276</v>
      </c>
      <c r="O18" s="629">
        <v>89.91342707714287</v>
      </c>
    </row>
    <row r="19" spans="1:15" ht="11.25" customHeight="1">
      <c r="A19" s="174"/>
      <c r="C19" s="424" t="s">
        <v>248</v>
      </c>
      <c r="D19" s="425">
        <v>18.12209762845718</v>
      </c>
      <c r="E19" s="425">
        <v>12.082753181457479</v>
      </c>
      <c r="F19" s="426">
        <f t="shared" ref="F19:F31" si="2">IF(E19=0,"",(D19-E19)/E19)</f>
        <v>0.49983181451292436</v>
      </c>
      <c r="G19" s="138"/>
      <c r="H19" s="25"/>
      <c r="I19" s="3"/>
      <c r="K19" s="518">
        <v>16</v>
      </c>
      <c r="L19" s="518">
        <v>16</v>
      </c>
      <c r="M19" s="629">
        <v>30.701856885714285</v>
      </c>
      <c r="N19" s="629">
        <v>57.13714327142857</v>
      </c>
      <c r="O19" s="629">
        <v>73.487428932857142</v>
      </c>
    </row>
    <row r="20" spans="1:15" ht="11.25" customHeight="1">
      <c r="A20" s="174"/>
      <c r="C20" s="421" t="s">
        <v>249</v>
      </c>
      <c r="D20" s="422">
        <v>36.677999999999997</v>
      </c>
      <c r="E20" s="422">
        <v>36.015029761904756</v>
      </c>
      <c r="F20" s="423">
        <f>IF(E20=0,"",(D20-E20)/E20)</f>
        <v>1.8408154664264754E-2</v>
      </c>
      <c r="G20" s="138"/>
      <c r="H20" s="25"/>
      <c r="I20" s="3"/>
      <c r="L20" s="518">
        <v>17</v>
      </c>
      <c r="M20" s="629">
        <v>24.932857240949314</v>
      </c>
      <c r="N20" s="629">
        <v>55.184285845075259</v>
      </c>
      <c r="O20" s="629">
        <v>80.585714067731558</v>
      </c>
    </row>
    <row r="21" spans="1:15" ht="11.25" customHeight="1">
      <c r="A21" s="174"/>
      <c r="C21" s="424" t="s">
        <v>250</v>
      </c>
      <c r="D21" s="425">
        <v>0.87949999315397975</v>
      </c>
      <c r="E21" s="425">
        <v>1.4558214204651923</v>
      </c>
      <c r="F21" s="426">
        <f>IF(E21=0,"",(D21-E21)/E21)</f>
        <v>-0.39587371033945573</v>
      </c>
      <c r="G21" s="138"/>
      <c r="H21" s="25"/>
      <c r="I21" s="3"/>
      <c r="L21" s="518">
        <v>18</v>
      </c>
      <c r="M21" s="629">
        <v>46.867285591428576</v>
      </c>
      <c r="N21" s="629">
        <v>80.201000221428572</v>
      </c>
      <c r="O21" s="629">
        <v>93.131286082857144</v>
      </c>
    </row>
    <row r="22" spans="1:15" ht="11.25" customHeight="1">
      <c r="A22" s="174"/>
      <c r="C22" s="421" t="s">
        <v>146</v>
      </c>
      <c r="D22" s="422">
        <v>326.75510733468155</v>
      </c>
      <c r="E22" s="422">
        <v>433.43478829520052</v>
      </c>
      <c r="F22" s="423">
        <f t="shared" si="2"/>
        <v>-0.24612625437869184</v>
      </c>
      <c r="G22" s="138"/>
      <c r="H22" s="25"/>
      <c r="I22" s="3"/>
      <c r="L22" s="518">
        <v>19</v>
      </c>
      <c r="M22" s="629">
        <v>39.880857740000003</v>
      </c>
      <c r="N22" s="629">
        <v>73.398713792857151</v>
      </c>
      <c r="O22" s="629">
        <v>43.960427964285714</v>
      </c>
    </row>
    <row r="23" spans="1:15" ht="11.25" customHeight="1">
      <c r="A23" s="174"/>
      <c r="C23" s="424" t="s">
        <v>144</v>
      </c>
      <c r="D23" s="425">
        <v>0.13957143255642454</v>
      </c>
      <c r="E23" s="425">
        <v>0.14574999468667124</v>
      </c>
      <c r="F23" s="426">
        <f t="shared" si="2"/>
        <v>-4.239150844244749E-2</v>
      </c>
      <c r="G23" s="138"/>
      <c r="H23" s="25"/>
      <c r="I23" s="3"/>
      <c r="L23" s="518">
        <v>20</v>
      </c>
      <c r="M23" s="629">
        <v>34.332998821428575</v>
      </c>
      <c r="N23" s="629">
        <v>57.629714421428567</v>
      </c>
      <c r="O23" s="629">
        <v>29.038571492857141</v>
      </c>
    </row>
    <row r="24" spans="1:15" ht="11.25" customHeight="1">
      <c r="A24" s="174"/>
      <c r="C24" s="421" t="s">
        <v>145</v>
      </c>
      <c r="D24" s="422">
        <v>4.3379998207092179</v>
      </c>
      <c r="E24" s="422">
        <v>2.4186428955623049</v>
      </c>
      <c r="F24" s="423">
        <f t="shared" si="2"/>
        <v>0.79356771876845666</v>
      </c>
      <c r="G24" s="138"/>
      <c r="H24" s="26"/>
      <c r="I24" s="3"/>
      <c r="L24" s="518">
        <v>21</v>
      </c>
      <c r="M24" s="629">
        <v>28.39914212908057</v>
      </c>
      <c r="N24" s="629">
        <v>47.208427974155924</v>
      </c>
      <c r="O24" s="629">
        <v>20.747856957571798</v>
      </c>
    </row>
    <row r="25" spans="1:15" ht="11.25" customHeight="1">
      <c r="A25" s="138"/>
      <c r="C25" s="424" t="s">
        <v>158</v>
      </c>
      <c r="D25" s="425">
        <v>20.659071258136169</v>
      </c>
      <c r="E25" s="425">
        <v>35.085535730634355</v>
      </c>
      <c r="F25" s="426">
        <f t="shared" si="2"/>
        <v>-0.4111798258762786</v>
      </c>
      <c r="G25" s="158"/>
      <c r="H25" s="25"/>
      <c r="I25" s="3"/>
      <c r="L25" s="518">
        <v>22</v>
      </c>
      <c r="M25" s="629">
        <v>19.016142710000004</v>
      </c>
      <c r="N25" s="629">
        <v>39.635571071428572</v>
      </c>
      <c r="O25" s="629">
        <v>28.597570964285715</v>
      </c>
    </row>
    <row r="26" spans="1:15" ht="11.25" customHeight="1">
      <c r="A26" s="175"/>
      <c r="C26" s="421" t="s">
        <v>150</v>
      </c>
      <c r="D26" s="422">
        <v>0</v>
      </c>
      <c r="E26" s="422">
        <v>0</v>
      </c>
      <c r="F26" s="423" t="str">
        <f t="shared" si="2"/>
        <v/>
      </c>
      <c r="G26" s="138"/>
      <c r="H26" s="23"/>
      <c r="I26" s="3"/>
      <c r="L26" s="518">
        <v>23</v>
      </c>
      <c r="M26" s="629">
        <v>16.323713982857143</v>
      </c>
      <c r="N26" s="629">
        <v>49.136857168571431</v>
      </c>
      <c r="O26" s="629">
        <v>19.104714530000003</v>
      </c>
    </row>
    <row r="27" spans="1:15" ht="11.25" customHeight="1">
      <c r="A27" s="138"/>
      <c r="C27" s="424" t="s">
        <v>151</v>
      </c>
      <c r="D27" s="425">
        <v>0.11000000020222991</v>
      </c>
      <c r="E27" s="425">
        <v>0.40964285284280738</v>
      </c>
      <c r="F27" s="426">
        <f t="shared" si="2"/>
        <v>-0.73147340558034746</v>
      </c>
      <c r="G27" s="138"/>
      <c r="H27" s="23"/>
      <c r="I27" s="3"/>
      <c r="K27" s="518">
        <v>24</v>
      </c>
      <c r="L27" s="518">
        <v>24</v>
      </c>
      <c r="M27" s="629">
        <v>14.458999906267413</v>
      </c>
      <c r="N27" s="629">
        <v>34.150428227015844</v>
      </c>
      <c r="O27" s="629">
        <v>14.211285591125442</v>
      </c>
    </row>
    <row r="28" spans="1:15" ht="11.25" customHeight="1">
      <c r="A28" s="138"/>
      <c r="C28" s="421" t="s">
        <v>554</v>
      </c>
      <c r="D28" s="422">
        <v>0</v>
      </c>
      <c r="E28" s="422">
        <v>0</v>
      </c>
      <c r="F28" s="423" t="str">
        <f t="shared" si="2"/>
        <v/>
      </c>
      <c r="G28" s="138"/>
      <c r="H28" s="23"/>
      <c r="I28" s="3"/>
      <c r="L28" s="518">
        <v>25</v>
      </c>
      <c r="M28" s="629">
        <v>13.476999827142858</v>
      </c>
      <c r="N28" s="629">
        <v>32.288857598571425</v>
      </c>
      <c r="O28" s="629">
        <v>11.628714288571429</v>
      </c>
    </row>
    <row r="29" spans="1:15" ht="11.25" customHeight="1">
      <c r="A29" s="158"/>
      <c r="C29" s="424" t="s">
        <v>152</v>
      </c>
      <c r="D29" s="425">
        <v>0</v>
      </c>
      <c r="E29" s="425">
        <v>0</v>
      </c>
      <c r="F29" s="426" t="str">
        <f t="shared" si="2"/>
        <v/>
      </c>
      <c r="G29" s="176"/>
      <c r="H29" s="23"/>
      <c r="I29" s="3"/>
      <c r="L29" s="518">
        <v>26</v>
      </c>
      <c r="M29" s="629">
        <v>14.175142699999999</v>
      </c>
      <c r="N29" s="629">
        <v>29.45585686714286</v>
      </c>
      <c r="O29" s="629">
        <v>11.67571422</v>
      </c>
    </row>
    <row r="30" spans="1:15" ht="11.25" customHeight="1">
      <c r="A30" s="175"/>
      <c r="C30" s="421" t="s">
        <v>154</v>
      </c>
      <c r="D30" s="422">
        <v>0.22903570745672477</v>
      </c>
      <c r="E30" s="422">
        <v>0.51969999926430765</v>
      </c>
      <c r="F30" s="423">
        <f t="shared" si="2"/>
        <v>-0.55929246145670597</v>
      </c>
      <c r="G30" s="138"/>
      <c r="H30" s="25"/>
      <c r="I30" s="3"/>
      <c r="L30" s="518">
        <v>27</v>
      </c>
      <c r="M30" s="629">
        <v>12.859571456909155</v>
      </c>
      <c r="N30" s="629">
        <v>27.986428669520745</v>
      </c>
      <c r="O30" s="629">
        <v>27.48885754176543</v>
      </c>
    </row>
    <row r="31" spans="1:15" ht="11.25" customHeight="1">
      <c r="A31" s="137"/>
      <c r="C31" s="767" t="s">
        <v>147</v>
      </c>
      <c r="D31" s="768">
        <v>11.27</v>
      </c>
      <c r="E31" s="768">
        <v>3.9032738095238093</v>
      </c>
      <c r="F31" s="769">
        <f t="shared" si="2"/>
        <v>1.8873198627525734</v>
      </c>
      <c r="G31" s="137"/>
      <c r="H31" s="25"/>
      <c r="I31" s="6"/>
      <c r="L31" s="518">
        <v>28</v>
      </c>
      <c r="M31" s="629">
        <v>11.472142902857144</v>
      </c>
      <c r="N31" s="629">
        <v>24.371857235714284</v>
      </c>
      <c r="O31" s="629">
        <v>32.395143782857147</v>
      </c>
    </row>
    <row r="32" spans="1:15" ht="10.199999999999999" customHeight="1">
      <c r="A32" s="137"/>
      <c r="B32" s="137"/>
      <c r="C32" s="264" t="str">
        <f>"Cuadro N°10: Promedio de caudales en "&amp;'1. Resumen'!Q4&amp;" 2023"</f>
        <v>Cuadro N°10: Promedio de caudales en febrero 2023</v>
      </c>
      <c r="D32" s="137"/>
      <c r="E32" s="137"/>
      <c r="F32" s="137"/>
      <c r="G32" s="137"/>
      <c r="H32" s="25"/>
      <c r="I32" s="6"/>
      <c r="L32" s="518">
        <v>29</v>
      </c>
      <c r="M32" s="629">
        <v>11.32885715142857</v>
      </c>
      <c r="N32" s="629">
        <v>23.620857238571428</v>
      </c>
      <c r="O32" s="629">
        <v>14.974999971428572</v>
      </c>
    </row>
    <row r="33" spans="1:15" ht="10.199999999999999" customHeight="1">
      <c r="A33" s="137"/>
      <c r="B33" s="137"/>
      <c r="D33" s="137"/>
      <c r="E33" s="137"/>
      <c r="F33" s="137"/>
      <c r="G33" s="137"/>
      <c r="H33" s="25"/>
      <c r="I33" s="6"/>
      <c r="L33" s="518">
        <v>30</v>
      </c>
      <c r="M33" s="629">
        <v>11.152000155714285</v>
      </c>
      <c r="N33" s="629">
        <v>26.757428577142853</v>
      </c>
      <c r="O33" s="629">
        <v>14.12842846</v>
      </c>
    </row>
    <row r="34" spans="1:15" ht="4.95" customHeight="1">
      <c r="A34" s="137"/>
      <c r="B34" s="137"/>
      <c r="C34" s="137"/>
      <c r="D34" s="137"/>
      <c r="E34" s="137"/>
      <c r="F34" s="137"/>
      <c r="G34" s="137"/>
      <c r="H34" s="25"/>
      <c r="I34" s="6"/>
      <c r="L34" s="518">
        <v>31</v>
      </c>
      <c r="M34" s="629">
        <v>10.852571488571428</v>
      </c>
      <c r="N34" s="629">
        <v>26.481285638571428</v>
      </c>
      <c r="O34" s="629">
        <v>10.121857098285714</v>
      </c>
    </row>
    <row r="35" spans="1:15" ht="17.25" customHeight="1">
      <c r="A35" s="909" t="s">
        <v>367</v>
      </c>
      <c r="B35" s="909"/>
      <c r="C35" s="909"/>
      <c r="D35" s="909"/>
      <c r="E35" s="909"/>
      <c r="F35" s="909"/>
      <c r="G35" s="909"/>
      <c r="H35" s="25"/>
      <c r="I35" s="6"/>
      <c r="K35" s="518">
        <v>32</v>
      </c>
      <c r="L35" s="518">
        <v>32</v>
      </c>
      <c r="M35" s="629">
        <v>10.338285718645329</v>
      </c>
      <c r="N35" s="629">
        <v>25.506571633475126</v>
      </c>
      <c r="O35" s="629">
        <v>7.7241428239004906</v>
      </c>
    </row>
    <row r="36" spans="1:15" ht="11.25" customHeight="1">
      <c r="A36" s="137"/>
      <c r="B36" s="137"/>
      <c r="C36" s="137"/>
      <c r="D36" s="137"/>
      <c r="E36" s="137"/>
      <c r="F36" s="137"/>
      <c r="G36" s="137"/>
      <c r="H36" s="25"/>
      <c r="I36" s="6"/>
      <c r="L36" s="518">
        <v>33</v>
      </c>
      <c r="M36" s="629">
        <v>11.413999967142857</v>
      </c>
      <c r="N36" s="629">
        <v>31.441428594285707</v>
      </c>
      <c r="O36" s="629">
        <v>8.5772858349999996</v>
      </c>
    </row>
    <row r="37" spans="1:15" ht="11.25" customHeight="1">
      <c r="A37" s="136"/>
      <c r="B37" s="138"/>
      <c r="C37" s="138"/>
      <c r="D37" s="138"/>
      <c r="E37" s="138"/>
      <c r="F37" s="138"/>
      <c r="G37" s="138"/>
      <c r="H37" s="26"/>
      <c r="I37" s="6"/>
      <c r="L37" s="518">
        <v>34</v>
      </c>
      <c r="M37" s="629">
        <v>11.662143027142859</v>
      </c>
      <c r="N37" s="629">
        <v>33.365713935714282</v>
      </c>
      <c r="O37" s="629">
        <v>6.7090001108571427</v>
      </c>
    </row>
    <row r="38" spans="1:15" ht="11.25" customHeight="1">
      <c r="A38" s="74"/>
      <c r="B38" s="73"/>
      <c r="C38" s="73"/>
      <c r="D38" s="73"/>
      <c r="E38" s="73"/>
      <c r="F38" s="73"/>
      <c r="G38" s="73"/>
      <c r="H38" s="3"/>
      <c r="I38" s="6"/>
      <c r="L38" s="518">
        <v>35</v>
      </c>
      <c r="M38" s="629">
        <v>11.541428702218141</v>
      </c>
      <c r="N38" s="629">
        <v>29.068999699183816</v>
      </c>
      <c r="O38" s="629">
        <v>5.7295714105878517</v>
      </c>
    </row>
    <row r="39" spans="1:15" ht="11.25" customHeight="1">
      <c r="A39" s="74"/>
      <c r="B39" s="73"/>
      <c r="C39" s="73"/>
      <c r="D39" s="73"/>
      <c r="E39" s="73"/>
      <c r="F39" s="73"/>
      <c r="G39" s="73"/>
      <c r="H39" s="3"/>
      <c r="I39" s="10"/>
      <c r="L39" s="518">
        <v>36</v>
      </c>
      <c r="M39" s="629">
        <v>13.286857196262856</v>
      </c>
      <c r="N39" s="629">
        <v>26.005428859165701</v>
      </c>
      <c r="O39" s="629">
        <v>5.6865714618137853</v>
      </c>
    </row>
    <row r="40" spans="1:15" ht="11.25" customHeight="1">
      <c r="A40" s="74"/>
      <c r="B40" s="73"/>
      <c r="C40" s="73"/>
      <c r="D40" s="73"/>
      <c r="E40" s="73"/>
      <c r="F40" s="73"/>
      <c r="G40" s="73"/>
      <c r="H40" s="3"/>
      <c r="I40" s="10"/>
      <c r="L40" s="518">
        <v>37</v>
      </c>
      <c r="M40" s="629">
        <v>15.49071434565947</v>
      </c>
      <c r="N40" s="629">
        <v>25.021857125418485</v>
      </c>
      <c r="O40" s="629">
        <v>5.3568570954459016</v>
      </c>
    </row>
    <row r="41" spans="1:15" ht="11.25" customHeight="1">
      <c r="A41" s="74"/>
      <c r="B41" s="73"/>
      <c r="C41" s="73"/>
      <c r="D41" s="73"/>
      <c r="E41" s="73"/>
      <c r="F41" s="73"/>
      <c r="G41" s="73"/>
      <c r="H41" s="3"/>
      <c r="I41" s="7"/>
      <c r="L41" s="518">
        <v>38</v>
      </c>
      <c r="M41" s="629">
        <v>16.166143281119158</v>
      </c>
      <c r="N41" s="629">
        <v>27.854714257376486</v>
      </c>
      <c r="O41" s="629">
        <v>6.9268571308680906</v>
      </c>
    </row>
    <row r="42" spans="1:15" ht="11.25" customHeight="1">
      <c r="A42" s="74"/>
      <c r="B42" s="73"/>
      <c r="C42" s="73"/>
      <c r="D42" s="73"/>
      <c r="E42" s="73"/>
      <c r="F42" s="73"/>
      <c r="G42" s="73"/>
      <c r="H42" s="3"/>
      <c r="I42" s="7"/>
      <c r="L42" s="518">
        <v>39</v>
      </c>
      <c r="M42" s="629">
        <v>16.810999734285712</v>
      </c>
      <c r="N42" s="629">
        <v>27.986571175714282</v>
      </c>
      <c r="O42" s="629">
        <v>9.9768571861428565</v>
      </c>
    </row>
    <row r="43" spans="1:15" ht="11.25" customHeight="1">
      <c r="A43" s="74"/>
      <c r="B43" s="73"/>
      <c r="C43" s="73"/>
      <c r="D43" s="73"/>
      <c r="E43" s="73"/>
      <c r="F43" s="73"/>
      <c r="G43" s="73"/>
      <c r="H43" s="3"/>
      <c r="I43" s="7"/>
      <c r="K43" s="518">
        <v>40</v>
      </c>
      <c r="L43" s="518">
        <v>40</v>
      </c>
      <c r="M43" s="629">
        <v>14.579285758571428</v>
      </c>
      <c r="N43" s="629">
        <v>25.258999961428572</v>
      </c>
      <c r="O43" s="629">
        <v>7.1328571184285705</v>
      </c>
    </row>
    <row r="44" spans="1:15" ht="11.25" customHeight="1">
      <c r="A44" s="74"/>
      <c r="B44" s="73"/>
      <c r="C44" s="73"/>
      <c r="D44" s="73"/>
      <c r="E44" s="73"/>
      <c r="F44" s="73"/>
      <c r="G44" s="73"/>
      <c r="H44" s="6"/>
      <c r="I44" s="10"/>
      <c r="L44" s="518">
        <v>41</v>
      </c>
      <c r="M44" s="629">
        <v>13.048857279999998</v>
      </c>
      <c r="N44" s="629">
        <v>25.185571671428566</v>
      </c>
      <c r="O44" s="629">
        <v>4.9102856772857146</v>
      </c>
    </row>
    <row r="45" spans="1:15" ht="11.25" customHeight="1">
      <c r="A45" s="74"/>
      <c r="B45" s="73"/>
      <c r="C45" s="73"/>
      <c r="D45" s="73"/>
      <c r="E45" s="73"/>
      <c r="F45" s="73"/>
      <c r="G45" s="73"/>
      <c r="H45" s="3"/>
      <c r="I45" s="10"/>
      <c r="L45" s="518">
        <v>42</v>
      </c>
      <c r="M45" s="629">
        <v>14.871000289916955</v>
      </c>
      <c r="N45" s="629">
        <v>33.125999450683558</v>
      </c>
      <c r="O45" s="629">
        <v>6.3367142677306969</v>
      </c>
    </row>
    <row r="46" spans="1:15" ht="11.25" customHeight="1">
      <c r="A46" s="74"/>
      <c r="B46" s="73"/>
      <c r="C46" s="73"/>
      <c r="D46" s="73"/>
      <c r="E46" s="73"/>
      <c r="F46" s="73"/>
      <c r="G46" s="73"/>
      <c r="H46" s="3"/>
      <c r="I46" s="10"/>
      <c r="L46" s="518">
        <v>43</v>
      </c>
      <c r="M46" s="629">
        <v>21.991714477142857</v>
      </c>
      <c r="N46" s="629">
        <v>41.127143314285711</v>
      </c>
      <c r="O46" s="629">
        <v>11.867142950714285</v>
      </c>
    </row>
    <row r="47" spans="1:15" ht="11.25" customHeight="1">
      <c r="A47" s="74"/>
      <c r="B47" s="73"/>
      <c r="C47" s="73"/>
      <c r="D47" s="73"/>
      <c r="E47" s="73"/>
      <c r="F47" s="73"/>
      <c r="G47" s="73"/>
      <c r="H47" s="11"/>
      <c r="I47" s="11"/>
      <c r="L47" s="518">
        <v>44</v>
      </c>
      <c r="M47" s="629">
        <v>13.904857091428573</v>
      </c>
      <c r="N47" s="629">
        <v>33.038428169999996</v>
      </c>
      <c r="O47" s="629">
        <v>5.2337141718571427</v>
      </c>
    </row>
    <row r="48" spans="1:15" ht="11.25" customHeight="1">
      <c r="A48" s="74"/>
      <c r="B48" s="73"/>
      <c r="C48" s="73"/>
      <c r="D48" s="73"/>
      <c r="E48" s="73"/>
      <c r="F48" s="73"/>
      <c r="G48" s="73"/>
      <c r="H48" s="11"/>
      <c r="I48" s="11"/>
      <c r="L48" s="518">
        <v>45</v>
      </c>
      <c r="M48" s="629">
        <v>13.184428621428571</v>
      </c>
      <c r="N48" s="629">
        <v>40.115713391428571</v>
      </c>
      <c r="O48" s="629">
        <v>5.0682858059999996</v>
      </c>
    </row>
    <row r="49" spans="1:15" ht="11.25" customHeight="1">
      <c r="A49" s="74"/>
      <c r="B49" s="73"/>
      <c r="C49" s="73"/>
      <c r="D49" s="73"/>
      <c r="E49" s="73"/>
      <c r="F49" s="73"/>
      <c r="G49" s="73"/>
      <c r="H49" s="11"/>
      <c r="I49" s="11"/>
      <c r="L49" s="518">
        <v>46</v>
      </c>
      <c r="M49" s="629">
        <v>13.14228561857143</v>
      </c>
      <c r="N49" s="629">
        <v>43.881571090000001</v>
      </c>
      <c r="O49" s="629">
        <v>4.7745714188571426</v>
      </c>
    </row>
    <row r="50" spans="1:15" ht="11.25" customHeight="1">
      <c r="A50" s="74"/>
      <c r="B50" s="73"/>
      <c r="C50" s="73"/>
      <c r="D50" s="73"/>
      <c r="E50" s="73"/>
      <c r="F50" s="73"/>
      <c r="G50" s="73"/>
      <c r="H50" s="11"/>
      <c r="I50" s="11"/>
      <c r="L50" s="518">
        <v>47</v>
      </c>
      <c r="M50" s="629">
        <v>15.124714305714289</v>
      </c>
      <c r="N50" s="629">
        <v>42.811571392857147</v>
      </c>
      <c r="O50" s="629">
        <v>5.635714394571429</v>
      </c>
    </row>
    <row r="51" spans="1:15" ht="11.25" customHeight="1">
      <c r="A51" s="74"/>
      <c r="B51" s="73"/>
      <c r="C51" s="73"/>
      <c r="D51" s="73"/>
      <c r="E51" s="73"/>
      <c r="F51" s="73"/>
      <c r="G51" s="73"/>
      <c r="H51" s="11"/>
      <c r="I51" s="11"/>
      <c r="L51" s="518">
        <v>48</v>
      </c>
      <c r="M51" s="629">
        <v>27.692142758571432</v>
      </c>
      <c r="N51" s="629">
        <v>66.262570518571422</v>
      </c>
      <c r="O51" s="629">
        <v>27.02714340957143</v>
      </c>
    </row>
    <row r="52" spans="1:15" ht="11.25" customHeight="1">
      <c r="A52" s="74"/>
      <c r="B52" s="73"/>
      <c r="C52" s="73"/>
      <c r="D52" s="73"/>
      <c r="E52" s="73"/>
      <c r="F52" s="73"/>
      <c r="G52" s="73"/>
      <c r="H52" s="11"/>
      <c r="I52" s="11"/>
      <c r="L52" s="518">
        <v>49</v>
      </c>
      <c r="M52" s="629">
        <v>64.694000790000004</v>
      </c>
      <c r="N52" s="629">
        <v>122.24228668571428</v>
      </c>
      <c r="O52" s="629">
        <v>80.020142697142845</v>
      </c>
    </row>
    <row r="53" spans="1:15" ht="11.25" customHeight="1">
      <c r="A53" s="74"/>
      <c r="B53" s="73"/>
      <c r="C53" s="73"/>
      <c r="D53" s="73"/>
      <c r="E53" s="73"/>
      <c r="F53" s="73"/>
      <c r="G53" s="73"/>
      <c r="H53" s="11"/>
      <c r="I53" s="11"/>
      <c r="L53" s="518">
        <v>50</v>
      </c>
      <c r="M53" s="629">
        <v>43.356857299999994</v>
      </c>
      <c r="N53" s="629">
        <v>78.250285555714285</v>
      </c>
      <c r="O53" s="629">
        <v>98.373141695714281</v>
      </c>
    </row>
    <row r="54" spans="1:15" ht="11.25" customHeight="1">
      <c r="A54" s="74"/>
      <c r="B54" s="73"/>
      <c r="C54" s="73"/>
      <c r="D54" s="73"/>
      <c r="E54" s="73"/>
      <c r="F54" s="73"/>
      <c r="G54" s="73"/>
      <c r="H54" s="11"/>
      <c r="I54" s="11"/>
      <c r="L54" s="518">
        <v>51</v>
      </c>
      <c r="M54" s="629">
        <v>66.695286888571431</v>
      </c>
      <c r="N54" s="629">
        <v>123.13128661428571</v>
      </c>
      <c r="O54" s="629">
        <v>141.80585590000001</v>
      </c>
    </row>
    <row r="55" spans="1:15" ht="13.2">
      <c r="A55" s="74"/>
      <c r="B55" s="73"/>
      <c r="C55" s="73"/>
      <c r="D55" s="73"/>
      <c r="E55" s="73"/>
      <c r="F55" s="73"/>
      <c r="G55" s="73"/>
      <c r="H55" s="11"/>
      <c r="I55" s="11"/>
      <c r="K55" s="518">
        <v>52</v>
      </c>
      <c r="L55" s="518">
        <v>52</v>
      </c>
      <c r="M55" s="629">
        <v>79.132000515714282</v>
      </c>
      <c r="N55" s="629">
        <v>151.04400198571429</v>
      </c>
      <c r="O55" s="629">
        <v>62.055856431428573</v>
      </c>
    </row>
    <row r="56" spans="1:15" ht="13.2">
      <c r="A56" s="74"/>
      <c r="B56" s="73"/>
      <c r="C56" s="73"/>
      <c r="D56" s="73"/>
      <c r="E56" s="73"/>
      <c r="F56" s="73"/>
      <c r="G56" s="73"/>
      <c r="H56" s="11"/>
      <c r="I56" s="11"/>
      <c r="J56" s="276">
        <v>2021</v>
      </c>
      <c r="L56" s="518">
        <v>1</v>
      </c>
      <c r="M56" s="629">
        <v>93.616000575714295</v>
      </c>
      <c r="N56" s="629">
        <v>194.93985855714286</v>
      </c>
      <c r="O56" s="629">
        <v>38.49128532428572</v>
      </c>
    </row>
    <row r="57" spans="1:15" ht="13.2">
      <c r="A57" s="74"/>
      <c r="B57" s="73"/>
      <c r="C57" s="73"/>
      <c r="D57" s="73"/>
      <c r="E57" s="73"/>
      <c r="F57" s="73"/>
      <c r="G57" s="73"/>
      <c r="H57" s="11"/>
      <c r="I57" s="11"/>
      <c r="L57" s="518">
        <v>2</v>
      </c>
      <c r="M57" s="629">
        <v>109.19371577142856</v>
      </c>
      <c r="N57" s="629">
        <v>191.56657192857145</v>
      </c>
      <c r="O57" s="629">
        <v>52.185428618571436</v>
      </c>
    </row>
    <row r="58" spans="1:15" ht="13.2">
      <c r="A58" s="74"/>
      <c r="B58" s="73"/>
      <c r="C58" s="73"/>
      <c r="D58" s="73"/>
      <c r="E58" s="73"/>
      <c r="F58" s="73"/>
      <c r="G58" s="73"/>
      <c r="H58" s="11"/>
      <c r="I58" s="11"/>
      <c r="L58" s="518">
        <v>3</v>
      </c>
      <c r="M58" s="629">
        <v>111.32100131428571</v>
      </c>
      <c r="N58" s="629">
        <v>253.28128705714289</v>
      </c>
      <c r="O58" s="629">
        <v>72.971142360000002</v>
      </c>
    </row>
    <row r="59" spans="1:15" ht="13.2">
      <c r="A59" s="74"/>
      <c r="B59" s="73"/>
      <c r="C59" s="73"/>
      <c r="D59" s="73"/>
      <c r="E59" s="73"/>
      <c r="F59" s="73"/>
      <c r="G59" s="73"/>
      <c r="H59" s="11"/>
      <c r="I59" s="11"/>
      <c r="L59" s="518">
        <v>4</v>
      </c>
      <c r="M59" s="629">
        <v>111.11885721428568</v>
      </c>
      <c r="N59" s="629">
        <v>244.7925720428571</v>
      </c>
      <c r="O59" s="629">
        <v>82.663999837142867</v>
      </c>
    </row>
    <row r="60" spans="1:15" ht="13.2">
      <c r="A60" s="74"/>
      <c r="B60" s="73"/>
      <c r="C60" s="73"/>
      <c r="D60" s="73"/>
      <c r="E60" s="73"/>
      <c r="F60" s="73"/>
      <c r="G60" s="73"/>
      <c r="H60" s="11"/>
      <c r="I60" s="11"/>
      <c r="L60" s="518">
        <v>5</v>
      </c>
      <c r="M60" s="629">
        <v>108.66071318571429</v>
      </c>
      <c r="N60" s="629">
        <v>220.6247188142857</v>
      </c>
      <c r="O60" s="629">
        <v>54.198429654285711</v>
      </c>
    </row>
    <row r="61" spans="1:15" ht="13.2">
      <c r="A61" s="264" t="s">
        <v>604</v>
      </c>
      <c r="B61" s="73"/>
      <c r="C61" s="73"/>
      <c r="D61" s="73"/>
      <c r="E61" s="73"/>
      <c r="F61" s="73"/>
      <c r="G61" s="73"/>
      <c r="H61" s="11"/>
      <c r="I61" s="11"/>
      <c r="L61" s="518">
        <v>6</v>
      </c>
      <c r="M61" s="629">
        <v>90.469143462857147</v>
      </c>
      <c r="N61" s="629">
        <v>163.06042698571429</v>
      </c>
      <c r="O61" s="629">
        <v>42.827428274285715</v>
      </c>
    </row>
    <row r="62" spans="1:15">
      <c r="L62" s="518">
        <v>7</v>
      </c>
      <c r="M62" s="629">
        <v>58.4</v>
      </c>
      <c r="N62" s="629">
        <v>104.39303571428574</v>
      </c>
      <c r="O62" s="629">
        <v>28.153690476190491</v>
      </c>
    </row>
    <row r="63" spans="1:15" ht="9" customHeight="1">
      <c r="L63" s="518">
        <v>8</v>
      </c>
      <c r="M63" s="629">
        <v>45.103515238095234</v>
      </c>
      <c r="N63" s="629">
        <v>61.820178571428535</v>
      </c>
      <c r="O63" s="629">
        <v>19.304999999999993</v>
      </c>
    </row>
    <row r="64" spans="1:15">
      <c r="L64" s="518">
        <v>9</v>
      </c>
      <c r="M64" s="629">
        <v>56.496856689453068</v>
      </c>
      <c r="N64" s="629">
        <v>85.507331848144418</v>
      </c>
      <c r="O64" s="629">
        <v>82.847664833068805</v>
      </c>
    </row>
    <row r="65" spans="11:15">
      <c r="L65" s="518">
        <v>10</v>
      </c>
      <c r="M65" s="629">
        <v>90.554714198571432</v>
      </c>
      <c r="N65" s="629">
        <v>173.29428537142854</v>
      </c>
      <c r="O65" s="629">
        <v>214.06428527142856</v>
      </c>
    </row>
    <row r="66" spans="11:15">
      <c r="L66" s="518">
        <v>11</v>
      </c>
      <c r="M66" s="629">
        <v>98.085857941428586</v>
      </c>
      <c r="N66" s="629">
        <v>159.83856852857141</v>
      </c>
      <c r="O66" s="629">
        <v>132.61828504285714</v>
      </c>
    </row>
    <row r="67" spans="11:15">
      <c r="L67" s="518">
        <v>12</v>
      </c>
      <c r="M67" s="629">
        <v>87.426713118571428</v>
      </c>
      <c r="N67" s="629">
        <v>160.54285757142858</v>
      </c>
      <c r="O67" s="629">
        <v>87.668715342857141</v>
      </c>
    </row>
    <row r="68" spans="11:15">
      <c r="K68" s="518">
        <v>13</v>
      </c>
      <c r="L68" s="518">
        <v>13</v>
      </c>
      <c r="M68" s="629">
        <v>85.733285082857151</v>
      </c>
      <c r="N68" s="629">
        <v>171.07471574285714</v>
      </c>
      <c r="O68" s="629">
        <v>94.954141882857144</v>
      </c>
    </row>
    <row r="69" spans="11:15">
      <c r="L69" s="518">
        <v>14</v>
      </c>
      <c r="M69" s="629">
        <v>98.095142921428561</v>
      </c>
      <c r="N69" s="629">
        <v>185.56500027142857</v>
      </c>
      <c r="O69" s="629">
        <v>151.11671445714288</v>
      </c>
    </row>
    <row r="70" spans="11:15">
      <c r="L70" s="518">
        <v>15</v>
      </c>
      <c r="M70" s="629">
        <v>83.773572649999991</v>
      </c>
      <c r="N70" s="629">
        <v>151.56014580000002</v>
      </c>
      <c r="O70" s="629">
        <v>111.99457114285714</v>
      </c>
    </row>
    <row r="71" spans="11:15">
      <c r="L71" s="518">
        <v>16</v>
      </c>
      <c r="M71" s="629">
        <v>56.958000185714283</v>
      </c>
      <c r="N71" s="629">
        <v>109.84099905714285</v>
      </c>
      <c r="O71" s="629">
        <v>90.672572548571438</v>
      </c>
    </row>
    <row r="72" spans="11:15">
      <c r="L72" s="518">
        <v>17</v>
      </c>
      <c r="M72" s="629">
        <v>48.746000017142855</v>
      </c>
      <c r="N72" s="629">
        <v>85.840285168571427</v>
      </c>
      <c r="O72" s="629">
        <v>75.281570977142863</v>
      </c>
    </row>
    <row r="73" spans="11:15">
      <c r="L73" s="518">
        <v>18</v>
      </c>
      <c r="M73" s="629">
        <v>40.494427817142864</v>
      </c>
      <c r="N73" s="629">
        <v>69.64942932142857</v>
      </c>
      <c r="O73" s="629">
        <v>93.952999661428592</v>
      </c>
    </row>
    <row r="74" spans="11:15">
      <c r="L74" s="518">
        <v>19</v>
      </c>
      <c r="M74" s="629">
        <v>35.466286249999996</v>
      </c>
      <c r="N74" s="629">
        <v>58.010286058571431</v>
      </c>
      <c r="O74" s="629">
        <v>72.684429168571427</v>
      </c>
    </row>
    <row r="75" spans="11:15">
      <c r="L75" s="518">
        <v>20</v>
      </c>
      <c r="M75" s="629">
        <v>28.18171392</v>
      </c>
      <c r="N75" s="629">
        <v>51.498000008571424</v>
      </c>
      <c r="O75" s="629">
        <v>98.886571605714281</v>
      </c>
    </row>
    <row r="76" spans="11:15">
      <c r="L76" s="518">
        <v>21</v>
      </c>
      <c r="M76" s="629">
        <v>26.549999781428571</v>
      </c>
      <c r="N76" s="629">
        <v>49.923428127142856</v>
      </c>
      <c r="O76" s="629">
        <v>58.580000197142859</v>
      </c>
    </row>
    <row r="77" spans="11:15">
      <c r="L77" s="518">
        <v>22</v>
      </c>
      <c r="M77" s="629">
        <v>21.825286048571424</v>
      </c>
      <c r="N77" s="629">
        <v>43.104427882857138</v>
      </c>
      <c r="O77" s="629">
        <v>38.582285198571427</v>
      </c>
    </row>
    <row r="78" spans="11:15">
      <c r="L78" s="518">
        <v>23</v>
      </c>
      <c r="M78" s="629">
        <v>20.536714282857144</v>
      </c>
      <c r="N78" s="629">
        <v>39.534857068571434</v>
      </c>
      <c r="O78" s="629">
        <v>58.388999669999997</v>
      </c>
    </row>
    <row r="79" spans="11:15">
      <c r="L79" s="518">
        <v>24</v>
      </c>
      <c r="M79" s="629">
        <v>18.521000181428573</v>
      </c>
      <c r="N79" s="629">
        <v>36.393142699999999</v>
      </c>
      <c r="O79" s="629">
        <v>52.608856201428573</v>
      </c>
    </row>
    <row r="80" spans="11:15">
      <c r="L80" s="518">
        <v>25</v>
      </c>
      <c r="M80" s="629">
        <v>17.337857111428569</v>
      </c>
      <c r="N80" s="629">
        <v>33.557857241428572</v>
      </c>
      <c r="O80" s="629">
        <v>30.324857167142856</v>
      </c>
    </row>
    <row r="81" spans="11:15">
      <c r="K81" s="518">
        <v>26</v>
      </c>
      <c r="L81" s="518">
        <v>26</v>
      </c>
      <c r="M81" s="629">
        <v>16.257714270000001</v>
      </c>
      <c r="N81" s="629">
        <v>29.931428365714286</v>
      </c>
      <c r="O81" s="629">
        <v>42.18199975142857</v>
      </c>
    </row>
    <row r="82" spans="11:15">
      <c r="L82" s="518">
        <v>27</v>
      </c>
      <c r="M82" s="629">
        <v>15.06657137</v>
      </c>
      <c r="N82" s="629">
        <v>26.386999947142861</v>
      </c>
      <c r="O82" s="629">
        <v>23.356142859999999</v>
      </c>
    </row>
    <row r="83" spans="11:15">
      <c r="L83" s="518">
        <v>28</v>
      </c>
      <c r="M83" s="629">
        <v>14.248142924285716</v>
      </c>
      <c r="N83" s="629">
        <v>26.172000340000004</v>
      </c>
      <c r="O83" s="629">
        <v>19.029285704285716</v>
      </c>
    </row>
    <row r="84" spans="11:15">
      <c r="L84" s="518">
        <v>29</v>
      </c>
      <c r="M84" s="629">
        <v>13.477857045714286</v>
      </c>
      <c r="N84" s="629">
        <v>25.836714065714286</v>
      </c>
      <c r="O84" s="629">
        <v>17.854285240000003</v>
      </c>
    </row>
    <row r="85" spans="11:15">
      <c r="L85" s="518">
        <v>30</v>
      </c>
      <c r="M85" s="629">
        <v>12.691000122857146</v>
      </c>
      <c r="N85" s="629">
        <v>25.251428605714288</v>
      </c>
      <c r="O85" s="629">
        <v>12.897285600000002</v>
      </c>
    </row>
    <row r="86" spans="11:15">
      <c r="L86" s="518">
        <v>31</v>
      </c>
      <c r="M86" s="629">
        <v>13.016714095714283</v>
      </c>
      <c r="N86" s="629">
        <v>27.221714565714283</v>
      </c>
      <c r="O86" s="629">
        <v>10.959428514999999</v>
      </c>
    </row>
    <row r="87" spans="11:15">
      <c r="L87" s="518">
        <v>32</v>
      </c>
      <c r="M87" s="629">
        <v>11.867571422857141</v>
      </c>
      <c r="N87" s="629">
        <v>26.08357157</v>
      </c>
      <c r="O87" s="629">
        <v>9.4098570685714282</v>
      </c>
    </row>
    <row r="88" spans="11:15">
      <c r="L88" s="518">
        <v>33</v>
      </c>
      <c r="M88" s="629">
        <v>11.566857065714288</v>
      </c>
      <c r="N88" s="629">
        <v>25.724999837142857</v>
      </c>
      <c r="O88" s="629">
        <v>11.666285786000001</v>
      </c>
    </row>
    <row r="89" spans="11:15">
      <c r="L89" s="518">
        <v>34</v>
      </c>
      <c r="M89" s="629">
        <v>13.598856790000001</v>
      </c>
      <c r="N89" s="629">
        <v>26.040285657142856</v>
      </c>
      <c r="O89" s="629">
        <v>14.739857265714283</v>
      </c>
    </row>
    <row r="90" spans="11:15">
      <c r="L90" s="518">
        <v>35</v>
      </c>
      <c r="M90" s="629">
        <v>18.389285224285715</v>
      </c>
      <c r="N90" s="629">
        <v>26.61128562</v>
      </c>
      <c r="O90" s="629">
        <v>23.257428305714285</v>
      </c>
    </row>
    <row r="91" spans="11:15">
      <c r="L91" s="518">
        <v>36</v>
      </c>
      <c r="M91" s="629">
        <v>17.729570935714285</v>
      </c>
      <c r="N91" s="629">
        <v>31.371142795714288</v>
      </c>
      <c r="O91" s="629">
        <v>24.894000052857141</v>
      </c>
    </row>
    <row r="92" spans="11:15">
      <c r="L92" s="518">
        <v>37</v>
      </c>
      <c r="M92" s="629">
        <v>17.365428380000001</v>
      </c>
      <c r="N92" s="629">
        <v>34.193142751428567</v>
      </c>
      <c r="O92" s="629">
        <v>23.149857660000002</v>
      </c>
    </row>
    <row r="93" spans="11:15">
      <c r="L93" s="518">
        <v>38</v>
      </c>
      <c r="M93" s="629">
        <v>17.876142775714285</v>
      </c>
      <c r="N93" s="629">
        <v>24.62042835714286</v>
      </c>
      <c r="O93" s="629">
        <v>13.527142932857144</v>
      </c>
    </row>
    <row r="94" spans="11:15">
      <c r="L94" s="518">
        <v>39</v>
      </c>
      <c r="M94" s="629">
        <v>17.151999882857144</v>
      </c>
      <c r="N94" s="629">
        <v>21.341285980000002</v>
      </c>
      <c r="O94" s="629">
        <v>10.351999963428572</v>
      </c>
    </row>
    <row r="95" spans="11:15">
      <c r="L95" s="518">
        <v>40</v>
      </c>
      <c r="M95" s="629">
        <v>24.65814318</v>
      </c>
      <c r="N95" s="629">
        <v>39.983428410000002</v>
      </c>
      <c r="O95" s="629">
        <v>63.700570922857146</v>
      </c>
    </row>
    <row r="96" spans="11:15">
      <c r="L96" s="518">
        <v>41</v>
      </c>
      <c r="M96" s="629">
        <v>24.683571132857143</v>
      </c>
      <c r="N96" s="629">
        <v>51.178142545714287</v>
      </c>
      <c r="O96" s="629">
        <v>63.922285895714289</v>
      </c>
    </row>
    <row r="97" spans="10:15">
      <c r="L97" s="518">
        <v>42</v>
      </c>
      <c r="M97" s="629">
        <v>30.132285525714284</v>
      </c>
      <c r="N97" s="629">
        <v>58.491857255714294</v>
      </c>
      <c r="O97" s="629">
        <v>72.515429361428573</v>
      </c>
    </row>
    <row r="98" spans="10:15">
      <c r="L98" s="518">
        <v>43</v>
      </c>
      <c r="M98" s="629">
        <v>21.635857172857147</v>
      </c>
      <c r="N98" s="629">
        <v>49.28842871714285</v>
      </c>
      <c r="O98" s="629">
        <v>61.990286690000005</v>
      </c>
    </row>
    <row r="99" spans="10:15">
      <c r="K99" s="518">
        <v>44</v>
      </c>
      <c r="L99" s="518">
        <v>44</v>
      </c>
      <c r="M99" s="629">
        <v>18.680143085714285</v>
      </c>
      <c r="N99" s="629">
        <v>50.456999099999997</v>
      </c>
      <c r="O99" s="629">
        <v>58.057570867142864</v>
      </c>
    </row>
    <row r="100" spans="10:15">
      <c r="L100" s="518">
        <v>45</v>
      </c>
      <c r="M100" s="629">
        <v>19.11199978285714</v>
      </c>
      <c r="N100" s="629">
        <v>55.461713520000004</v>
      </c>
      <c r="O100" s="629">
        <v>51.101286207142849</v>
      </c>
    </row>
    <row r="101" spans="10:15">
      <c r="L101" s="518">
        <v>46</v>
      </c>
      <c r="M101" s="629">
        <v>17.194857187142855</v>
      </c>
      <c r="N101" s="629">
        <v>52.329856329999991</v>
      </c>
      <c r="O101" s="629">
        <v>29.017713818571433</v>
      </c>
    </row>
    <row r="102" spans="10:15">
      <c r="L102" s="518">
        <v>47</v>
      </c>
      <c r="M102" s="629">
        <v>18.301142828571432</v>
      </c>
      <c r="N102" s="629">
        <v>73.723714555714295</v>
      </c>
      <c r="O102" s="629">
        <v>26.885714667142853</v>
      </c>
    </row>
    <row r="103" spans="10:15">
      <c r="L103" s="518">
        <v>48</v>
      </c>
      <c r="M103" s="629">
        <v>48.1</v>
      </c>
      <c r="N103" s="629">
        <v>112.8014285714287</v>
      </c>
      <c r="O103" s="629">
        <v>24.753715515714301</v>
      </c>
    </row>
    <row r="104" spans="10:15">
      <c r="L104" s="518">
        <v>49</v>
      </c>
      <c r="M104" s="629">
        <v>72.532000404285711</v>
      </c>
      <c r="N104" s="629">
        <v>251.49200183333332</v>
      </c>
      <c r="O104" s="629">
        <v>44.843001048333328</v>
      </c>
    </row>
    <row r="105" spans="10:15">
      <c r="L105" s="518">
        <v>50</v>
      </c>
      <c r="M105" s="629">
        <v>52.053428651428568</v>
      </c>
      <c r="N105" s="629">
        <v>142.42614309857143</v>
      </c>
      <c r="O105" s="629">
        <v>60.681712559999994</v>
      </c>
    </row>
    <row r="106" spans="10:15">
      <c r="L106" s="518">
        <v>51</v>
      </c>
      <c r="M106" s="629">
        <v>30.144714355714289</v>
      </c>
      <c r="N106" s="629">
        <v>77.181571959999999</v>
      </c>
      <c r="O106" s="629">
        <v>114.8148585642857</v>
      </c>
    </row>
    <row r="107" spans="10:15">
      <c r="K107" s="518">
        <v>52</v>
      </c>
      <c r="L107" s="518">
        <v>52</v>
      </c>
      <c r="M107" s="629">
        <v>24.471428735714284</v>
      </c>
      <c r="N107" s="629">
        <v>62.12314333285714</v>
      </c>
      <c r="O107" s="629">
        <v>50.073429108571432</v>
      </c>
    </row>
    <row r="108" spans="10:15">
      <c r="J108" s="276">
        <v>2022</v>
      </c>
      <c r="L108" s="518">
        <v>1</v>
      </c>
      <c r="M108" s="629">
        <v>27.003000530000001</v>
      </c>
      <c r="N108" s="629">
        <v>71.095855168571433</v>
      </c>
      <c r="O108" s="629">
        <v>42.987713951428574</v>
      </c>
    </row>
    <row r="109" spans="10:15">
      <c r="L109" s="518">
        <v>2</v>
      </c>
      <c r="M109" s="629">
        <v>21.311000005714284</v>
      </c>
      <c r="N109" s="629">
        <v>56.996714454285716</v>
      </c>
      <c r="O109" s="629">
        <v>27.815714701428572</v>
      </c>
    </row>
    <row r="110" spans="10:15">
      <c r="L110" s="518">
        <v>3</v>
      </c>
      <c r="M110" s="629">
        <v>18.403857367142855</v>
      </c>
      <c r="N110" s="629">
        <v>56.568285805714289</v>
      </c>
      <c r="O110" s="629">
        <v>25.573857171428568</v>
      </c>
    </row>
    <row r="111" spans="10:15">
      <c r="L111" s="518">
        <v>4</v>
      </c>
      <c r="M111" s="629">
        <v>39.156999861428574</v>
      </c>
      <c r="N111" s="629">
        <v>96.856569555714273</v>
      </c>
      <c r="O111" s="629">
        <v>46.27</v>
      </c>
    </row>
    <row r="112" spans="10:15">
      <c r="L112" s="518">
        <v>5</v>
      </c>
      <c r="M112" s="629">
        <v>43.204429082857139</v>
      </c>
      <c r="N112" s="629">
        <v>81.592857355714287</v>
      </c>
      <c r="O112" s="629">
        <v>30.758285522857143</v>
      </c>
    </row>
    <row r="113" spans="11:15">
      <c r="K113" s="518">
        <v>6</v>
      </c>
      <c r="L113" s="518">
        <v>6</v>
      </c>
      <c r="M113" s="629">
        <v>79.27385765999999</v>
      </c>
      <c r="N113" s="629">
        <v>136.49742887285714</v>
      </c>
      <c r="O113" s="629">
        <v>66.892999371428573</v>
      </c>
    </row>
    <row r="114" spans="11:15">
      <c r="L114" s="518">
        <v>7</v>
      </c>
      <c r="M114" s="629">
        <v>82.487914902714195</v>
      </c>
      <c r="N114" s="629">
        <v>140.91017132499999</v>
      </c>
      <c r="O114" s="629">
        <v>69.485213547142905</v>
      </c>
    </row>
    <row r="115" spans="11:15">
      <c r="L115" s="518">
        <v>8</v>
      </c>
      <c r="M115" s="629">
        <v>69.997998918805749</v>
      </c>
      <c r="N115" s="629">
        <v>136.49742889404237</v>
      </c>
      <c r="O115" s="629">
        <v>66.892999376569193</v>
      </c>
    </row>
    <row r="116" spans="11:15">
      <c r="L116" s="518">
        <v>9</v>
      </c>
      <c r="M116" s="629">
        <v>88.40642874285713</v>
      </c>
      <c r="N116" s="629">
        <v>201.53699821428572</v>
      </c>
      <c r="O116" s="629">
        <v>202.43557085714284</v>
      </c>
    </row>
    <row r="117" spans="11:15">
      <c r="L117" s="518">
        <v>10</v>
      </c>
      <c r="M117" s="629">
        <v>97.012568035088606</v>
      </c>
      <c r="N117" s="629">
        <v>203.423558556426</v>
      </c>
      <c r="O117" s="629">
        <v>221.61685711214301</v>
      </c>
    </row>
    <row r="118" spans="11:15">
      <c r="L118" s="518">
        <v>11</v>
      </c>
      <c r="M118" s="629">
        <v>119.25400107247444</v>
      </c>
      <c r="N118" s="629">
        <v>322.04871477399513</v>
      </c>
      <c r="O118" s="629">
        <v>75.359285627092575</v>
      </c>
    </row>
    <row r="119" spans="11:15">
      <c r="L119" s="518">
        <v>12</v>
      </c>
      <c r="M119" s="629">
        <v>87.219570704868829</v>
      </c>
      <c r="N119" s="629">
        <v>190.45399911063015</v>
      </c>
      <c r="O119" s="629">
        <v>126.76628439766976</v>
      </c>
    </row>
    <row r="120" spans="11:15">
      <c r="L120" s="518">
        <v>13</v>
      </c>
      <c r="M120" s="629">
        <v>94.784285714285701</v>
      </c>
      <c r="N120" s="629">
        <v>246.19428571428574</v>
      </c>
      <c r="O120" s="629">
        <v>182.03142857142853</v>
      </c>
    </row>
    <row r="121" spans="11:15">
      <c r="L121" s="518">
        <v>14</v>
      </c>
      <c r="M121" s="629">
        <v>107.18971470424081</v>
      </c>
      <c r="N121" s="629">
        <v>299.53485761369933</v>
      </c>
      <c r="O121" s="629">
        <v>126.58499799455872</v>
      </c>
    </row>
    <row r="122" spans="11:15">
      <c r="L122" s="518">
        <v>15</v>
      </c>
      <c r="M122" s="629">
        <v>81.303429194285712</v>
      </c>
      <c r="N122" s="629">
        <v>161.58600069999997</v>
      </c>
      <c r="O122" s="629">
        <v>108.36571609857143</v>
      </c>
    </row>
    <row r="123" spans="11:15">
      <c r="L123" s="518">
        <v>16</v>
      </c>
      <c r="M123" s="629">
        <v>57.173570905412909</v>
      </c>
      <c r="N123" s="629">
        <v>100.25114222935244</v>
      </c>
      <c r="O123" s="629">
        <v>80.749999999999957</v>
      </c>
    </row>
    <row r="124" spans="11:15">
      <c r="L124" s="518">
        <v>17</v>
      </c>
      <c r="M124" s="629">
        <v>56.173570905412902</v>
      </c>
      <c r="N124" s="629">
        <v>98.251142229351998</v>
      </c>
      <c r="O124" s="629">
        <v>74.78</v>
      </c>
    </row>
    <row r="125" spans="11:15">
      <c r="K125" s="518">
        <v>18</v>
      </c>
      <c r="L125" s="518">
        <v>18</v>
      </c>
      <c r="M125" s="629">
        <v>32.715714285714284</v>
      </c>
      <c r="N125" s="629">
        <v>58.212857142857146</v>
      </c>
      <c r="O125" s="629">
        <v>55.015714285714289</v>
      </c>
    </row>
    <row r="126" spans="11:15">
      <c r="L126" s="518">
        <v>19</v>
      </c>
      <c r="M126" s="629">
        <v>28.384857177734325</v>
      </c>
      <c r="N126" s="629">
        <v>54.184856959751606</v>
      </c>
      <c r="O126" s="629">
        <v>63.114713941301552</v>
      </c>
    </row>
    <row r="127" spans="11:15">
      <c r="L127" s="518">
        <v>20</v>
      </c>
      <c r="M127" s="629">
        <v>29.131428854806028</v>
      </c>
      <c r="N127" s="629">
        <v>62.818143027169334</v>
      </c>
      <c r="O127" s="629">
        <v>74.948570251464801</v>
      </c>
    </row>
    <row r="128" spans="11:15">
      <c r="L128" s="518">
        <v>21</v>
      </c>
      <c r="M128" s="629">
        <v>24.248714174543085</v>
      </c>
      <c r="N128" s="629">
        <v>55.007428305489626</v>
      </c>
      <c r="O128" s="629">
        <v>40.69300024850024</v>
      </c>
    </row>
    <row r="129" spans="11:15">
      <c r="L129" s="518">
        <v>22</v>
      </c>
      <c r="M129" s="629">
        <v>20.351571764285715</v>
      </c>
      <c r="N129" s="629">
        <v>46.462857382857138</v>
      </c>
      <c r="O129" s="629">
        <v>34.15499986857143</v>
      </c>
    </row>
    <row r="130" spans="11:15">
      <c r="L130" s="518">
        <v>23</v>
      </c>
      <c r="M130" s="629">
        <v>18.67642865862161</v>
      </c>
      <c r="N130" s="629">
        <v>44.122500737508098</v>
      </c>
      <c r="O130" s="629">
        <v>38.822832743326785</v>
      </c>
    </row>
    <row r="131" spans="11:15">
      <c r="L131" s="518">
        <v>24</v>
      </c>
      <c r="M131" s="629">
        <v>17.118428638571427</v>
      </c>
      <c r="N131" s="629">
        <v>40.649428780000001</v>
      </c>
      <c r="O131" s="629">
        <v>43.344285420000006</v>
      </c>
    </row>
    <row r="132" spans="11:15">
      <c r="L132" s="518">
        <v>25</v>
      </c>
      <c r="M132" s="629">
        <v>15.889428547142858</v>
      </c>
      <c r="N132" s="629">
        <v>36.63071441571428</v>
      </c>
      <c r="O132" s="629">
        <v>27.371428898571427</v>
      </c>
    </row>
    <row r="133" spans="11:15">
      <c r="K133" s="518">
        <v>26</v>
      </c>
      <c r="L133" s="518">
        <v>26</v>
      </c>
      <c r="M133" s="629">
        <v>14.38928576857143</v>
      </c>
      <c r="N133" s="629">
        <v>34.614857537142861</v>
      </c>
      <c r="O133" s="629">
        <v>25.336999892857143</v>
      </c>
    </row>
    <row r="134" spans="11:15">
      <c r="L134" s="518">
        <v>27</v>
      </c>
      <c r="M134" s="629">
        <v>12.591143065714286</v>
      </c>
      <c r="N134" s="629">
        <v>26.614571161428568</v>
      </c>
      <c r="O134" s="629">
        <v>17.011999948571425</v>
      </c>
    </row>
    <row r="135" spans="11:15">
      <c r="L135" s="518">
        <v>28</v>
      </c>
      <c r="M135" s="629">
        <v>12.568143027142856</v>
      </c>
      <c r="N135" s="749">
        <v>27.269166944999998</v>
      </c>
      <c r="O135" s="629">
        <v>15.456000011666667</v>
      </c>
    </row>
    <row r="136" spans="11:15">
      <c r="L136" s="518">
        <v>29</v>
      </c>
      <c r="M136" s="629">
        <v>12.436285836355987</v>
      </c>
      <c r="N136" s="749">
        <v>27.957999638148667</v>
      </c>
      <c r="O136" s="629">
        <v>12.983142989022358</v>
      </c>
    </row>
    <row r="137" spans="11:15">
      <c r="L137" s="518">
        <v>30</v>
      </c>
      <c r="M137" s="629">
        <v>12.081000189999999</v>
      </c>
      <c r="N137" s="749">
        <v>25.709142960000001</v>
      </c>
      <c r="O137" s="629">
        <v>13.575857162857142</v>
      </c>
    </row>
    <row r="138" spans="11:15">
      <c r="L138" s="518">
        <v>31</v>
      </c>
      <c r="M138" s="629">
        <v>11.596285820007285</v>
      </c>
      <c r="N138" s="749">
        <v>24.763571058000789</v>
      </c>
      <c r="O138" s="629">
        <v>11.669857025146444</v>
      </c>
    </row>
    <row r="139" spans="11:15">
      <c r="L139" s="518">
        <v>32</v>
      </c>
      <c r="M139" s="629">
        <v>11.720571517944299</v>
      </c>
      <c r="N139" s="749">
        <v>24.089857101440373</v>
      </c>
      <c r="O139" s="629">
        <v>19.260286058698341</v>
      </c>
    </row>
    <row r="140" spans="11:15">
      <c r="L140" s="518">
        <v>33</v>
      </c>
      <c r="M140" s="629">
        <v>12.527428762857143</v>
      </c>
      <c r="N140" s="749">
        <v>22.760285514285709</v>
      </c>
      <c r="O140" s="629">
        <v>11.767142841428575</v>
      </c>
    </row>
    <row r="141" spans="11:15">
      <c r="L141" s="518">
        <v>34</v>
      </c>
      <c r="M141" s="629">
        <v>16.307285444285718</v>
      </c>
      <c r="N141" s="749">
        <v>25.360285895714288</v>
      </c>
      <c r="O141" s="629">
        <v>9.6848572311428569</v>
      </c>
    </row>
    <row r="142" spans="11:15">
      <c r="L142" s="518">
        <v>35</v>
      </c>
      <c r="M142" s="629">
        <v>16.3159999847412</v>
      </c>
      <c r="N142" s="749">
        <v>25.920999526977486</v>
      </c>
      <c r="O142" s="629">
        <v>10.140166600545237</v>
      </c>
    </row>
    <row r="143" spans="11:15">
      <c r="L143" s="518">
        <v>36</v>
      </c>
      <c r="M143" s="629">
        <v>16.338571412285699</v>
      </c>
      <c r="N143" s="629">
        <v>27.733714512857141</v>
      </c>
      <c r="O143" s="629">
        <v>7.178428649999999</v>
      </c>
    </row>
    <row r="144" spans="11:15">
      <c r="L144" s="518">
        <v>37</v>
      </c>
      <c r="M144" s="629">
        <v>10.549342727592901</v>
      </c>
      <c r="N144" s="629">
        <v>24.191236087402601</v>
      </c>
      <c r="O144" s="629">
        <v>7.178428649999999</v>
      </c>
    </row>
    <row r="145" spans="10:15">
      <c r="K145" s="518">
        <v>38</v>
      </c>
      <c r="L145" s="518">
        <v>38</v>
      </c>
      <c r="M145" s="629">
        <v>16.446428843906887</v>
      </c>
      <c r="N145" s="629">
        <v>37.008142471313427</v>
      </c>
      <c r="O145" s="629">
        <v>21.733428410121345</v>
      </c>
    </row>
    <row r="146" spans="10:15">
      <c r="L146" s="518">
        <v>39</v>
      </c>
      <c r="M146" s="629">
        <v>16.413428580000001</v>
      </c>
      <c r="N146" s="629">
        <v>43.941286359999992</v>
      </c>
      <c r="O146" s="629">
        <v>13.527142932857144</v>
      </c>
    </row>
    <row r="147" spans="10:15">
      <c r="L147" s="518">
        <v>40</v>
      </c>
      <c r="M147" s="629">
        <v>16.787428447178375</v>
      </c>
      <c r="N147" s="750">
        <v>35.542857851300859</v>
      </c>
      <c r="O147" s="629">
        <v>14.786999974931945</v>
      </c>
    </row>
    <row r="148" spans="10:15">
      <c r="L148" s="518">
        <v>41</v>
      </c>
      <c r="M148" s="629">
        <v>15.8430898672582</v>
      </c>
      <c r="N148" s="750">
        <v>42.2230343138324</v>
      </c>
      <c r="O148" s="629">
        <v>20.704649510407599</v>
      </c>
    </row>
    <row r="149" spans="10:15">
      <c r="L149" s="518">
        <v>42</v>
      </c>
      <c r="M149" s="629">
        <v>5.7759999548571432</v>
      </c>
      <c r="N149" s="750">
        <v>38.873856951428571</v>
      </c>
      <c r="O149" s="629">
        <v>25.138142720000001</v>
      </c>
    </row>
    <row r="150" spans="10:15">
      <c r="L150" s="518">
        <v>43</v>
      </c>
      <c r="M150" s="629">
        <v>11.382285799298913</v>
      </c>
      <c r="N150" s="750">
        <v>37.477428436279276</v>
      </c>
      <c r="O150" s="629">
        <v>25.216714314051995</v>
      </c>
    </row>
    <row r="151" spans="10:15">
      <c r="L151" s="518">
        <v>44</v>
      </c>
      <c r="M151" s="629">
        <v>5.2291429382857144</v>
      </c>
      <c r="N151" s="750">
        <v>41.068570818571423</v>
      </c>
      <c r="O151" s="629">
        <v>14.095285688571428</v>
      </c>
    </row>
    <row r="152" spans="10:15">
      <c r="L152" s="518">
        <v>45</v>
      </c>
      <c r="M152" s="629">
        <v>10.919857297624844</v>
      </c>
      <c r="N152" s="629">
        <v>45.284285954066661</v>
      </c>
      <c r="O152" s="629">
        <v>11.297285897391143</v>
      </c>
    </row>
    <row r="153" spans="10:15">
      <c r="L153" s="518">
        <v>46</v>
      </c>
      <c r="M153" s="629">
        <v>11.464714461428573</v>
      </c>
      <c r="N153" s="629">
        <v>40.058000837142856</v>
      </c>
      <c r="O153" s="629">
        <v>9.971571377428571</v>
      </c>
    </row>
    <row r="154" spans="10:15">
      <c r="L154" s="518">
        <v>47</v>
      </c>
      <c r="M154" s="629">
        <v>11.333428791591084</v>
      </c>
      <c r="N154" s="629">
        <v>46.268857138497467</v>
      </c>
      <c r="O154" s="629">
        <v>9.063428674425392</v>
      </c>
    </row>
    <row r="155" spans="10:15">
      <c r="L155" s="518">
        <v>48</v>
      </c>
      <c r="M155" s="629">
        <v>11.195143154689243</v>
      </c>
      <c r="N155" s="629">
        <v>45.240856715611031</v>
      </c>
      <c r="O155" s="629">
        <v>7.7819999286106594</v>
      </c>
    </row>
    <row r="156" spans="10:15">
      <c r="L156" s="518">
        <v>49</v>
      </c>
      <c r="M156" s="629">
        <v>11.129571504285716</v>
      </c>
      <c r="N156" s="629">
        <v>43.306000301428575</v>
      </c>
      <c r="O156" s="629">
        <v>6.0248571805714279</v>
      </c>
    </row>
    <row r="157" spans="10:15">
      <c r="L157" s="518">
        <v>50</v>
      </c>
      <c r="M157" s="629">
        <v>12.79414286142857</v>
      </c>
      <c r="N157" s="629">
        <v>46.609286172857139</v>
      </c>
      <c r="O157" s="629">
        <v>10.802999973571429</v>
      </c>
    </row>
    <row r="158" spans="10:15">
      <c r="L158" s="518">
        <v>51</v>
      </c>
      <c r="M158" s="629">
        <v>21.320999690000001</v>
      </c>
      <c r="N158" s="629">
        <v>70.499713898571443</v>
      </c>
      <c r="O158" s="629">
        <v>13.546999929285715</v>
      </c>
    </row>
    <row r="159" spans="10:15">
      <c r="K159" s="518">
        <v>52</v>
      </c>
      <c r="L159" s="518">
        <v>52</v>
      </c>
      <c r="M159" s="629">
        <v>21.088856832857143</v>
      </c>
      <c r="N159" s="629">
        <v>65.301143102857139</v>
      </c>
      <c r="O159" s="629">
        <v>13.057714190571428</v>
      </c>
    </row>
    <row r="160" spans="10:15">
      <c r="J160" s="276">
        <v>2023</v>
      </c>
      <c r="L160" s="518">
        <v>1</v>
      </c>
      <c r="M160" s="629">
        <v>26.193571361428578</v>
      </c>
      <c r="N160" s="629">
        <v>79.502428327142866</v>
      </c>
      <c r="O160" s="629">
        <v>32.061142784285714</v>
      </c>
    </row>
    <row r="161" spans="11:15">
      <c r="L161" s="518">
        <v>2</v>
      </c>
      <c r="M161" s="629">
        <v>39.929000037142863</v>
      </c>
      <c r="N161" s="629">
        <v>82.984999520000002</v>
      </c>
      <c r="O161" s="629">
        <v>34.175857135714288</v>
      </c>
    </row>
    <row r="162" spans="11:15">
      <c r="L162" s="518">
        <v>3</v>
      </c>
      <c r="M162" s="629">
        <v>38.682570866176015</v>
      </c>
      <c r="N162" s="629">
        <v>85.672571454729152</v>
      </c>
      <c r="O162" s="629">
        <v>53.2630004882812</v>
      </c>
    </row>
    <row r="163" spans="11:15">
      <c r="L163" s="518">
        <v>4</v>
      </c>
      <c r="M163" s="629">
        <v>53.584285738571431</v>
      </c>
      <c r="N163" s="629">
        <v>119.73214174285714</v>
      </c>
      <c r="O163" s="629">
        <v>106.51171438857143</v>
      </c>
    </row>
    <row r="164" spans="11:15">
      <c r="L164" s="518">
        <v>5</v>
      </c>
      <c r="M164" s="629">
        <v>57.720571248725399</v>
      </c>
      <c r="N164" s="629">
        <v>93.18</v>
      </c>
      <c r="O164" s="629">
        <v>42.072000000000003</v>
      </c>
    </row>
    <row r="165" spans="11:15">
      <c r="L165" s="518">
        <v>6</v>
      </c>
      <c r="M165" s="629">
        <v>45.188856942313009</v>
      </c>
      <c r="N165" s="629">
        <v>76.965286254882741</v>
      </c>
      <c r="O165" s="629">
        <v>29.099428721836585</v>
      </c>
    </row>
    <row r="166" spans="11:15">
      <c r="L166" s="518">
        <v>7</v>
      </c>
      <c r="M166" s="629">
        <v>61.49</v>
      </c>
      <c r="N166" s="629">
        <v>100.04</v>
      </c>
      <c r="O166" s="629">
        <v>90.14</v>
      </c>
    </row>
    <row r="167" spans="11:15">
      <c r="L167" s="518">
        <v>8</v>
      </c>
      <c r="M167" s="629">
        <v>94.627143865714288</v>
      </c>
      <c r="N167" s="629">
        <v>127.76542662857143</v>
      </c>
      <c r="O167" s="629">
        <v>119.39471545714287</v>
      </c>
    </row>
    <row r="168" spans="11:15">
      <c r="K168" s="518">
        <v>9</v>
      </c>
      <c r="L168" s="518">
        <v>9</v>
      </c>
      <c r="M168" s="629">
        <v>88.105715070451865</v>
      </c>
      <c r="N168" s="629">
        <v>152.0637141636436</v>
      </c>
      <c r="O168" s="629">
        <v>71.975428444998542</v>
      </c>
    </row>
    <row r="169" spans="11:15">
      <c r="M169" s="629"/>
      <c r="N169" s="629"/>
      <c r="O169" s="629"/>
    </row>
    <row r="170" spans="11:15">
      <c r="M170" s="629"/>
      <c r="N170" s="629"/>
      <c r="O170" s="629"/>
    </row>
    <row r="171" spans="11:15">
      <c r="M171" s="629"/>
      <c r="N171" s="629"/>
      <c r="O171" s="629"/>
    </row>
    <row r="172" spans="11:15">
      <c r="M172" s="629"/>
      <c r="N172" s="629"/>
      <c r="O172" s="629"/>
    </row>
    <row r="173" spans="11:15">
      <c r="M173" s="629"/>
      <c r="N173" s="629"/>
      <c r="O173" s="629"/>
    </row>
    <row r="174" spans="11:15">
      <c r="M174" s="629"/>
      <c r="N174" s="629"/>
      <c r="O174" s="629"/>
    </row>
    <row r="175" spans="11:15">
      <c r="M175" s="629"/>
      <c r="N175" s="629"/>
      <c r="O175" s="629"/>
    </row>
    <row r="176" spans="11:15">
      <c r="M176" s="629"/>
      <c r="N176" s="629"/>
      <c r="O176" s="629"/>
    </row>
    <row r="177" spans="13:15">
      <c r="M177" s="629"/>
      <c r="N177" s="629"/>
      <c r="O177" s="629"/>
    </row>
    <row r="178" spans="13:15">
      <c r="M178" s="629"/>
      <c r="N178" s="629"/>
      <c r="O178" s="629"/>
    </row>
    <row r="179" spans="13:15">
      <c r="M179" s="629"/>
      <c r="N179" s="629"/>
      <c r="O179" s="629"/>
    </row>
    <row r="180" spans="13:15">
      <c r="M180" s="629"/>
      <c r="N180" s="629"/>
      <c r="O180" s="629"/>
    </row>
    <row r="182" spans="13:15">
      <c r="M182" s="276" t="s">
        <v>256</v>
      </c>
      <c r="N182" s="276" t="s">
        <v>257</v>
      </c>
      <c r="O182" s="276" t="s">
        <v>258</v>
      </c>
    </row>
  </sheetData>
  <mergeCells count="2">
    <mergeCell ref="A3:G3"/>
    <mergeCell ref="A35:G35"/>
  </mergeCells>
  <pageMargins left="0.4365" right="0.33950000000000002" top="1.0236220472440944" bottom="0.57826923076923076"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I199"/>
  <sheetViews>
    <sheetView showGridLines="0" view="pageBreakPreview" zoomScaleNormal="100" zoomScaleSheetLayoutView="100" zoomScalePageLayoutView="85" workbookViewId="0">
      <selection activeCell="D14" sqref="D14"/>
    </sheetView>
  </sheetViews>
  <sheetFormatPr baseColWidth="10" defaultColWidth="9.28515625" defaultRowHeight="10.199999999999999"/>
  <cols>
    <col min="10" max="11" width="9.28515625" customWidth="1"/>
    <col min="13" max="16" width="9.28515625" style="277"/>
    <col min="17" max="17" width="11.7109375" style="277" bestFit="1" customWidth="1"/>
    <col min="18" max="18" width="15.140625" style="277" customWidth="1"/>
    <col min="19" max="19" width="14.28515625" style="277" customWidth="1"/>
    <col min="20" max="20" width="14.42578125" style="277" customWidth="1"/>
    <col min="21" max="21" width="9.42578125" style="277" bestFit="1" customWidth="1"/>
    <col min="22" max="22" width="14.7109375" style="277" customWidth="1"/>
    <col min="23" max="23" width="9.42578125" style="277" customWidth="1"/>
    <col min="24" max="24" width="9.7109375" style="277" bestFit="1" customWidth="1"/>
    <col min="25" max="25" width="9.42578125" style="277" bestFit="1" customWidth="1"/>
    <col min="26" max="26" width="9.28515625" style="748"/>
    <col min="27" max="35" width="9.28515625" style="662"/>
  </cols>
  <sheetData>
    <row r="1" spans="1:25" ht="11.25" customHeight="1"/>
    <row r="2" spans="1:25" ht="11.25" customHeight="1">
      <c r="A2" s="289"/>
      <c r="B2" s="290"/>
      <c r="C2" s="290"/>
      <c r="D2" s="290"/>
      <c r="E2" s="290"/>
      <c r="F2" s="290"/>
      <c r="G2" s="174"/>
      <c r="H2" s="174"/>
      <c r="I2" s="132"/>
    </row>
    <row r="3" spans="1:25" ht="11.25" customHeight="1">
      <c r="A3" s="132"/>
      <c r="B3" s="132"/>
      <c r="C3" s="132"/>
      <c r="D3" s="132"/>
      <c r="E3" s="132"/>
      <c r="F3" s="132"/>
      <c r="G3" s="138"/>
      <c r="H3" s="138"/>
      <c r="I3" s="138"/>
      <c r="J3" s="148"/>
      <c r="K3" s="148"/>
      <c r="L3" s="148"/>
      <c r="O3" s="277" t="s">
        <v>255</v>
      </c>
      <c r="P3" s="582"/>
      <c r="Q3" s="277" t="s">
        <v>555</v>
      </c>
      <c r="R3" s="277" t="s">
        <v>556</v>
      </c>
      <c r="S3" s="277" t="s">
        <v>259</v>
      </c>
      <c r="T3" s="277" t="s">
        <v>260</v>
      </c>
      <c r="U3" s="277" t="s">
        <v>261</v>
      </c>
      <c r="V3" s="277" t="s">
        <v>262</v>
      </c>
      <c r="W3" s="277" t="s">
        <v>559</v>
      </c>
      <c r="X3" s="277" t="s">
        <v>560</v>
      </c>
      <c r="Y3" s="277" t="s">
        <v>561</v>
      </c>
    </row>
    <row r="4" spans="1:25" ht="11.25" customHeight="1">
      <c r="A4" s="132"/>
      <c r="B4" s="132"/>
      <c r="C4" s="132"/>
      <c r="D4" s="132"/>
      <c r="E4" s="132"/>
      <c r="F4" s="132"/>
      <c r="G4" s="138"/>
      <c r="H4" s="138"/>
      <c r="I4" s="138"/>
      <c r="J4" s="148"/>
      <c r="K4" s="148"/>
      <c r="L4" s="148"/>
      <c r="N4" s="781">
        <v>2020</v>
      </c>
      <c r="O4" s="781"/>
      <c r="P4" s="783">
        <v>1</v>
      </c>
      <c r="Q4" s="780">
        <v>12.763571330479184</v>
      </c>
      <c r="R4" s="780">
        <v>7.4842857292720009</v>
      </c>
      <c r="S4" s="780">
        <v>176.20814078194715</v>
      </c>
      <c r="T4" s="780">
        <v>130.2321406773155</v>
      </c>
      <c r="U4" s="780">
        <v>24.27742849077493</v>
      </c>
      <c r="V4" s="780">
        <v>14.514315741402715</v>
      </c>
      <c r="W4" s="780">
        <v>2.278571367263786</v>
      </c>
      <c r="X4" s="780">
        <v>468.15499877929659</v>
      </c>
      <c r="Y4" s="780">
        <v>152.80385916573601</v>
      </c>
    </row>
    <row r="5" spans="1:25" ht="11.25" customHeight="1">
      <c r="A5" s="176"/>
      <c r="B5" s="176"/>
      <c r="C5" s="176"/>
      <c r="D5" s="176"/>
      <c r="E5" s="176"/>
      <c r="F5" s="176"/>
      <c r="G5" s="176"/>
      <c r="H5" s="176"/>
      <c r="I5" s="176"/>
      <c r="J5" s="24"/>
      <c r="K5" s="24"/>
      <c r="L5" s="131"/>
      <c r="N5" s="781"/>
      <c r="O5" s="781"/>
      <c r="P5" s="783">
        <v>2</v>
      </c>
      <c r="Q5" s="780">
        <v>13.386285781428571</v>
      </c>
      <c r="R5" s="780">
        <v>6.9174285272857139</v>
      </c>
      <c r="S5" s="780">
        <v>159.75199889999999</v>
      </c>
      <c r="T5" s="780">
        <v>106.97614288285715</v>
      </c>
      <c r="U5" s="780">
        <v>30.680286678571431</v>
      </c>
      <c r="V5" s="780">
        <v>13.21958133142857</v>
      </c>
      <c r="W5" s="780">
        <v>1.8857142757142857</v>
      </c>
      <c r="X5" s="780">
        <v>213.59428187142859</v>
      </c>
      <c r="Y5" s="780">
        <v>97.949856347142855</v>
      </c>
    </row>
    <row r="6" spans="1:25" ht="11.25" customHeight="1">
      <c r="A6" s="132"/>
      <c r="B6" s="291"/>
      <c r="C6" s="292"/>
      <c r="D6" s="293"/>
      <c r="E6" s="293"/>
      <c r="F6" s="177"/>
      <c r="G6" s="178"/>
      <c r="H6" s="178"/>
      <c r="I6" s="179"/>
      <c r="J6" s="24"/>
      <c r="K6" s="24"/>
      <c r="L6" s="19"/>
      <c r="N6" s="781"/>
      <c r="O6" s="781"/>
      <c r="P6" s="783">
        <v>3</v>
      </c>
      <c r="Q6" s="780">
        <v>15.196428435714285</v>
      </c>
      <c r="R6" s="780">
        <v>11.330428599714283</v>
      </c>
      <c r="S6" s="780">
        <v>243.87700107142857</v>
      </c>
      <c r="T6" s="780">
        <v>137.04186028571428</v>
      </c>
      <c r="U6" s="780">
        <v>40.240000044285715</v>
      </c>
      <c r="V6" s="780">
        <v>16.855534282857143</v>
      </c>
      <c r="W6" s="780">
        <v>6.3075712748571418</v>
      </c>
      <c r="X6" s="780">
        <v>247.26214164285713</v>
      </c>
      <c r="Y6" s="780">
        <v>78.131857190000005</v>
      </c>
    </row>
    <row r="7" spans="1:25" ht="11.25" customHeight="1">
      <c r="A7" s="132"/>
      <c r="B7" s="180"/>
      <c r="C7" s="180"/>
      <c r="D7" s="181"/>
      <c r="E7" s="181"/>
      <c r="F7" s="177"/>
      <c r="G7" s="178"/>
      <c r="H7" s="178"/>
      <c r="I7" s="179"/>
      <c r="J7" s="25"/>
      <c r="K7" s="25"/>
      <c r="L7" s="22"/>
      <c r="N7" s="781"/>
      <c r="O7" s="781"/>
      <c r="P7" s="783">
        <v>4</v>
      </c>
      <c r="Q7" s="780">
        <v>16.57199968714286</v>
      </c>
      <c r="R7" s="780">
        <v>12.821999958571428</v>
      </c>
      <c r="S7" s="780">
        <v>236.61043005714285</v>
      </c>
      <c r="T7" s="780">
        <v>121.29742760000001</v>
      </c>
      <c r="U7" s="780">
        <v>26.470714297142855</v>
      </c>
      <c r="V7" s="780">
        <v>22.011848449999999</v>
      </c>
      <c r="W7" s="780">
        <v>4.3669999327142861</v>
      </c>
      <c r="X7" s="780">
        <v>212.78856985714287</v>
      </c>
      <c r="Y7" s="780">
        <v>52.875</v>
      </c>
    </row>
    <row r="8" spans="1:25" ht="11.25" customHeight="1">
      <c r="A8" s="132"/>
      <c r="B8" s="182"/>
      <c r="C8" s="132"/>
      <c r="D8" s="156"/>
      <c r="E8" s="156"/>
      <c r="F8" s="177"/>
      <c r="G8" s="178"/>
      <c r="H8" s="178"/>
      <c r="I8" s="179"/>
      <c r="J8" s="23"/>
      <c r="K8" s="23"/>
      <c r="L8" s="24"/>
      <c r="N8" s="781"/>
      <c r="O8" s="781"/>
      <c r="P8" s="783">
        <v>5</v>
      </c>
      <c r="Q8" s="780">
        <v>25.675428661428576</v>
      </c>
      <c r="R8" s="780">
        <v>18.254856927142857</v>
      </c>
      <c r="S8" s="780">
        <v>392.82542635714287</v>
      </c>
      <c r="T8" s="780">
        <v>216.11300005714287</v>
      </c>
      <c r="U8" s="780">
        <v>48.707714625714289</v>
      </c>
      <c r="V8" s="780">
        <v>14.496191432857142</v>
      </c>
      <c r="W8" s="780">
        <v>2.6891428574285712</v>
      </c>
      <c r="X8" s="780">
        <v>410.15428595714286</v>
      </c>
      <c r="Y8" s="780">
        <v>99.128998899999985</v>
      </c>
    </row>
    <row r="9" spans="1:25" ht="11.25" customHeight="1">
      <c r="A9" s="132"/>
      <c r="B9" s="182"/>
      <c r="C9" s="132"/>
      <c r="D9" s="156"/>
      <c r="E9" s="156"/>
      <c r="F9" s="177"/>
      <c r="G9" s="178"/>
      <c r="H9" s="178"/>
      <c r="I9" s="179"/>
      <c r="J9" s="25"/>
      <c r="K9" s="26"/>
      <c r="L9" s="22"/>
      <c r="N9" s="781"/>
      <c r="O9" s="781"/>
      <c r="P9" s="783">
        <v>6</v>
      </c>
      <c r="Q9" s="780">
        <v>22.638571330479174</v>
      </c>
      <c r="R9" s="780">
        <v>17.332571574619813</v>
      </c>
      <c r="S9" s="780">
        <v>448.59157017299066</v>
      </c>
      <c r="T9" s="780">
        <v>221.35714285714261</v>
      </c>
      <c r="U9" s="780">
        <v>51.925000326974022</v>
      </c>
      <c r="V9" s="780">
        <v>17.659045491899729</v>
      </c>
      <c r="W9" s="780">
        <v>9.7964284079415354</v>
      </c>
      <c r="X9" s="780">
        <v>622.45499965122758</v>
      </c>
      <c r="Y9" s="780">
        <v>151.47385733468144</v>
      </c>
    </row>
    <row r="10" spans="1:25" ht="11.25" customHeight="1">
      <c r="A10" s="132"/>
      <c r="B10" s="182"/>
      <c r="C10" s="132"/>
      <c r="D10" s="156"/>
      <c r="E10" s="156"/>
      <c r="F10" s="177"/>
      <c r="G10" s="178"/>
      <c r="H10" s="178"/>
      <c r="I10" s="179"/>
      <c r="J10" s="25"/>
      <c r="K10" s="25"/>
      <c r="L10" s="22"/>
      <c r="N10" s="781"/>
      <c r="O10" s="781"/>
      <c r="P10" s="783">
        <v>7</v>
      </c>
      <c r="Q10" s="780">
        <v>24.818285805714286</v>
      </c>
      <c r="R10" s="780">
        <v>19.436000279999998</v>
      </c>
      <c r="S10" s="780">
        <v>374.25799560000002</v>
      </c>
      <c r="T10" s="780">
        <v>142.54771639999998</v>
      </c>
      <c r="U10" s="780">
        <v>37.997142247142854</v>
      </c>
      <c r="V10" s="780">
        <v>23.642735891428568</v>
      </c>
      <c r="W10" s="780">
        <v>10.810714449000001</v>
      </c>
      <c r="X10" s="780">
        <v>434.32357352857144</v>
      </c>
      <c r="Y10" s="780">
        <v>148.12728554285715</v>
      </c>
    </row>
    <row r="11" spans="1:25" ht="11.25" customHeight="1">
      <c r="A11" s="132"/>
      <c r="B11" s="156"/>
      <c r="C11" s="132"/>
      <c r="D11" s="156"/>
      <c r="E11" s="156"/>
      <c r="F11" s="177"/>
      <c r="G11" s="178"/>
      <c r="H11" s="178"/>
      <c r="I11" s="179"/>
      <c r="J11" s="25"/>
      <c r="K11" s="25"/>
      <c r="L11" s="22"/>
      <c r="N11" s="781"/>
      <c r="O11" s="781">
        <v>8</v>
      </c>
      <c r="P11" s="783">
        <v>8</v>
      </c>
      <c r="Q11" s="780">
        <v>16.877285957336387</v>
      </c>
      <c r="R11" s="780">
        <v>13.084142684936484</v>
      </c>
      <c r="S11" s="780">
        <v>289.19357081821948</v>
      </c>
      <c r="T11" s="780">
        <v>162.01200212751087</v>
      </c>
      <c r="U11" s="780">
        <v>30.780285699026873</v>
      </c>
      <c r="V11" s="780">
        <v>23.681545802525072</v>
      </c>
      <c r="W11" s="780">
        <v>21.290571621486073</v>
      </c>
      <c r="X11" s="780">
        <v>403.40571376255542</v>
      </c>
      <c r="Y11" s="780">
        <v>143.28899928501644</v>
      </c>
    </row>
    <row r="12" spans="1:25" ht="11.25" customHeight="1">
      <c r="A12" s="132"/>
      <c r="B12" s="156"/>
      <c r="C12" s="132"/>
      <c r="D12" s="156"/>
      <c r="E12" s="156"/>
      <c r="F12" s="177"/>
      <c r="G12" s="178"/>
      <c r="H12" s="178"/>
      <c r="I12" s="179"/>
      <c r="J12" s="25"/>
      <c r="K12" s="25"/>
      <c r="L12" s="22"/>
      <c r="N12" s="781"/>
      <c r="O12" s="781"/>
      <c r="P12" s="783">
        <v>9</v>
      </c>
      <c r="Q12" s="780">
        <v>20.463000162857146</v>
      </c>
      <c r="R12" s="780">
        <v>16.131428717142857</v>
      </c>
      <c r="S12" s="780">
        <v>302.38613892857137</v>
      </c>
      <c r="T12" s="780">
        <v>174.72028894285717</v>
      </c>
      <c r="U12" s="780">
        <v>36.13400023285714</v>
      </c>
      <c r="V12" s="780">
        <v>23.625475747142854</v>
      </c>
      <c r="W12" s="780">
        <v>11.064000130142858</v>
      </c>
      <c r="X12" s="780">
        <v>388.35356794285718</v>
      </c>
      <c r="Y12" s="780">
        <v>84.357999531428575</v>
      </c>
    </row>
    <row r="13" spans="1:25" ht="11.25" customHeight="1">
      <c r="A13" s="132"/>
      <c r="B13" s="156"/>
      <c r="C13" s="132"/>
      <c r="D13" s="156"/>
      <c r="E13" s="156"/>
      <c r="F13" s="177"/>
      <c r="G13" s="178"/>
      <c r="H13" s="178"/>
      <c r="I13" s="179"/>
      <c r="J13" s="23"/>
      <c r="K13" s="23"/>
      <c r="L13" s="24"/>
      <c r="N13" s="781"/>
      <c r="O13" s="781"/>
      <c r="P13" s="783">
        <v>10</v>
      </c>
      <c r="Q13" s="780">
        <v>20.001714159999999</v>
      </c>
      <c r="R13" s="780">
        <v>16.133428572857145</v>
      </c>
      <c r="S13" s="780">
        <v>219.49971445714283</v>
      </c>
      <c r="T13" s="780">
        <v>118.91071428571429</v>
      </c>
      <c r="U13" s="780">
        <v>22.61842863857143</v>
      </c>
      <c r="V13" s="780">
        <v>23.72583552857143</v>
      </c>
      <c r="W13" s="780">
        <v>5.0324285712857142</v>
      </c>
      <c r="X13" s="780">
        <v>317.96785625714284</v>
      </c>
      <c r="Y13" s="780">
        <v>76.472572329999977</v>
      </c>
    </row>
    <row r="14" spans="1:25" ht="11.25" customHeight="1">
      <c r="A14" s="132"/>
      <c r="B14" s="156"/>
      <c r="C14" s="132"/>
      <c r="D14" s="156"/>
      <c r="E14" s="156"/>
      <c r="F14" s="177"/>
      <c r="G14" s="178"/>
      <c r="H14" s="178"/>
      <c r="I14" s="179"/>
      <c r="J14" s="25"/>
      <c r="K14" s="26"/>
      <c r="L14" s="22"/>
      <c r="N14" s="781"/>
      <c r="O14" s="781"/>
      <c r="P14" s="783">
        <v>11</v>
      </c>
      <c r="Q14" s="780">
        <v>20.464285714285715</v>
      </c>
      <c r="R14" s="780">
        <v>16.275285719999999</v>
      </c>
      <c r="S14" s="780">
        <v>210.39014761428572</v>
      </c>
      <c r="T14" s="780">
        <v>145.36899785714286</v>
      </c>
      <c r="U14" s="780">
        <v>39.343428748571434</v>
      </c>
      <c r="V14" s="780">
        <v>23.714347295714287</v>
      </c>
      <c r="W14" s="780">
        <v>12.165999821428571</v>
      </c>
      <c r="X14" s="780">
        <v>377.62500435714281</v>
      </c>
      <c r="Y14" s="780">
        <v>110.78628649857141</v>
      </c>
    </row>
    <row r="15" spans="1:25" ht="11.25" customHeight="1">
      <c r="A15" s="132"/>
      <c r="B15" s="156"/>
      <c r="C15" s="132"/>
      <c r="D15" s="156"/>
      <c r="E15" s="156"/>
      <c r="F15" s="177"/>
      <c r="G15" s="178"/>
      <c r="H15" s="178"/>
      <c r="I15" s="179"/>
      <c r="J15" s="25"/>
      <c r="K15" s="26"/>
      <c r="L15" s="22"/>
      <c r="N15" s="781"/>
      <c r="O15" s="781"/>
      <c r="P15" s="783">
        <v>12</v>
      </c>
      <c r="Q15" s="780">
        <v>23.032714026314846</v>
      </c>
      <c r="R15" s="780">
        <v>20.180714198521169</v>
      </c>
      <c r="S15" s="780">
        <v>335.19785417829189</v>
      </c>
      <c r="T15" s="780">
        <v>171.26185716901472</v>
      </c>
      <c r="U15" s="780">
        <v>46.286999838692772</v>
      </c>
      <c r="V15" s="780">
        <v>23.623331614903002</v>
      </c>
      <c r="W15" s="780">
        <v>11.119714055742502</v>
      </c>
      <c r="X15" s="780">
        <v>380.85929216657314</v>
      </c>
      <c r="Y15" s="780">
        <v>113.32999965122723</v>
      </c>
    </row>
    <row r="16" spans="1:25" ht="11.25" customHeight="1">
      <c r="A16" s="132"/>
      <c r="B16" s="156"/>
      <c r="C16" s="132"/>
      <c r="D16" s="156"/>
      <c r="E16" s="156"/>
      <c r="F16" s="177"/>
      <c r="G16" s="178"/>
      <c r="H16" s="178"/>
      <c r="I16" s="179"/>
      <c r="J16" s="25"/>
      <c r="K16" s="26"/>
      <c r="L16" s="22"/>
      <c r="N16" s="781"/>
      <c r="O16" s="781"/>
      <c r="P16" s="783">
        <v>13</v>
      </c>
      <c r="Q16" s="780">
        <v>27.558857236589642</v>
      </c>
      <c r="R16" s="780">
        <v>21.319143022809669</v>
      </c>
      <c r="S16" s="780">
        <v>569.31741768973188</v>
      </c>
      <c r="T16" s="780">
        <v>241.59529113769531</v>
      </c>
      <c r="U16" s="780">
        <v>63.414285387311629</v>
      </c>
      <c r="V16" s="780">
        <v>22.128154209681874</v>
      </c>
      <c r="W16" s="780">
        <v>6.0048571995326432</v>
      </c>
      <c r="X16" s="780">
        <v>332.15285818917374</v>
      </c>
      <c r="Y16" s="780">
        <v>97.158571515764294</v>
      </c>
    </row>
    <row r="17" spans="1:25" ht="11.25" customHeight="1">
      <c r="A17" s="132"/>
      <c r="B17" s="156"/>
      <c r="C17" s="132"/>
      <c r="D17" s="156"/>
      <c r="E17" s="156"/>
      <c r="F17" s="177"/>
      <c r="G17" s="178"/>
      <c r="H17" s="178"/>
      <c r="I17" s="179"/>
      <c r="J17" s="25"/>
      <c r="K17" s="26"/>
      <c r="L17" s="22"/>
      <c r="N17" s="781"/>
      <c r="O17" s="781"/>
      <c r="P17" s="783">
        <v>14</v>
      </c>
      <c r="Q17" s="780">
        <v>18.795857294285714</v>
      </c>
      <c r="R17" s="780">
        <v>18.168000220000003</v>
      </c>
      <c r="S17" s="780">
        <v>298.48543221428571</v>
      </c>
      <c r="T17" s="780">
        <v>156.28586031428571</v>
      </c>
      <c r="U17" s="780">
        <v>40.567142485714285</v>
      </c>
      <c r="V17" s="780">
        <v>21.36</v>
      </c>
      <c r="W17" s="780">
        <v>4.6619999238571435</v>
      </c>
      <c r="X17" s="780">
        <v>272.16142927142863</v>
      </c>
      <c r="Y17" s="780">
        <v>87.023999895714283</v>
      </c>
    </row>
    <row r="18" spans="1:25" ht="11.25" customHeight="1">
      <c r="A18" s="910" t="s">
        <v>607</v>
      </c>
      <c r="B18" s="910"/>
      <c r="C18" s="910"/>
      <c r="D18" s="910"/>
      <c r="E18" s="910"/>
      <c r="F18" s="910"/>
      <c r="G18" s="910"/>
      <c r="H18" s="910"/>
      <c r="I18" s="910"/>
      <c r="J18" s="910"/>
      <c r="K18" s="910"/>
      <c r="L18" s="910"/>
      <c r="N18" s="781"/>
      <c r="O18" s="781"/>
      <c r="P18" s="783">
        <v>15</v>
      </c>
      <c r="Q18" s="780">
        <v>16.380999974285714</v>
      </c>
      <c r="R18" s="780">
        <v>14.786285537142858</v>
      </c>
      <c r="S18" s="780">
        <v>196.30642698571427</v>
      </c>
      <c r="T18" s="780">
        <v>126.20242854857143</v>
      </c>
      <c r="U18" s="780">
        <v>27.609000341428576</v>
      </c>
      <c r="V18" s="780">
        <v>23.601429802857144</v>
      </c>
      <c r="W18" s="780">
        <v>2.5870000464285714</v>
      </c>
      <c r="X18" s="780">
        <v>174.17928642857143</v>
      </c>
      <c r="Y18" s="780">
        <v>56.692000798571428</v>
      </c>
    </row>
    <row r="19" spans="1:25" ht="11.25" customHeight="1">
      <c r="A19" s="25"/>
      <c r="B19" s="156"/>
      <c r="C19" s="132"/>
      <c r="D19" s="156"/>
      <c r="E19" s="156"/>
      <c r="F19" s="177"/>
      <c r="G19" s="178"/>
      <c r="H19" s="178"/>
      <c r="I19" s="179"/>
      <c r="J19" s="25"/>
      <c r="K19" s="26"/>
      <c r="L19" s="22"/>
      <c r="N19" s="781"/>
      <c r="O19" s="781">
        <v>16</v>
      </c>
      <c r="P19" s="783">
        <v>16</v>
      </c>
      <c r="Q19" s="780">
        <v>15.142857142857142</v>
      </c>
      <c r="R19" s="780">
        <v>11.113285608857142</v>
      </c>
      <c r="S19" s="780">
        <v>144.25785718571427</v>
      </c>
      <c r="T19" s="780">
        <v>112.32742854857143</v>
      </c>
      <c r="U19" s="780">
        <v>23.319143022857144</v>
      </c>
      <c r="V19" s="780">
        <v>16.145714351428573</v>
      </c>
      <c r="W19" s="780">
        <v>1.9568571534285717</v>
      </c>
      <c r="X19" s="780">
        <v>124.01500048571428</v>
      </c>
      <c r="Y19" s="780">
        <v>41.578285762857142</v>
      </c>
    </row>
    <row r="20" spans="1:25" ht="11.25" customHeight="1">
      <c r="A20" s="132"/>
      <c r="B20" s="156"/>
      <c r="C20" s="132"/>
      <c r="D20" s="156"/>
      <c r="E20" s="156"/>
      <c r="F20" s="177"/>
      <c r="G20" s="178"/>
      <c r="H20" s="178"/>
      <c r="I20" s="179"/>
      <c r="J20" s="25"/>
      <c r="K20" s="26"/>
      <c r="L20" s="22"/>
      <c r="N20" s="781"/>
      <c r="O20" s="781"/>
      <c r="P20" s="783">
        <v>17</v>
      </c>
      <c r="Q20" s="780">
        <v>14.535142626081141</v>
      </c>
      <c r="R20" s="780">
        <v>7.95871441704886</v>
      </c>
      <c r="S20" s="780">
        <v>118.61742946079741</v>
      </c>
      <c r="T20" s="780">
        <v>86.636999947684131</v>
      </c>
      <c r="U20" s="780">
        <v>19.662570953369116</v>
      </c>
      <c r="V20" s="780">
        <v>14.007261548723459</v>
      </c>
      <c r="W20" s="780">
        <v>2.0897142546517471</v>
      </c>
      <c r="X20" s="780">
        <v>109.72071402413471</v>
      </c>
      <c r="Y20" s="780">
        <v>32.277857099260544</v>
      </c>
    </row>
    <row r="21" spans="1:25" ht="11.25" customHeight="1">
      <c r="A21" s="132"/>
      <c r="B21" s="156"/>
      <c r="C21" s="132"/>
      <c r="D21" s="156"/>
      <c r="E21" s="156"/>
      <c r="F21" s="177"/>
      <c r="G21" s="178"/>
      <c r="H21" s="178"/>
      <c r="I21" s="179"/>
      <c r="J21" s="25"/>
      <c r="K21" s="29"/>
      <c r="L21" s="30"/>
      <c r="N21" s="781"/>
      <c r="O21" s="781"/>
      <c r="P21" s="783">
        <v>18</v>
      </c>
      <c r="Q21" s="780">
        <v>15.919285638571427</v>
      </c>
      <c r="R21" s="780">
        <v>12.133857388142859</v>
      </c>
      <c r="S21" s="780">
        <v>119.46943012857146</v>
      </c>
      <c r="T21" s="780">
        <v>95.79771531714286</v>
      </c>
      <c r="U21" s="780">
        <v>21.329571314285715</v>
      </c>
      <c r="V21" s="780">
        <v>12.484048571428572</v>
      </c>
      <c r="W21" s="780">
        <v>2.074857081857143</v>
      </c>
      <c r="X21" s="780">
        <v>121.69785745714287</v>
      </c>
      <c r="Y21" s="780">
        <v>27.218570980000003</v>
      </c>
    </row>
    <row r="22" spans="1:25" ht="11.25" customHeight="1">
      <c r="A22" s="137"/>
      <c r="B22" s="156"/>
      <c r="C22" s="132"/>
      <c r="D22" s="156"/>
      <c r="E22" s="156"/>
      <c r="F22" s="177"/>
      <c r="G22" s="178"/>
      <c r="H22" s="178"/>
      <c r="I22" s="179"/>
      <c r="J22" s="25"/>
      <c r="K22" s="26"/>
      <c r="L22" s="22"/>
      <c r="N22" s="781"/>
      <c r="O22" s="781"/>
      <c r="P22" s="783">
        <v>19</v>
      </c>
      <c r="Q22" s="780">
        <v>16.148714472857144</v>
      </c>
      <c r="R22" s="780">
        <v>14.776714189999998</v>
      </c>
      <c r="S22" s="780">
        <v>179.62085941428572</v>
      </c>
      <c r="T22" s="780">
        <v>63.654857091428575</v>
      </c>
      <c r="U22" s="780">
        <v>18.961428234285709</v>
      </c>
      <c r="V22" s="780">
        <v>11.436902861999998</v>
      </c>
      <c r="W22" s="780">
        <v>1.6491428614285712</v>
      </c>
      <c r="X22" s="780">
        <v>98.23285565285714</v>
      </c>
      <c r="Y22" s="780">
        <v>23.996714454285712</v>
      </c>
    </row>
    <row r="23" spans="1:25" ht="11.25" customHeight="1">
      <c r="A23" s="137"/>
      <c r="B23" s="156"/>
      <c r="C23" s="132"/>
      <c r="D23" s="156"/>
      <c r="E23" s="156"/>
      <c r="F23" s="177"/>
      <c r="G23" s="178"/>
      <c r="H23" s="178"/>
      <c r="I23" s="179"/>
      <c r="J23" s="25"/>
      <c r="K23" s="26"/>
      <c r="L23" s="22"/>
      <c r="N23" s="781"/>
      <c r="O23" s="781"/>
      <c r="P23" s="783">
        <v>20</v>
      </c>
      <c r="Q23" s="780">
        <v>13.91285719</v>
      </c>
      <c r="R23" s="780">
        <v>10.484285559</v>
      </c>
      <c r="S23" s="780">
        <v>132.41042655714287</v>
      </c>
      <c r="T23" s="780">
        <v>63.017857142857146</v>
      </c>
      <c r="U23" s="780">
        <v>17.724285941428572</v>
      </c>
      <c r="V23" s="780">
        <v>12.01881</v>
      </c>
      <c r="W23" s="780">
        <v>1.6491428614285712</v>
      </c>
      <c r="X23" s="780">
        <v>74.486427307142861</v>
      </c>
      <c r="Y23" s="780">
        <v>27.218570980000003</v>
      </c>
    </row>
    <row r="24" spans="1:25" ht="11.25" customHeight="1">
      <c r="A24" s="137"/>
      <c r="B24" s="156"/>
      <c r="C24" s="132"/>
      <c r="D24" s="156"/>
      <c r="E24" s="156"/>
      <c r="F24" s="177"/>
      <c r="G24" s="178"/>
      <c r="H24" s="178"/>
      <c r="I24" s="179"/>
      <c r="J24" s="26"/>
      <c r="K24" s="26"/>
      <c r="L24" s="22"/>
      <c r="N24" s="781"/>
      <c r="O24" s="781"/>
      <c r="P24" s="783">
        <v>21</v>
      </c>
      <c r="Q24" s="780">
        <v>12.832571710859</v>
      </c>
      <c r="R24" s="780">
        <v>8.7072857448032899</v>
      </c>
      <c r="S24" s="780">
        <v>118.96285901750787</v>
      </c>
      <c r="T24" s="780">
        <v>55.553428649902308</v>
      </c>
      <c r="U24" s="780">
        <v>14.547714369637587</v>
      </c>
      <c r="V24" s="780">
        <v>11.963334356035457</v>
      </c>
      <c r="W24" s="780">
        <v>1.6175714560917398</v>
      </c>
      <c r="X24" s="780">
        <v>66.354285648890865</v>
      </c>
      <c r="Y24" s="780">
        <v>17.639571326119512</v>
      </c>
    </row>
    <row r="25" spans="1:25" ht="11.25" customHeight="1">
      <c r="A25" s="137"/>
      <c r="B25" s="156"/>
      <c r="C25" s="132"/>
      <c r="D25" s="156"/>
      <c r="E25" s="156"/>
      <c r="F25" s="177"/>
      <c r="G25" s="178"/>
      <c r="H25" s="178"/>
      <c r="I25" s="179"/>
      <c r="J25" s="25"/>
      <c r="K25" s="29"/>
      <c r="L25" s="30"/>
      <c r="N25" s="781"/>
      <c r="O25" s="781"/>
      <c r="P25" s="783">
        <v>22</v>
      </c>
      <c r="Q25" s="780">
        <v>11.589857237142857</v>
      </c>
      <c r="R25" s="780">
        <v>7.6087141037142851</v>
      </c>
      <c r="S25" s="780">
        <v>92.527713229999989</v>
      </c>
      <c r="T25" s="780">
        <v>48.85114288285714</v>
      </c>
      <c r="U25" s="780">
        <v>12.851142882857143</v>
      </c>
      <c r="V25" s="780">
        <v>11.972144264285713</v>
      </c>
      <c r="W25" s="780">
        <v>1.7258571555714286</v>
      </c>
      <c r="X25" s="780">
        <v>60.742857795714293</v>
      </c>
      <c r="Y25" s="780">
        <v>13.389714241428573</v>
      </c>
    </row>
    <row r="26" spans="1:25" ht="11.25" customHeight="1">
      <c r="A26" s="137"/>
      <c r="B26" s="156"/>
      <c r="C26" s="132"/>
      <c r="D26" s="156"/>
      <c r="E26" s="156"/>
      <c r="F26" s="138"/>
      <c r="G26" s="138"/>
      <c r="H26" s="138"/>
      <c r="I26" s="138"/>
      <c r="J26" s="23"/>
      <c r="K26" s="26"/>
      <c r="L26" s="22"/>
      <c r="N26" s="781"/>
      <c r="O26" s="781"/>
      <c r="P26" s="783">
        <v>23</v>
      </c>
      <c r="Q26" s="780">
        <v>10.866000038571428</v>
      </c>
      <c r="R26" s="780">
        <v>6.6898570742857144</v>
      </c>
      <c r="S26" s="780">
        <v>86.262142725714284</v>
      </c>
      <c r="T26" s="780">
        <v>49.02971431142857</v>
      </c>
      <c r="U26" s="780">
        <v>13.300571305714286</v>
      </c>
      <c r="V26" s="780">
        <v>12.060297148571431</v>
      </c>
      <c r="W26" s="780">
        <v>2.2755714314285713</v>
      </c>
      <c r="X26" s="780">
        <v>60.932143074285719</v>
      </c>
      <c r="Y26" s="780">
        <v>13.06000001</v>
      </c>
    </row>
    <row r="27" spans="1:25" ht="11.25" customHeight="1">
      <c r="A27" s="137"/>
      <c r="B27" s="156"/>
      <c r="C27" s="132"/>
      <c r="D27" s="156"/>
      <c r="E27" s="156"/>
      <c r="F27" s="138"/>
      <c r="G27" s="138"/>
      <c r="H27" s="138"/>
      <c r="I27" s="138"/>
      <c r="J27" s="23"/>
      <c r="K27" s="26"/>
      <c r="L27" s="22"/>
      <c r="N27" s="781"/>
      <c r="O27" s="781">
        <v>24</v>
      </c>
      <c r="P27" s="783">
        <v>24</v>
      </c>
      <c r="Q27" s="780">
        <v>10.893428530011814</v>
      </c>
      <c r="R27" s="780">
        <v>6.3937142235892095</v>
      </c>
      <c r="S27" s="780">
        <v>80.154999869210343</v>
      </c>
      <c r="T27" s="780">
        <v>39.363000052315797</v>
      </c>
      <c r="U27" s="780">
        <v>11.205857140677287</v>
      </c>
      <c r="V27" s="780">
        <v>12.025059972490542</v>
      </c>
      <c r="W27" s="780">
        <v>2.2755714314324473</v>
      </c>
      <c r="X27" s="780">
        <v>56.771429334367994</v>
      </c>
      <c r="Y27" s="780">
        <v>10.094714164733857</v>
      </c>
    </row>
    <row r="28" spans="1:25" ht="11.25" customHeight="1">
      <c r="A28" s="136"/>
      <c r="B28" s="138"/>
      <c r="C28" s="138"/>
      <c r="D28" s="138"/>
      <c r="E28" s="138"/>
      <c r="F28" s="138"/>
      <c r="G28" s="138"/>
      <c r="H28" s="138"/>
      <c r="I28" s="138"/>
      <c r="J28" s="25"/>
      <c r="K28" s="26"/>
      <c r="L28" s="22"/>
      <c r="N28" s="781"/>
      <c r="O28" s="781"/>
      <c r="P28" s="783">
        <v>25</v>
      </c>
      <c r="Q28" s="780">
        <v>9.7685713087142858</v>
      </c>
      <c r="R28" s="780">
        <v>5.4858571460000007</v>
      </c>
      <c r="S28" s="780">
        <v>71.438000270000003</v>
      </c>
      <c r="T28" s="780">
        <v>31.88514287142857</v>
      </c>
      <c r="U28" s="780">
        <v>9.1724285395714276</v>
      </c>
      <c r="V28" s="780">
        <v>11.867550168571428</v>
      </c>
      <c r="W28" s="780">
        <v>1.7577142885714285</v>
      </c>
      <c r="X28" s="780">
        <v>51.780714305714291</v>
      </c>
      <c r="Y28" s="780">
        <v>9.1595716474285691</v>
      </c>
    </row>
    <row r="29" spans="1:25" ht="11.25" customHeight="1">
      <c r="A29" s="136"/>
      <c r="B29" s="138"/>
      <c r="C29" s="138"/>
      <c r="D29" s="138"/>
      <c r="E29" s="138"/>
      <c r="F29" s="138"/>
      <c r="G29" s="138"/>
      <c r="H29" s="138"/>
      <c r="I29" s="138"/>
      <c r="J29" s="25"/>
      <c r="K29" s="26"/>
      <c r="L29" s="22"/>
      <c r="N29" s="781"/>
      <c r="O29" s="781"/>
      <c r="P29" s="783">
        <v>26</v>
      </c>
      <c r="Q29" s="780">
        <v>9.3011428291428579</v>
      </c>
      <c r="R29" s="780">
        <v>5.6422856875714285</v>
      </c>
      <c r="S29" s="780">
        <v>70.798141479999998</v>
      </c>
      <c r="T29" s="780">
        <v>29.80342864857143</v>
      </c>
      <c r="U29" s="780">
        <v>8.6642858641428564</v>
      </c>
      <c r="V29" s="780">
        <v>11.961507115714285</v>
      </c>
      <c r="W29" s="780">
        <v>1.7387143204285713</v>
      </c>
      <c r="X29" s="780">
        <v>47.265713828571435</v>
      </c>
      <c r="Y29" s="780">
        <v>8.8348572594285706</v>
      </c>
    </row>
    <row r="30" spans="1:25" ht="11.25" customHeight="1">
      <c r="A30" s="136"/>
      <c r="B30" s="138"/>
      <c r="C30" s="138"/>
      <c r="D30" s="138"/>
      <c r="E30" s="138"/>
      <c r="F30" s="138"/>
      <c r="G30" s="138"/>
      <c r="H30" s="138"/>
      <c r="I30" s="138"/>
      <c r="J30" s="25"/>
      <c r="K30" s="26"/>
      <c r="L30" s="22"/>
      <c r="N30" s="781"/>
      <c r="O30" s="781"/>
      <c r="P30" s="783">
        <v>27</v>
      </c>
      <c r="Q30" s="780">
        <v>9.0898572376796078</v>
      </c>
      <c r="R30" s="780">
        <v>4.8411428587777223</v>
      </c>
      <c r="S30" s="780">
        <v>72.323284694126613</v>
      </c>
      <c r="T30" s="780">
        <v>28.875142778669062</v>
      </c>
      <c r="U30" s="780">
        <v>8.3150001253400507</v>
      </c>
      <c r="V30" s="780">
        <v>12.125935554504371</v>
      </c>
      <c r="W30" s="780">
        <v>2.0545714242117699</v>
      </c>
      <c r="X30" s="780">
        <v>44.601428440638877</v>
      </c>
      <c r="Y30" s="780">
        <v>8.4665715353829452</v>
      </c>
    </row>
    <row r="31" spans="1:25" ht="11.25" customHeight="1">
      <c r="A31" s="136"/>
      <c r="B31" s="138"/>
      <c r="C31" s="138"/>
      <c r="D31" s="138"/>
      <c r="E31" s="138"/>
      <c r="F31" s="138"/>
      <c r="G31" s="138"/>
      <c r="H31" s="138"/>
      <c r="I31" s="138"/>
      <c r="J31" s="25"/>
      <c r="K31" s="26"/>
      <c r="L31" s="22"/>
      <c r="N31" s="781"/>
      <c r="O31" s="781"/>
      <c r="P31" s="783">
        <v>28</v>
      </c>
      <c r="Q31" s="780">
        <v>8.3315715788571421</v>
      </c>
      <c r="R31" s="780">
        <v>4.0902857780000001</v>
      </c>
      <c r="S31" s="780">
        <v>70.352427891428562</v>
      </c>
      <c r="T31" s="780">
        <v>27.071428571428573</v>
      </c>
      <c r="U31" s="780">
        <v>7.9792855807142846</v>
      </c>
      <c r="V31" s="780">
        <v>12.036131450000001</v>
      </c>
      <c r="W31" s="780">
        <v>1.862857103571429</v>
      </c>
      <c r="X31" s="780">
        <v>42.742857252857149</v>
      </c>
      <c r="Y31" s="780">
        <v>7.6952857290000001</v>
      </c>
    </row>
    <row r="32" spans="1:25" ht="11.25" customHeight="1">
      <c r="A32" s="136"/>
      <c r="B32" s="138"/>
      <c r="C32" s="138"/>
      <c r="D32" s="138"/>
      <c r="E32" s="138"/>
      <c r="F32" s="138"/>
      <c r="G32" s="138"/>
      <c r="H32" s="138"/>
      <c r="I32" s="138"/>
      <c r="J32" s="26"/>
      <c r="K32" s="26"/>
      <c r="L32" s="22"/>
      <c r="N32" s="781"/>
      <c r="O32" s="781"/>
      <c r="P32" s="783">
        <v>29</v>
      </c>
      <c r="Q32" s="780">
        <v>8.7399999755714273</v>
      </c>
      <c r="R32" s="780">
        <v>3.3690000857142857</v>
      </c>
      <c r="S32" s="780">
        <v>69.363000051428585</v>
      </c>
      <c r="T32" s="780">
        <v>26.369142805714286</v>
      </c>
      <c r="U32" s="780">
        <v>7.2952857698571441</v>
      </c>
      <c r="V32" s="780">
        <v>12.01250158142857</v>
      </c>
      <c r="W32" s="780">
        <v>2.1428571427142855</v>
      </c>
      <c r="X32" s="780">
        <v>40.262857164285712</v>
      </c>
      <c r="Y32" s="780">
        <v>7.1297142847142867</v>
      </c>
    </row>
    <row r="33" spans="1:25" ht="11.25" customHeight="1">
      <c r="A33" s="136"/>
      <c r="B33" s="138"/>
      <c r="C33" s="138"/>
      <c r="D33" s="138"/>
      <c r="E33" s="138"/>
      <c r="F33" s="138"/>
      <c r="G33" s="138"/>
      <c r="H33" s="138"/>
      <c r="I33" s="138"/>
      <c r="J33" s="25"/>
      <c r="K33" s="26"/>
      <c r="L33" s="22"/>
      <c r="N33" s="781"/>
      <c r="O33" s="781"/>
      <c r="P33" s="783">
        <v>30</v>
      </c>
      <c r="Q33" s="780">
        <v>8.2612857819999999</v>
      </c>
      <c r="R33" s="780">
        <v>3.9334286622857135</v>
      </c>
      <c r="S33" s="780">
        <v>68.101856775714282</v>
      </c>
      <c r="T33" s="780">
        <v>23.077571325714285</v>
      </c>
      <c r="U33" s="780">
        <v>7.5452858379999999</v>
      </c>
      <c r="V33" s="780">
        <v>12.065415654285715</v>
      </c>
      <c r="W33" s="780">
        <v>2.0148571899999999</v>
      </c>
      <c r="X33" s="780">
        <v>39.827141895714291</v>
      </c>
      <c r="Y33" s="780">
        <v>8.1214285577142853</v>
      </c>
    </row>
    <row r="34" spans="1:25" ht="11.25" customHeight="1">
      <c r="A34" s="136"/>
      <c r="B34" s="138"/>
      <c r="C34" s="138"/>
      <c r="D34" s="138"/>
      <c r="E34" s="138"/>
      <c r="F34" s="138"/>
      <c r="G34" s="138"/>
      <c r="H34" s="138"/>
      <c r="I34" s="138"/>
      <c r="J34" s="25"/>
      <c r="K34" s="34"/>
      <c r="L34" s="22"/>
      <c r="N34" s="781"/>
      <c r="O34" s="781"/>
      <c r="P34" s="783">
        <v>31</v>
      </c>
      <c r="Q34" s="780">
        <v>7.5295715331428577</v>
      </c>
      <c r="R34" s="780">
        <v>3.8718570981428577</v>
      </c>
      <c r="S34" s="780">
        <v>66.163572037142856</v>
      </c>
      <c r="T34" s="780">
        <v>20.36314283098493</v>
      </c>
      <c r="U34" s="780">
        <v>7.1267142297142865</v>
      </c>
      <c r="V34" s="780">
        <v>12.064045632857143</v>
      </c>
      <c r="W34" s="780">
        <v>2.0708571672857143</v>
      </c>
      <c r="X34" s="780">
        <v>37.761428834285709</v>
      </c>
      <c r="Y34" s="780">
        <v>8.1097143717142863</v>
      </c>
    </row>
    <row r="35" spans="1:25" ht="11.25" customHeight="1">
      <c r="A35" s="136"/>
      <c r="B35" s="138"/>
      <c r="C35" s="138"/>
      <c r="D35" s="138"/>
      <c r="E35" s="138"/>
      <c r="F35" s="138"/>
      <c r="G35" s="138"/>
      <c r="H35" s="138"/>
      <c r="I35" s="138"/>
      <c r="J35" s="25"/>
      <c r="K35" s="34"/>
      <c r="L35" s="38"/>
      <c r="N35" s="781"/>
      <c r="O35" s="781">
        <v>32</v>
      </c>
      <c r="P35" s="783">
        <v>32</v>
      </c>
      <c r="Q35" s="780">
        <v>7.1332857268197154</v>
      </c>
      <c r="R35" s="780">
        <v>3.9694285733359158</v>
      </c>
      <c r="S35" s="780">
        <v>69.589143480573355</v>
      </c>
      <c r="T35" s="780">
        <v>20.36</v>
      </c>
      <c r="U35" s="780">
        <v>6.828428472791396</v>
      </c>
      <c r="V35" s="780">
        <v>11.89809417724604</v>
      </c>
      <c r="W35" s="780">
        <v>1.7728571551186658</v>
      </c>
      <c r="X35" s="780">
        <v>37.760714394705587</v>
      </c>
      <c r="Y35" s="780">
        <v>10.538714272635294</v>
      </c>
    </row>
    <row r="36" spans="1:25" ht="11.25" customHeight="1">
      <c r="A36" s="136"/>
      <c r="B36" s="138"/>
      <c r="C36" s="138"/>
      <c r="D36" s="138"/>
      <c r="E36" s="138"/>
      <c r="F36" s="138"/>
      <c r="G36" s="138"/>
      <c r="H36" s="138"/>
      <c r="I36" s="138"/>
      <c r="J36" s="25"/>
      <c r="K36" s="29"/>
      <c r="L36" s="22"/>
      <c r="N36" s="781"/>
      <c r="O36" s="781"/>
      <c r="P36" s="783">
        <v>33</v>
      </c>
      <c r="Q36" s="780">
        <v>7.307000092</v>
      </c>
      <c r="R36" s="780">
        <v>4.0542857307142848</v>
      </c>
      <c r="S36" s="780">
        <v>67.52914374142857</v>
      </c>
      <c r="T36" s="780">
        <v>23.369000025714286</v>
      </c>
      <c r="U36" s="780">
        <v>6.6690000125714279</v>
      </c>
      <c r="V36" s="780">
        <v>11.954105787142856</v>
      </c>
      <c r="W36" s="780">
        <v>1.7154285907142857</v>
      </c>
      <c r="X36" s="780">
        <v>38.402142115714284</v>
      </c>
      <c r="Y36" s="780">
        <v>6.1292857952857149</v>
      </c>
    </row>
    <row r="37" spans="1:25" ht="11.25" customHeight="1">
      <c r="A37" s="136"/>
      <c r="B37" s="138"/>
      <c r="C37" s="138"/>
      <c r="D37" s="138"/>
      <c r="E37" s="138"/>
      <c r="F37" s="138"/>
      <c r="G37" s="138"/>
      <c r="H37" s="138"/>
      <c r="I37" s="138"/>
      <c r="J37" s="25"/>
      <c r="K37" s="29"/>
      <c r="L37" s="22"/>
      <c r="N37" s="781"/>
      <c r="O37" s="781"/>
      <c r="P37" s="783">
        <v>34</v>
      </c>
      <c r="Q37" s="780">
        <v>6.8864285605714288</v>
      </c>
      <c r="R37" s="780">
        <v>3.8852857181428568</v>
      </c>
      <c r="S37" s="780">
        <v>67.307859692857136</v>
      </c>
      <c r="T37" s="780">
        <v>24.434428622857144</v>
      </c>
      <c r="U37" s="780">
        <v>6.6477142742857138</v>
      </c>
      <c r="V37" s="780">
        <v>11.958392961428572</v>
      </c>
      <c r="W37" s="780">
        <v>2.26100002</v>
      </c>
      <c r="X37" s="780">
        <v>36.792856487142856</v>
      </c>
      <c r="Y37" s="780">
        <v>6.0765714645714288</v>
      </c>
    </row>
    <row r="38" spans="1:25" ht="11.25" customHeight="1">
      <c r="A38" s="136"/>
      <c r="B38" s="138"/>
      <c r="C38" s="138"/>
      <c r="D38" s="138"/>
      <c r="E38" s="138"/>
      <c r="F38" s="138"/>
      <c r="G38" s="138"/>
      <c r="H38" s="138"/>
      <c r="I38" s="138"/>
      <c r="J38" s="25"/>
      <c r="K38" s="29"/>
      <c r="L38" s="22"/>
      <c r="N38" s="781"/>
      <c r="O38" s="781"/>
      <c r="P38" s="783">
        <v>35</v>
      </c>
      <c r="Q38" s="780">
        <v>6.9537143707275364</v>
      </c>
      <c r="R38" s="780">
        <v>3.3560000147138283</v>
      </c>
      <c r="S38" s="780">
        <v>62.870428357805473</v>
      </c>
      <c r="T38" s="780">
        <v>21.077428545270632</v>
      </c>
      <c r="U38" s="780">
        <v>6.0071428843906904</v>
      </c>
      <c r="V38" s="780">
        <v>12.309941428048228</v>
      </c>
      <c r="W38" s="780">
        <v>1.5178571258272411</v>
      </c>
      <c r="X38" s="780">
        <v>37.991428375244077</v>
      </c>
      <c r="Y38" s="780">
        <v>5.9287142923900031</v>
      </c>
    </row>
    <row r="39" spans="1:25" ht="11.25" customHeight="1">
      <c r="N39" s="781"/>
      <c r="O39" s="781"/>
      <c r="P39" s="783">
        <v>36</v>
      </c>
      <c r="Q39" s="780">
        <v>6.8990000316074882</v>
      </c>
      <c r="R39" s="780">
        <v>3.1212857110159686</v>
      </c>
      <c r="S39" s="780">
        <v>65.621286119733483</v>
      </c>
      <c r="T39" s="780">
        <v>23.857142857142815</v>
      </c>
      <c r="U39" s="780">
        <v>6.0528572627476231</v>
      </c>
      <c r="V39" s="780">
        <v>12.697084290640644</v>
      </c>
      <c r="W39" s="780">
        <v>1.0650000040020247</v>
      </c>
      <c r="X39" s="780">
        <v>40.24999999999995</v>
      </c>
      <c r="Y39" s="780">
        <v>6.6625714302062962</v>
      </c>
    </row>
    <row r="40" spans="1:25" ht="11.25" customHeight="1">
      <c r="A40" s="910" t="s">
        <v>606</v>
      </c>
      <c r="B40" s="910"/>
      <c r="C40" s="910"/>
      <c r="D40" s="910"/>
      <c r="E40" s="910"/>
      <c r="F40" s="910"/>
      <c r="G40" s="910"/>
      <c r="H40" s="910"/>
      <c r="I40" s="910"/>
      <c r="J40" s="910"/>
      <c r="K40" s="910"/>
      <c r="L40" s="910"/>
      <c r="N40" s="781"/>
      <c r="O40" s="781"/>
      <c r="P40" s="783">
        <v>37</v>
      </c>
      <c r="Q40" s="780">
        <v>6.6838571003505107</v>
      </c>
      <c r="R40" s="780">
        <v>3.6978571414947474</v>
      </c>
      <c r="S40" s="780">
        <v>65.927430289132204</v>
      </c>
      <c r="T40" s="780">
        <v>21.696428571428545</v>
      </c>
      <c r="U40" s="780">
        <v>5.992857115609298</v>
      </c>
      <c r="V40" s="780">
        <v>12.722499983651257</v>
      </c>
      <c r="W40" s="780">
        <v>1.5737142903464156</v>
      </c>
      <c r="X40" s="780">
        <v>41.220714024135006</v>
      </c>
      <c r="Y40" s="780">
        <v>6.7525714465549971</v>
      </c>
    </row>
    <row r="41" spans="1:25" ht="11.25" customHeight="1">
      <c r="N41" s="781"/>
      <c r="O41" s="781"/>
      <c r="P41" s="783">
        <v>38</v>
      </c>
      <c r="Q41" s="780">
        <v>7.5399999618530247</v>
      </c>
      <c r="R41" s="780">
        <v>4.336428608285714</v>
      </c>
      <c r="S41" s="780">
        <v>68.259427751813561</v>
      </c>
      <c r="T41" s="780">
        <v>32.958285740443614</v>
      </c>
      <c r="U41" s="780">
        <v>6.3054285049438423</v>
      </c>
      <c r="V41" s="780">
        <v>12.757261548723429</v>
      </c>
      <c r="W41" s="780">
        <v>1.6808571304593714</v>
      </c>
      <c r="X41" s="780">
        <v>38.451428549630243</v>
      </c>
      <c r="Y41" s="780">
        <v>6.3287143026079411</v>
      </c>
    </row>
    <row r="42" spans="1:25" ht="11.25" customHeight="1">
      <c r="A42" s="136"/>
      <c r="B42" s="138"/>
      <c r="C42" s="138"/>
      <c r="D42" s="138"/>
      <c r="E42" s="138"/>
      <c r="F42" s="138"/>
      <c r="G42" s="138"/>
      <c r="H42" s="138"/>
      <c r="I42" s="138"/>
      <c r="N42" s="781"/>
      <c r="O42" s="781"/>
      <c r="P42" s="783">
        <v>39</v>
      </c>
      <c r="Q42" s="780">
        <v>6.875</v>
      </c>
      <c r="R42" s="780">
        <v>3.7</v>
      </c>
      <c r="S42" s="780">
        <v>75.159429278571437</v>
      </c>
      <c r="T42" s="780">
        <v>41.827428545714284</v>
      </c>
      <c r="U42" s="780">
        <v>7.6855713981428568</v>
      </c>
      <c r="V42" s="780">
        <v>12.744882855714284</v>
      </c>
      <c r="W42" s="780">
        <v>1.6871428661428571</v>
      </c>
      <c r="X42" s="780">
        <v>41.307143075714286</v>
      </c>
      <c r="Y42" s="780">
        <v>7.4534285069999999</v>
      </c>
    </row>
    <row r="43" spans="1:25" ht="11.25" customHeight="1">
      <c r="A43" s="136"/>
      <c r="B43" s="138"/>
      <c r="C43" s="138"/>
      <c r="D43" s="138"/>
      <c r="E43" s="138"/>
      <c r="F43" s="138"/>
      <c r="G43" s="138"/>
      <c r="H43" s="138"/>
      <c r="I43" s="138"/>
      <c r="N43" s="781"/>
      <c r="O43" s="781">
        <v>40</v>
      </c>
      <c r="P43" s="783">
        <v>40</v>
      </c>
      <c r="Q43" s="780">
        <v>6.0911429268571426</v>
      </c>
      <c r="R43" s="780">
        <v>3.501428569857143</v>
      </c>
      <c r="S43" s="780">
        <v>73.523286004285723</v>
      </c>
      <c r="T43" s="780">
        <v>30.178571428571427</v>
      </c>
      <c r="U43" s="780">
        <v>7.8047143392857157</v>
      </c>
      <c r="V43" s="780">
        <v>13.59601129857143</v>
      </c>
      <c r="W43" s="780">
        <v>1.6130000010000001</v>
      </c>
      <c r="X43" s="780">
        <v>45.036428724285713</v>
      </c>
      <c r="Y43" s="780">
        <v>6.0369999748571432</v>
      </c>
    </row>
    <row r="44" spans="1:25" ht="11.25" customHeight="1">
      <c r="A44" s="136"/>
      <c r="B44" s="138"/>
      <c r="C44" s="138"/>
      <c r="D44" s="138"/>
      <c r="E44" s="138"/>
      <c r="F44" s="138"/>
      <c r="G44" s="138"/>
      <c r="H44" s="138"/>
      <c r="I44" s="138"/>
      <c r="N44" s="781"/>
      <c r="O44" s="781"/>
      <c r="P44" s="783">
        <v>41</v>
      </c>
      <c r="Q44" s="780">
        <v>5.8652857372857152</v>
      </c>
      <c r="R44" s="780">
        <v>4.2169999735714283</v>
      </c>
      <c r="S44" s="780">
        <v>67.761285509999993</v>
      </c>
      <c r="T44" s="780">
        <v>24.547571454285713</v>
      </c>
      <c r="U44" s="780">
        <v>6.762428624428571</v>
      </c>
      <c r="V44" s="780">
        <v>13.258037294285714</v>
      </c>
      <c r="W44" s="780">
        <v>1.8452857051428571</v>
      </c>
      <c r="X44" s="780">
        <v>44.255714417142862</v>
      </c>
      <c r="Y44" s="780">
        <v>6.8767141612857143</v>
      </c>
    </row>
    <row r="45" spans="1:25" ht="11.25" customHeight="1">
      <c r="A45" s="136"/>
      <c r="B45" s="138"/>
      <c r="C45" s="138"/>
      <c r="D45" s="138"/>
      <c r="E45" s="138"/>
      <c r="F45" s="138"/>
      <c r="G45" s="138"/>
      <c r="H45" s="138"/>
      <c r="I45" s="138"/>
      <c r="N45" s="781"/>
      <c r="O45" s="781"/>
      <c r="P45" s="783">
        <v>42</v>
      </c>
      <c r="Q45" s="780">
        <v>6.6280000550406255</v>
      </c>
      <c r="R45" s="780">
        <v>4.7599999564034556</v>
      </c>
      <c r="S45" s="780">
        <v>71.132857186453606</v>
      </c>
      <c r="T45" s="780">
        <v>41.773857116699205</v>
      </c>
      <c r="U45" s="780">
        <v>7.8334286553519048</v>
      </c>
      <c r="V45" s="780">
        <v>12.748987061636742</v>
      </c>
      <c r="W45" s="780">
        <v>1.9990000043596503</v>
      </c>
      <c r="X45" s="780">
        <v>49.407857077462303</v>
      </c>
      <c r="Y45" s="780">
        <v>6.4478571755545433</v>
      </c>
    </row>
    <row r="46" spans="1:25" ht="11.25" customHeight="1">
      <c r="A46" s="136"/>
      <c r="B46" s="138"/>
      <c r="C46" s="138"/>
      <c r="D46" s="138"/>
      <c r="E46" s="138"/>
      <c r="F46" s="138"/>
      <c r="G46" s="138"/>
      <c r="H46" s="138"/>
      <c r="I46" s="138"/>
      <c r="N46" s="781"/>
      <c r="O46" s="781"/>
      <c r="P46" s="783">
        <v>43</v>
      </c>
      <c r="Q46" s="780">
        <v>7.1351429394285715</v>
      </c>
      <c r="R46" s="780">
        <v>5.693714175857143</v>
      </c>
      <c r="S46" s="780">
        <v>76.869857788571409</v>
      </c>
      <c r="T46" s="780">
        <v>39.60114288285714</v>
      </c>
      <c r="U46" s="780">
        <v>6.4934286387142857</v>
      </c>
      <c r="V46" s="780">
        <v>12.771309988571426</v>
      </c>
      <c r="W46" s="780">
        <v>1.5481428758571429</v>
      </c>
      <c r="X46" s="780">
        <v>49.056428090000004</v>
      </c>
      <c r="Y46" s="780">
        <v>6.2457143240000006</v>
      </c>
    </row>
    <row r="47" spans="1:25" ht="11.25" customHeight="1">
      <c r="A47" s="136"/>
      <c r="B47" s="138"/>
      <c r="C47" s="138"/>
      <c r="D47" s="138"/>
      <c r="E47" s="138"/>
      <c r="F47" s="138"/>
      <c r="G47" s="138"/>
      <c r="H47" s="138"/>
      <c r="I47" s="138"/>
      <c r="N47" s="781"/>
      <c r="O47" s="781"/>
      <c r="P47" s="783">
        <v>44</v>
      </c>
      <c r="Q47" s="780">
        <v>6.1070000102857147</v>
      </c>
      <c r="R47" s="780">
        <v>4.3958570957142857</v>
      </c>
      <c r="S47" s="780">
        <v>68.664999825714276</v>
      </c>
      <c r="T47" s="780">
        <v>36.702285765714286</v>
      </c>
      <c r="U47" s="780">
        <v>5.6301428931428577</v>
      </c>
      <c r="V47" s="780">
        <v>13.156308445714286</v>
      </c>
      <c r="W47" s="780">
        <v>1.4392857041428573</v>
      </c>
      <c r="X47" s="780">
        <v>48.241428374285711</v>
      </c>
      <c r="Y47" s="780">
        <v>6.5374285491428568</v>
      </c>
    </row>
    <row r="48" spans="1:25">
      <c r="A48" s="136"/>
      <c r="B48" s="138"/>
      <c r="C48" s="138"/>
      <c r="D48" s="138"/>
      <c r="E48" s="138"/>
      <c r="F48" s="138"/>
      <c r="G48" s="138"/>
      <c r="H48" s="138"/>
      <c r="I48" s="138"/>
      <c r="N48" s="781"/>
      <c r="O48" s="781"/>
      <c r="P48" s="783">
        <v>45</v>
      </c>
      <c r="Q48" s="780">
        <v>5.6735714502857144</v>
      </c>
      <c r="R48" s="780">
        <v>4.5134285178571432</v>
      </c>
      <c r="S48" s="780">
        <v>62.049999781428575</v>
      </c>
      <c r="T48" s="780">
        <v>27.797571454285713</v>
      </c>
      <c r="U48" s="780">
        <v>5.3054286411428562</v>
      </c>
      <c r="V48" s="780">
        <v>12.687737055714285</v>
      </c>
      <c r="W48" s="780">
        <v>1.380714297142857</v>
      </c>
      <c r="X48" s="780">
        <v>46.33071463571428</v>
      </c>
      <c r="Y48" s="780">
        <v>6.183142798285715</v>
      </c>
    </row>
    <row r="49" spans="1:25">
      <c r="A49" s="136"/>
      <c r="B49" s="138"/>
      <c r="C49" s="138"/>
      <c r="D49" s="138"/>
      <c r="E49" s="138"/>
      <c r="F49" s="138"/>
      <c r="G49" s="138"/>
      <c r="H49" s="138"/>
      <c r="I49" s="138"/>
      <c r="N49" s="781"/>
      <c r="O49" s="781"/>
      <c r="P49" s="783">
        <v>46</v>
      </c>
      <c r="Q49" s="780">
        <v>5.9637143271428581</v>
      </c>
      <c r="R49" s="780">
        <v>5.3014286587142854</v>
      </c>
      <c r="S49" s="780">
        <v>57.546571460000003</v>
      </c>
      <c r="T49" s="780">
        <v>32.208285740000001</v>
      </c>
      <c r="U49" s="780">
        <v>5.1785714285714288</v>
      </c>
      <c r="V49" s="780">
        <v>13.157975741428572</v>
      </c>
      <c r="W49" s="780">
        <v>1.3845714331428574</v>
      </c>
      <c r="X49" s="780">
        <v>44.693571362857142</v>
      </c>
      <c r="Y49" s="780">
        <v>7.3267143794285712</v>
      </c>
    </row>
    <row r="50" spans="1:25">
      <c r="A50" s="136"/>
      <c r="B50" s="138"/>
      <c r="C50" s="138"/>
      <c r="D50" s="138"/>
      <c r="E50" s="138"/>
      <c r="F50" s="138"/>
      <c r="G50" s="138"/>
      <c r="H50" s="138"/>
      <c r="I50" s="138"/>
      <c r="N50" s="781"/>
      <c r="O50" s="781"/>
      <c r="P50" s="783">
        <v>47</v>
      </c>
      <c r="Q50" s="780">
        <v>6.7792857034285712</v>
      </c>
      <c r="R50" s="780">
        <v>3.8094285555714285</v>
      </c>
      <c r="S50" s="780">
        <v>56.944714135714285</v>
      </c>
      <c r="T50" s="780">
        <v>25.351285662857144</v>
      </c>
      <c r="U50" s="780">
        <v>6.1274285315714279</v>
      </c>
      <c r="V50" s="780">
        <v>12.246785572857144</v>
      </c>
      <c r="W50" s="780">
        <v>1.5065714290000003</v>
      </c>
      <c r="X50" s="780">
        <v>42.967857361428564</v>
      </c>
      <c r="Y50" s="780">
        <v>9.6325714934285713</v>
      </c>
    </row>
    <row r="51" spans="1:25">
      <c r="A51" s="136"/>
      <c r="B51" s="138"/>
      <c r="C51" s="138"/>
      <c r="D51" s="138"/>
      <c r="E51" s="138"/>
      <c r="F51" s="138"/>
      <c r="G51" s="138"/>
      <c r="H51" s="138"/>
      <c r="I51" s="138"/>
      <c r="N51" s="781"/>
      <c r="O51" s="781"/>
      <c r="P51" s="783">
        <v>48</v>
      </c>
      <c r="Q51" s="780">
        <v>8.2138571738571429</v>
      </c>
      <c r="R51" s="780">
        <v>5.0787143024285717</v>
      </c>
      <c r="S51" s="780">
        <v>56.829999651428572</v>
      </c>
      <c r="T51" s="780">
        <v>37.994142805714283</v>
      </c>
      <c r="U51" s="780">
        <v>8.188285623714286</v>
      </c>
      <c r="V51" s="780">
        <v>13.367501529999998</v>
      </c>
      <c r="W51" s="780">
        <v>1.0268571504285715</v>
      </c>
      <c r="X51" s="780">
        <v>63.644285474285716</v>
      </c>
      <c r="Y51" s="780">
        <v>13.102857045714286</v>
      </c>
    </row>
    <row r="52" spans="1:25">
      <c r="A52" s="136"/>
      <c r="B52" s="138"/>
      <c r="C52" s="138"/>
      <c r="D52" s="138"/>
      <c r="E52" s="138"/>
      <c r="F52" s="138"/>
      <c r="G52" s="138"/>
      <c r="H52" s="138"/>
      <c r="I52" s="138"/>
      <c r="N52" s="781"/>
      <c r="O52" s="781"/>
      <c r="P52" s="783">
        <v>49</v>
      </c>
      <c r="Q52" s="780">
        <v>17.68042864142857</v>
      </c>
      <c r="R52" s="780">
        <v>12.998142924285714</v>
      </c>
      <c r="S52" s="780">
        <v>90.966000160000007</v>
      </c>
      <c r="T52" s="780">
        <v>88.630856108571422</v>
      </c>
      <c r="U52" s="780">
        <v>14.530285971857142</v>
      </c>
      <c r="V52" s="780">
        <v>13.053452899999998</v>
      </c>
      <c r="W52" s="780">
        <v>1.0737142817142857</v>
      </c>
      <c r="X52" s="780">
        <v>90.734285625714293</v>
      </c>
      <c r="Y52" s="780">
        <v>17.667142595714285</v>
      </c>
    </row>
    <row r="53" spans="1:25">
      <c r="A53" s="136"/>
      <c r="B53" s="138"/>
      <c r="C53" s="138"/>
      <c r="D53" s="138"/>
      <c r="E53" s="138"/>
      <c r="F53" s="138"/>
      <c r="G53" s="138"/>
      <c r="H53" s="138"/>
      <c r="I53" s="138"/>
      <c r="N53" s="781"/>
      <c r="O53" s="781"/>
      <c r="P53" s="783">
        <v>50</v>
      </c>
      <c r="Q53" s="780">
        <v>12.617142812857141</v>
      </c>
      <c r="R53" s="780">
        <v>11.908142771714285</v>
      </c>
      <c r="S53" s="780">
        <v>83.198000225714296</v>
      </c>
      <c r="T53" s="780">
        <v>44.297571454285716</v>
      </c>
      <c r="U53" s="780">
        <v>9.220428467142856</v>
      </c>
      <c r="V53" s="780">
        <v>13.068511554285712</v>
      </c>
      <c r="W53" s="780">
        <v>1.2921428212857144</v>
      </c>
      <c r="X53" s="780">
        <v>57.20714296714285</v>
      </c>
      <c r="Y53" s="780">
        <v>14.238999775714285</v>
      </c>
    </row>
    <row r="54" spans="1:25">
      <c r="A54" s="136"/>
      <c r="B54" s="138"/>
      <c r="C54" s="138"/>
      <c r="D54" s="138"/>
      <c r="E54" s="138"/>
      <c r="F54" s="138"/>
      <c r="G54" s="138"/>
      <c r="H54" s="138"/>
      <c r="I54" s="138"/>
      <c r="N54" s="781"/>
      <c r="O54" s="781"/>
      <c r="P54" s="783">
        <v>51</v>
      </c>
      <c r="Q54" s="780">
        <v>19.502285685714288</v>
      </c>
      <c r="R54" s="780">
        <v>17.91042859142857</v>
      </c>
      <c r="S54" s="780">
        <v>93.582571842857163</v>
      </c>
      <c r="T54" s="780">
        <v>77.60742949714286</v>
      </c>
      <c r="U54" s="780">
        <v>9.7118571817142847</v>
      </c>
      <c r="V54" s="780">
        <v>12.987917082857143</v>
      </c>
      <c r="W54" s="780">
        <v>1.2780000142857142</v>
      </c>
      <c r="X54" s="780">
        <v>76.025713785714288</v>
      </c>
      <c r="Y54" s="780">
        <v>17.224714688571428</v>
      </c>
    </row>
    <row r="55" spans="1:25">
      <c r="A55" s="136"/>
      <c r="B55" s="138"/>
      <c r="C55" s="138"/>
      <c r="D55" s="138"/>
      <c r="E55" s="138"/>
      <c r="F55" s="138"/>
      <c r="G55" s="138"/>
      <c r="H55" s="138"/>
      <c r="I55" s="138"/>
      <c r="N55" s="781"/>
      <c r="O55" s="781">
        <v>52</v>
      </c>
      <c r="P55" s="783">
        <v>52</v>
      </c>
      <c r="Q55" s="780">
        <v>24.478714262857146</v>
      </c>
      <c r="R55" s="780">
        <v>20.052142824285713</v>
      </c>
      <c r="S55" s="780">
        <v>198.89756992857141</v>
      </c>
      <c r="T55" s="780">
        <v>158.34513965714288</v>
      </c>
      <c r="U55" s="780">
        <v>34.910285677142852</v>
      </c>
      <c r="V55" s="780">
        <v>18.967856814285714</v>
      </c>
      <c r="W55" s="780">
        <v>7.1757142371428566</v>
      </c>
      <c r="X55" s="780">
        <v>180.25785610000003</v>
      </c>
      <c r="Y55" s="780">
        <v>54.019857132857133</v>
      </c>
    </row>
    <row r="56" spans="1:25">
      <c r="A56" s="136"/>
      <c r="B56" s="138"/>
      <c r="C56" s="138"/>
      <c r="D56" s="138"/>
      <c r="E56" s="138"/>
      <c r="F56" s="138"/>
      <c r="G56" s="138"/>
      <c r="H56" s="138"/>
      <c r="I56" s="138"/>
      <c r="N56" s="781">
        <v>2021</v>
      </c>
      <c r="O56" s="781"/>
      <c r="P56" s="783">
        <v>1</v>
      </c>
      <c r="Q56" s="780">
        <v>32.471142904285713</v>
      </c>
      <c r="R56" s="780">
        <v>23.040428705714284</v>
      </c>
      <c r="S56" s="780">
        <v>363.19999692857135</v>
      </c>
      <c r="T56" s="780">
        <v>212.58328465714288</v>
      </c>
      <c r="U56" s="780">
        <v>44.205428261428565</v>
      </c>
      <c r="V56" s="780">
        <v>22.357858387142851</v>
      </c>
      <c r="W56" s="780">
        <v>6.7241427552857145</v>
      </c>
      <c r="X56" s="780">
        <v>233.42357307142856</v>
      </c>
      <c r="Y56" s="780">
        <v>70.259001594285721</v>
      </c>
    </row>
    <row r="57" spans="1:25">
      <c r="A57" s="136"/>
      <c r="B57" s="138"/>
      <c r="C57" s="138"/>
      <c r="D57" s="138"/>
      <c r="E57" s="138"/>
      <c r="F57" s="138"/>
      <c r="G57" s="138"/>
      <c r="H57" s="138"/>
      <c r="I57" s="138"/>
      <c r="N57" s="781"/>
      <c r="O57" s="781"/>
      <c r="P57" s="783">
        <v>2</v>
      </c>
      <c r="Q57" s="780">
        <v>29.357571737142859</v>
      </c>
      <c r="R57" s="780">
        <v>22.506999971428574</v>
      </c>
      <c r="S57" s="780">
        <v>323.79400198571426</v>
      </c>
      <c r="T57" s="780">
        <v>154.41086031428571</v>
      </c>
      <c r="U57" s="780">
        <v>27.91428565857143</v>
      </c>
      <c r="V57" s="780">
        <v>16.044107027142857</v>
      </c>
      <c r="W57" s="780">
        <v>3.2384286270000002</v>
      </c>
      <c r="X57" s="780">
        <v>199.51214380000002</v>
      </c>
      <c r="Y57" s="780">
        <v>58.126999447142857</v>
      </c>
    </row>
    <row r="58" spans="1:25">
      <c r="A58" s="136"/>
      <c r="B58" s="138"/>
      <c r="C58" s="138"/>
      <c r="D58" s="138"/>
      <c r="E58" s="138"/>
      <c r="F58" s="138"/>
      <c r="G58" s="138"/>
      <c r="H58" s="138"/>
      <c r="I58" s="138"/>
      <c r="N58" s="781"/>
      <c r="O58" s="781"/>
      <c r="P58" s="783">
        <v>3</v>
      </c>
      <c r="Q58" s="780">
        <v>27.718428745714288</v>
      </c>
      <c r="R58" s="780">
        <v>21.345142638571424</v>
      </c>
      <c r="S58" s="780">
        <v>401.6544320142857</v>
      </c>
      <c r="T58" s="780">
        <v>185.14285714285714</v>
      </c>
      <c r="U58" s="780">
        <v>39.37385668142857</v>
      </c>
      <c r="V58" s="780">
        <v>18.835116929999998</v>
      </c>
      <c r="W58" s="780">
        <v>6.560571466571429</v>
      </c>
      <c r="X58" s="780">
        <v>380.69428361428572</v>
      </c>
      <c r="Y58" s="780">
        <v>74.927428108571434</v>
      </c>
    </row>
    <row r="59" spans="1:25">
      <c r="A59" s="136"/>
      <c r="B59" s="138"/>
      <c r="C59" s="138"/>
      <c r="D59" s="138"/>
      <c r="E59" s="138"/>
      <c r="F59" s="138"/>
      <c r="G59" s="138"/>
      <c r="H59" s="138"/>
      <c r="I59" s="138"/>
      <c r="N59" s="781"/>
      <c r="O59" s="781"/>
      <c r="P59" s="783">
        <v>4</v>
      </c>
      <c r="Q59" s="780">
        <v>30.739285877142859</v>
      </c>
      <c r="R59" s="780">
        <v>24.126143047142854</v>
      </c>
      <c r="S59" s="780">
        <v>367.00971765714274</v>
      </c>
      <c r="T59" s="780">
        <v>156.14856614285716</v>
      </c>
      <c r="U59" s="780">
        <v>23.497714179999999</v>
      </c>
      <c r="V59" s="780">
        <v>16.004641395714284</v>
      </c>
      <c r="W59" s="780">
        <v>5.1067142825714296</v>
      </c>
      <c r="X59" s="780">
        <v>322.4650006857143</v>
      </c>
      <c r="Y59" s="780">
        <v>68.394571574285706</v>
      </c>
    </row>
    <row r="60" spans="1:25">
      <c r="A60" s="136"/>
      <c r="B60" s="138"/>
      <c r="C60" s="138"/>
      <c r="D60" s="138"/>
      <c r="E60" s="138"/>
      <c r="F60" s="138"/>
      <c r="G60" s="138"/>
      <c r="H60" s="138"/>
      <c r="I60" s="138"/>
      <c r="N60" s="781"/>
      <c r="O60" s="781"/>
      <c r="P60" s="783">
        <v>5</v>
      </c>
      <c r="Q60" s="780">
        <v>25.584571565714288</v>
      </c>
      <c r="R60" s="780">
        <v>22.874571391428567</v>
      </c>
      <c r="S60" s="780">
        <v>260.95085362857145</v>
      </c>
      <c r="T60" s="780">
        <v>108.66671425714286</v>
      </c>
      <c r="U60" s="780">
        <v>21.321428571428573</v>
      </c>
      <c r="V60" s="780">
        <v>16.024463924285715</v>
      </c>
      <c r="W60" s="780">
        <v>3.1654285022857147</v>
      </c>
      <c r="X60" s="780">
        <v>203.94785854285715</v>
      </c>
      <c r="Y60" s="780">
        <v>56.864572254285704</v>
      </c>
    </row>
    <row r="61" spans="1:25">
      <c r="A61" s="136"/>
      <c r="B61" s="138"/>
      <c r="C61" s="138"/>
      <c r="D61" s="138"/>
      <c r="E61" s="138"/>
      <c r="F61" s="138"/>
      <c r="G61" s="138"/>
      <c r="H61" s="138"/>
      <c r="I61" s="138"/>
      <c r="N61" s="781"/>
      <c r="O61" s="781"/>
      <c r="P61" s="783">
        <v>6</v>
      </c>
      <c r="Q61" s="780">
        <v>18.677976190476191</v>
      </c>
      <c r="R61" s="780">
        <v>19.115142824285716</v>
      </c>
      <c r="S61" s="780">
        <v>266.1391427142857</v>
      </c>
      <c r="T61" s="780">
        <v>132.98228671428572</v>
      </c>
      <c r="U61" s="780">
        <v>30.396999359999999</v>
      </c>
      <c r="V61" s="780">
        <v>15.963094302857142</v>
      </c>
      <c r="W61" s="780">
        <v>5.8411428927142861</v>
      </c>
      <c r="X61" s="780">
        <v>317.90785435714287</v>
      </c>
      <c r="Y61" s="780">
        <v>60.405000412857149</v>
      </c>
    </row>
    <row r="62" spans="1:25" ht="19.2" customHeight="1">
      <c r="A62" s="136"/>
      <c r="B62" s="138"/>
      <c r="C62" s="138"/>
      <c r="D62" s="138"/>
      <c r="E62" s="138"/>
      <c r="F62" s="138"/>
      <c r="G62" s="138"/>
      <c r="H62" s="138"/>
      <c r="I62" s="138"/>
      <c r="N62" s="781"/>
      <c r="O62" s="781"/>
      <c r="P62" s="783">
        <v>7</v>
      </c>
      <c r="Q62" s="780">
        <v>18.677976190476191</v>
      </c>
      <c r="R62" s="780">
        <v>18.677976190476191</v>
      </c>
      <c r="S62" s="780">
        <v>231.286666666667</v>
      </c>
      <c r="T62" s="780">
        <v>91.321428571428569</v>
      </c>
      <c r="U62" s="780">
        <v>18.5625</v>
      </c>
      <c r="V62" s="780">
        <v>14.07</v>
      </c>
      <c r="W62" s="780">
        <v>3.3580000000000001</v>
      </c>
      <c r="X62" s="780">
        <v>339.78</v>
      </c>
      <c r="Y62" s="780">
        <v>76.87</v>
      </c>
    </row>
    <row r="63" spans="1:25">
      <c r="A63" s="136"/>
      <c r="B63" s="138"/>
      <c r="C63" s="138"/>
      <c r="D63" s="138"/>
      <c r="E63" s="138"/>
      <c r="F63" s="138"/>
      <c r="G63" s="138"/>
      <c r="H63" s="138"/>
      <c r="I63" s="138"/>
      <c r="N63" s="781"/>
      <c r="O63" s="781"/>
      <c r="P63" s="783">
        <v>8</v>
      </c>
      <c r="Q63" s="780">
        <v>15.895833333333314</v>
      </c>
      <c r="R63" s="780">
        <v>8.1069999999999993</v>
      </c>
      <c r="S63" s="780">
        <v>131.62660714285707</v>
      </c>
      <c r="T63" s="780">
        <v>104.375</v>
      </c>
      <c r="U63" s="780">
        <v>21.619</v>
      </c>
      <c r="V63" s="780">
        <v>13.162619047619055</v>
      </c>
      <c r="W63" s="780">
        <v>2.181</v>
      </c>
      <c r="X63" s="780">
        <v>264.85700000000003</v>
      </c>
      <c r="Y63" s="780">
        <v>119.958</v>
      </c>
    </row>
    <row r="64" spans="1:25" ht="6" customHeight="1">
      <c r="A64" s="136"/>
      <c r="B64" s="138"/>
      <c r="C64" s="138"/>
      <c r="D64" s="138"/>
      <c r="E64" s="138"/>
      <c r="F64" s="138"/>
      <c r="G64" s="138"/>
      <c r="H64" s="138"/>
      <c r="I64" s="138"/>
      <c r="N64" s="781"/>
      <c r="O64" s="781"/>
      <c r="P64" s="783">
        <v>9</v>
      </c>
      <c r="Q64" s="780">
        <v>16.03157152448377</v>
      </c>
      <c r="R64" s="780">
        <v>10.70885712759833</v>
      </c>
      <c r="S64" s="780">
        <v>115.81614358084498</v>
      </c>
      <c r="T64" s="780">
        <v>81.571428571428527</v>
      </c>
      <c r="U64" s="780">
        <v>19.778999873570012</v>
      </c>
      <c r="V64" s="780">
        <v>11.839642660958372</v>
      </c>
      <c r="W64" s="780">
        <v>2.5798570939472714</v>
      </c>
      <c r="X64" s="780">
        <v>195.40928431919602</v>
      </c>
      <c r="Y64" s="780">
        <v>71.76285661969861</v>
      </c>
    </row>
    <row r="65" spans="1:25" ht="24.75" customHeight="1">
      <c r="A65" s="883" t="s">
        <v>605</v>
      </c>
      <c r="B65" s="883"/>
      <c r="C65" s="883"/>
      <c r="D65" s="883"/>
      <c r="E65" s="883"/>
      <c r="F65" s="883"/>
      <c r="G65" s="883"/>
      <c r="H65" s="883"/>
      <c r="I65" s="883"/>
      <c r="J65" s="883"/>
      <c r="K65" s="883"/>
      <c r="L65" s="883"/>
      <c r="N65" s="781"/>
      <c r="O65" s="781"/>
      <c r="P65" s="783">
        <v>10</v>
      </c>
      <c r="Q65" s="780">
        <v>28.276142392857142</v>
      </c>
      <c r="R65" s="780">
        <v>21.731714248571429</v>
      </c>
      <c r="S65" s="780">
        <v>254.39099884285716</v>
      </c>
      <c r="T65" s="780">
        <v>146.17256928571427</v>
      </c>
      <c r="U65" s="780">
        <v>29.352285658571429</v>
      </c>
      <c r="V65" s="780">
        <v>10.568511418142858</v>
      </c>
      <c r="W65" s="780">
        <v>2.1962857415714288</v>
      </c>
      <c r="X65" s="780">
        <v>212.2000013</v>
      </c>
      <c r="Y65" s="780">
        <v>56.04871422714286</v>
      </c>
    </row>
    <row r="66" spans="1:25" ht="20.25" customHeight="1">
      <c r="N66" s="781"/>
      <c r="O66" s="781"/>
      <c r="P66" s="783">
        <v>11</v>
      </c>
      <c r="Q66" s="780">
        <v>28.634571619999999</v>
      </c>
      <c r="R66" s="780">
        <v>21.524857657142856</v>
      </c>
      <c r="S66" s="780">
        <v>320.82542418571427</v>
      </c>
      <c r="T66" s="780">
        <v>138.12514602857144</v>
      </c>
      <c r="U66" s="780">
        <v>28.100000654285715</v>
      </c>
      <c r="V66" s="780">
        <v>11.367022922857142</v>
      </c>
      <c r="W66" s="780">
        <v>2.7152857098571426</v>
      </c>
      <c r="X66" s="780">
        <v>229.93857247142856</v>
      </c>
      <c r="Y66" s="780">
        <v>63.309571402857145</v>
      </c>
    </row>
    <row r="67" spans="1:25">
      <c r="N67" s="781"/>
      <c r="O67" s="781"/>
      <c r="P67" s="783">
        <v>12</v>
      </c>
      <c r="Q67" s="780">
        <v>28.223285404285715</v>
      </c>
      <c r="R67" s="780">
        <v>22.087285995714286</v>
      </c>
      <c r="S67" s="780">
        <v>295.67700197142852</v>
      </c>
      <c r="T67" s="780">
        <v>176.22028785714286</v>
      </c>
      <c r="U67" s="780">
        <v>43.393999101428577</v>
      </c>
      <c r="V67" s="780">
        <v>14.060239925714285</v>
      </c>
      <c r="W67" s="780">
        <v>3.625</v>
      </c>
      <c r="X67" s="780">
        <v>287.37429152857146</v>
      </c>
      <c r="Y67" s="780">
        <v>68.27</v>
      </c>
    </row>
    <row r="68" spans="1:25">
      <c r="N68" s="781"/>
      <c r="O68" s="781">
        <v>13</v>
      </c>
      <c r="P68" s="783">
        <v>13</v>
      </c>
      <c r="Q68" s="780">
        <v>27.516571317142855</v>
      </c>
      <c r="R68" s="780">
        <v>23.321285792857143</v>
      </c>
      <c r="S68" s="780">
        <v>358.4028538428571</v>
      </c>
      <c r="T68" s="780">
        <v>161.61914497142857</v>
      </c>
      <c r="U68" s="780">
        <v>39.082286288571431</v>
      </c>
      <c r="V68" s="780">
        <v>20.107797215142853</v>
      </c>
      <c r="W68" s="780">
        <v>4.0744285582857147</v>
      </c>
      <c r="X68" s="780">
        <v>292.37857055714284</v>
      </c>
      <c r="Y68" s="780">
        <v>61.654713765714291</v>
      </c>
    </row>
    <row r="69" spans="1:25">
      <c r="N69" s="781"/>
      <c r="O69" s="781"/>
      <c r="P69" s="783">
        <v>14</v>
      </c>
      <c r="Q69" s="780">
        <v>29.126714707142856</v>
      </c>
      <c r="R69" s="780">
        <v>26.810000011428574</v>
      </c>
      <c r="S69" s="780">
        <v>415.37771607142855</v>
      </c>
      <c r="T69" s="780">
        <v>180.97614180000002</v>
      </c>
      <c r="U69" s="780">
        <v>40.325571332857145</v>
      </c>
      <c r="V69" s="780">
        <v>23.453333172857139</v>
      </c>
      <c r="W69" s="780">
        <v>2.8194285800000003</v>
      </c>
      <c r="X69" s="780">
        <v>281.81714740000001</v>
      </c>
      <c r="Y69" s="780">
        <v>68.710573468571425</v>
      </c>
    </row>
    <row r="70" spans="1:25">
      <c r="N70" s="781"/>
      <c r="O70" s="781"/>
      <c r="P70" s="783">
        <v>15</v>
      </c>
      <c r="Q70" s="780">
        <v>28.420428685714288</v>
      </c>
      <c r="R70" s="780">
        <v>22.159857068571426</v>
      </c>
      <c r="S70" s="780">
        <v>388.02957154285713</v>
      </c>
      <c r="T70" s="780">
        <v>187.79186137142855</v>
      </c>
      <c r="U70" s="780">
        <v>52.19757080285715</v>
      </c>
      <c r="V70" s="780">
        <v>23.194762912857147</v>
      </c>
      <c r="W70" s="780">
        <v>2.7518571105714291</v>
      </c>
      <c r="X70" s="780">
        <v>319.64357211428575</v>
      </c>
      <c r="Y70" s="780">
        <v>74.239000592857138</v>
      </c>
    </row>
    <row r="71" spans="1:25">
      <c r="N71" s="781"/>
      <c r="O71" s="781"/>
      <c r="P71" s="783">
        <v>16</v>
      </c>
      <c r="Q71" s="780">
        <v>21.880999702857146</v>
      </c>
      <c r="R71" s="780">
        <v>20.447000231428571</v>
      </c>
      <c r="S71" s="780">
        <v>189.56900242857142</v>
      </c>
      <c r="T71" s="780">
        <v>107.50585611428572</v>
      </c>
      <c r="U71" s="780">
        <v>28.65042877285714</v>
      </c>
      <c r="V71" s="780">
        <v>18.780238424285709</v>
      </c>
      <c r="W71" s="780">
        <v>1.8839999778571432</v>
      </c>
      <c r="X71" s="780">
        <v>174.665717</v>
      </c>
      <c r="Y71" s="780">
        <v>39.415857042857148</v>
      </c>
    </row>
    <row r="72" spans="1:25">
      <c r="N72" s="781"/>
      <c r="O72" s="781"/>
      <c r="P72" s="783">
        <v>17</v>
      </c>
      <c r="Q72" s="780">
        <v>18.000999994285714</v>
      </c>
      <c r="R72" s="780">
        <v>14.095428602857144</v>
      </c>
      <c r="S72" s="780">
        <v>140.97214290000002</v>
      </c>
      <c r="T72" s="780">
        <v>90.738142825714277</v>
      </c>
      <c r="U72" s="780">
        <v>20.563142504285715</v>
      </c>
      <c r="V72" s="780">
        <v>13.920417241428572</v>
      </c>
      <c r="W72" s="780">
        <v>1.7985714162857143</v>
      </c>
      <c r="X72" s="780">
        <v>112.05499922142857</v>
      </c>
      <c r="Y72" s="780">
        <v>25.886856898571434</v>
      </c>
    </row>
    <row r="73" spans="1:25">
      <c r="N73" s="781"/>
      <c r="O73" s="781"/>
      <c r="P73" s="783">
        <v>18</v>
      </c>
      <c r="Q73" s="780">
        <v>16.076714378571427</v>
      </c>
      <c r="R73" s="780">
        <v>12.509142604285715</v>
      </c>
      <c r="S73" s="780">
        <v>114.69700078571428</v>
      </c>
      <c r="T73" s="780">
        <v>67.130999974285714</v>
      </c>
      <c r="U73" s="780">
        <v>16.68214280285714</v>
      </c>
      <c r="V73" s="780">
        <v>10.773084301857143</v>
      </c>
      <c r="W73" s="780">
        <v>1.8058571475714285</v>
      </c>
      <c r="X73" s="780">
        <v>79.242856705714289</v>
      </c>
      <c r="Y73" s="780">
        <v>19.646428789999998</v>
      </c>
    </row>
    <row r="74" spans="1:25">
      <c r="N74" s="781"/>
      <c r="O74" s="781"/>
      <c r="P74" s="783">
        <v>19</v>
      </c>
      <c r="Q74" s="780">
        <v>15.213571411428573</v>
      </c>
      <c r="R74" s="780">
        <v>8.5715713499999993</v>
      </c>
      <c r="S74" s="780">
        <v>99.656284881428547</v>
      </c>
      <c r="T74" s="780">
        <v>64.428571428571431</v>
      </c>
      <c r="U74" s="780">
        <v>17.039285524285713</v>
      </c>
      <c r="V74" s="780">
        <v>11.989167077142856</v>
      </c>
      <c r="W74" s="780">
        <v>1.8551428488571429</v>
      </c>
      <c r="X74" s="780">
        <v>73.040000915714288</v>
      </c>
      <c r="Y74" s="780">
        <v>16.286999974285717</v>
      </c>
    </row>
    <row r="75" spans="1:25">
      <c r="N75" s="781"/>
      <c r="O75" s="781"/>
      <c r="P75" s="783">
        <v>20</v>
      </c>
      <c r="Q75" s="780">
        <v>14.241714205714286</v>
      </c>
      <c r="R75" s="780">
        <v>7.0702857972857149</v>
      </c>
      <c r="S75" s="780">
        <v>88.480572290000026</v>
      </c>
      <c r="T75" s="780">
        <v>61.482142857142854</v>
      </c>
      <c r="U75" s="780">
        <v>13.813714164285713</v>
      </c>
      <c r="V75" s="780">
        <v>12.071368352857144</v>
      </c>
      <c r="W75" s="780">
        <v>1.7121428761428572</v>
      </c>
      <c r="X75" s="780">
        <v>68.874286108571425</v>
      </c>
      <c r="Y75" s="780">
        <v>14.018428667142857</v>
      </c>
    </row>
    <row r="76" spans="1:25">
      <c r="N76" s="781"/>
      <c r="O76" s="781"/>
      <c r="P76" s="783">
        <v>21</v>
      </c>
      <c r="Q76" s="780">
        <v>14.091571398571428</v>
      </c>
      <c r="R76" s="780">
        <v>7.0830000470000005</v>
      </c>
      <c r="S76" s="780">
        <v>98.34657178714285</v>
      </c>
      <c r="T76" s="780">
        <v>63.72614288285714</v>
      </c>
      <c r="U76" s="780">
        <v>14.927285738571429</v>
      </c>
      <c r="V76" s="780">
        <v>12.066725457142857</v>
      </c>
      <c r="W76" s="780">
        <v>1.9470000094285715</v>
      </c>
      <c r="X76" s="780">
        <v>68.332856858571418</v>
      </c>
      <c r="Y76" s="780">
        <v>14.466285705714286</v>
      </c>
    </row>
    <row r="77" spans="1:25">
      <c r="N77" s="781"/>
      <c r="O77" s="781"/>
      <c r="P77" s="783">
        <v>22</v>
      </c>
      <c r="Q77" s="780">
        <v>12.206428662857144</v>
      </c>
      <c r="R77" s="780">
        <v>6.5260000228571426</v>
      </c>
      <c r="S77" s="780">
        <v>88.19400133428573</v>
      </c>
      <c r="T77" s="780">
        <v>49.041857040000004</v>
      </c>
      <c r="U77" s="780">
        <v>12.11642851</v>
      </c>
      <c r="V77" s="780">
        <v>12.046847342857143</v>
      </c>
      <c r="W77" s="780">
        <v>1.9281428372857143</v>
      </c>
      <c r="X77" s="780">
        <v>60.234999522857144</v>
      </c>
      <c r="Y77" s="780">
        <v>11.637142864285716</v>
      </c>
    </row>
    <row r="78" spans="1:25">
      <c r="N78" s="781"/>
      <c r="O78" s="781"/>
      <c r="P78" s="783">
        <v>23</v>
      </c>
      <c r="Q78" s="780">
        <v>10.714285714285714</v>
      </c>
      <c r="R78" s="780">
        <v>6.0984286581428568</v>
      </c>
      <c r="S78" s="780">
        <v>67.392570495714281</v>
      </c>
      <c r="T78" s="780">
        <v>49.232000077142857</v>
      </c>
      <c r="U78" s="780">
        <v>10.973142897142859</v>
      </c>
      <c r="V78" s="780">
        <v>12.030653000000001</v>
      </c>
      <c r="W78" s="780">
        <v>1.8262857195714286</v>
      </c>
      <c r="X78" s="780">
        <v>55.279285977142862</v>
      </c>
      <c r="Y78" s="780">
        <v>10.373285701857142</v>
      </c>
    </row>
    <row r="79" spans="1:25">
      <c r="N79" s="781"/>
      <c r="O79" s="781"/>
      <c r="P79" s="783">
        <v>24</v>
      </c>
      <c r="Q79" s="780">
        <v>10.648285731428571</v>
      </c>
      <c r="R79" s="780">
        <v>5.3554284574285722</v>
      </c>
      <c r="S79" s="780">
        <v>74.302856445714283</v>
      </c>
      <c r="T79" s="780">
        <v>54.952285765714286</v>
      </c>
      <c r="U79" s="780">
        <v>10.649856976285715</v>
      </c>
      <c r="V79" s="780">
        <v>11.902322768571427</v>
      </c>
      <c r="W79" s="780">
        <v>1.3272857154285713</v>
      </c>
      <c r="X79" s="780">
        <v>49.072856904285722</v>
      </c>
      <c r="Y79" s="780">
        <v>9.3365716934285707</v>
      </c>
    </row>
    <row r="80" spans="1:25">
      <c r="N80" s="781"/>
      <c r="O80" s="781"/>
      <c r="P80" s="783">
        <v>25</v>
      </c>
      <c r="Q80" s="780">
        <v>10.931000164428569</v>
      </c>
      <c r="R80" s="780">
        <v>6.0032857149999996</v>
      </c>
      <c r="S80" s="780">
        <v>70.370715551428574</v>
      </c>
      <c r="T80" s="780">
        <v>39.565571377142859</v>
      </c>
      <c r="U80" s="780">
        <v>8.8067141942857141</v>
      </c>
      <c r="V80" s="780">
        <v>11.966488567142857</v>
      </c>
      <c r="W80" s="780">
        <v>1.2890000087142857</v>
      </c>
      <c r="X80" s="780">
        <v>43.960000174285717</v>
      </c>
      <c r="Y80" s="780">
        <v>8.5024284634285721</v>
      </c>
    </row>
    <row r="81" spans="14:25">
      <c r="N81" s="781"/>
      <c r="O81" s="781">
        <v>26</v>
      </c>
      <c r="P81" s="783">
        <v>26</v>
      </c>
      <c r="Q81" s="780">
        <v>9.871286118714286</v>
      </c>
      <c r="R81" s="780">
        <v>4.9715714455714286</v>
      </c>
      <c r="S81" s="780">
        <v>60.400571005714291</v>
      </c>
      <c r="T81" s="780">
        <v>43.083285740000001</v>
      </c>
      <c r="U81" s="780">
        <v>8.6310001098571423</v>
      </c>
      <c r="V81" s="780">
        <v>11.885477065714285</v>
      </c>
      <c r="W81" s="780">
        <v>1.732857125</v>
      </c>
      <c r="X81" s="780">
        <v>41.416428701428572</v>
      </c>
      <c r="Y81" s="780">
        <v>7.8322857448571428</v>
      </c>
    </row>
    <row r="82" spans="14:25">
      <c r="N82" s="781"/>
      <c r="O82" s="781"/>
      <c r="P82" s="783">
        <v>27</v>
      </c>
      <c r="Q82" s="780">
        <v>9.2658571514285715</v>
      </c>
      <c r="R82" s="780">
        <v>4.8162857462857147</v>
      </c>
      <c r="S82" s="780">
        <v>66.665999275714285</v>
      </c>
      <c r="T82" s="780">
        <v>33.029857091428575</v>
      </c>
      <c r="U82" s="780">
        <v>7.6702857698571432</v>
      </c>
      <c r="V82" s="780">
        <v>11.995894294285714</v>
      </c>
      <c r="W82" s="780">
        <v>1.8799999952857143</v>
      </c>
      <c r="X82" s="780">
        <v>38.669285909999992</v>
      </c>
      <c r="Y82" s="780">
        <v>7.0652857510000002</v>
      </c>
    </row>
    <row r="83" spans="14:25">
      <c r="N83" s="781"/>
      <c r="O83" s="781"/>
      <c r="P83" s="783">
        <v>28</v>
      </c>
      <c r="Q83" s="780">
        <v>8.3581429888571428</v>
      </c>
      <c r="R83" s="780">
        <v>4.1457142830000002</v>
      </c>
      <c r="S83" s="780">
        <v>66.009428840000012</v>
      </c>
      <c r="T83" s="780">
        <v>29.922571454285713</v>
      </c>
      <c r="U83" s="780">
        <v>6.9708570752857142</v>
      </c>
      <c r="V83" s="780">
        <v>11.927797181428572</v>
      </c>
      <c r="W83" s="780">
        <v>1.8718571149999998</v>
      </c>
      <c r="X83" s="780">
        <v>36.412143161428574</v>
      </c>
      <c r="Y83" s="780">
        <v>6.2407143457142853</v>
      </c>
    </row>
    <row r="84" spans="14:25">
      <c r="N84" s="781"/>
      <c r="O84" s="781"/>
      <c r="P84" s="783">
        <v>29</v>
      </c>
      <c r="Q84" s="780">
        <v>8.2642856324285709</v>
      </c>
      <c r="R84" s="780">
        <v>4.2404285498571426</v>
      </c>
      <c r="S84" s="780">
        <v>61.976286207142856</v>
      </c>
      <c r="T84" s="780">
        <v>30.851285662857144</v>
      </c>
      <c r="U84" s="780">
        <v>7.1941427504285702</v>
      </c>
      <c r="V84" s="780">
        <v>12.045535904285714</v>
      </c>
      <c r="W84" s="780">
        <v>1.7868571450000001</v>
      </c>
      <c r="X84" s="780">
        <v>36.787142614285713</v>
      </c>
      <c r="Y84" s="780">
        <v>6.221285752</v>
      </c>
    </row>
    <row r="85" spans="14:25">
      <c r="N85" s="781"/>
      <c r="O85" s="781"/>
      <c r="P85" s="783">
        <v>30</v>
      </c>
      <c r="Q85" s="780">
        <v>7.629714148142857</v>
      </c>
      <c r="R85" s="780">
        <v>3.9339999471428575</v>
      </c>
      <c r="S85" s="780">
        <v>56.385429927142859</v>
      </c>
      <c r="T85" s="780">
        <v>26.327428545714287</v>
      </c>
      <c r="U85" s="780">
        <v>6.6857143130000001</v>
      </c>
      <c r="V85" s="780">
        <v>11.927261488571427</v>
      </c>
      <c r="W85" s="780">
        <v>1.8862856968571431</v>
      </c>
      <c r="X85" s="780">
        <v>39.564285824285712</v>
      </c>
      <c r="Y85" s="780">
        <v>5.7022857667142848</v>
      </c>
    </row>
    <row r="86" spans="14:25">
      <c r="N86" s="781"/>
      <c r="O86" s="781"/>
      <c r="P86" s="783">
        <v>31</v>
      </c>
      <c r="Q86" s="780">
        <v>7.8445713860000001</v>
      </c>
      <c r="R86" s="780">
        <v>4.2642856665714284</v>
      </c>
      <c r="S86" s="780">
        <v>63.196000779999999</v>
      </c>
      <c r="T86" s="780">
        <v>30.940428597142859</v>
      </c>
      <c r="U86" s="780">
        <v>7.3144286019999996</v>
      </c>
      <c r="V86" s="780">
        <v>13.712319918571428</v>
      </c>
      <c r="W86" s="780">
        <v>1.8420000075714285</v>
      </c>
      <c r="X86" s="780">
        <v>41.400714874285711</v>
      </c>
      <c r="Y86" s="780">
        <v>7.1649999617142859</v>
      </c>
    </row>
    <row r="87" spans="14:25">
      <c r="N87" s="781"/>
      <c r="O87" s="781"/>
      <c r="P87" s="783">
        <v>32</v>
      </c>
      <c r="Q87" s="780">
        <v>7.8535714147142865</v>
      </c>
      <c r="R87" s="780">
        <v>4.0602857387142857</v>
      </c>
      <c r="S87" s="780">
        <v>61.839428492857145</v>
      </c>
      <c r="T87" s="780">
        <v>23.267714362857141</v>
      </c>
      <c r="U87" s="780">
        <v>6.1658571107142865</v>
      </c>
      <c r="V87" s="780">
        <v>13.989404405714286</v>
      </c>
      <c r="W87" s="780">
        <v>1.8741428512857143</v>
      </c>
      <c r="X87" s="780">
        <v>39.942857471428567</v>
      </c>
      <c r="Y87" s="780">
        <v>7.2785714695714301</v>
      </c>
    </row>
    <row r="88" spans="14:25">
      <c r="N88" s="781"/>
      <c r="O88" s="781">
        <v>33</v>
      </c>
      <c r="P88" s="783">
        <v>33</v>
      </c>
      <c r="Q88" s="780">
        <v>7.8434285441428573</v>
      </c>
      <c r="R88" s="780">
        <v>3.7991428715714286</v>
      </c>
      <c r="S88" s="780">
        <v>59.987286159999996</v>
      </c>
      <c r="T88" s="780">
        <v>22.755999974285714</v>
      </c>
      <c r="U88" s="780">
        <v>5.9981428554285712</v>
      </c>
      <c r="V88" s="780">
        <v>13.973928587142856</v>
      </c>
      <c r="W88" s="780">
        <v>1.871857132285714</v>
      </c>
      <c r="X88" s="780">
        <v>37.965715135714291</v>
      </c>
      <c r="Y88" s="780">
        <v>5.154142958714286</v>
      </c>
    </row>
    <row r="89" spans="14:25">
      <c r="N89" s="781"/>
      <c r="O89" s="781"/>
      <c r="P89" s="783">
        <v>34</v>
      </c>
      <c r="Q89" s="780">
        <v>8.0232857294285722</v>
      </c>
      <c r="R89" s="780">
        <v>3.6017142020000001</v>
      </c>
      <c r="S89" s="780">
        <v>63.141999381428562</v>
      </c>
      <c r="T89" s="780">
        <v>21.678714208571428</v>
      </c>
      <c r="U89" s="780">
        <v>5.9428571975714277</v>
      </c>
      <c r="V89" s="780">
        <v>14.050774301428572</v>
      </c>
      <c r="W89" s="780">
        <v>1.8375714168571429</v>
      </c>
      <c r="X89" s="780">
        <v>37.97857121285714</v>
      </c>
      <c r="Y89" s="780">
        <v>6.0459999357142857</v>
      </c>
    </row>
    <row r="90" spans="14:25">
      <c r="N90" s="781"/>
      <c r="O90" s="781"/>
      <c r="P90" s="783">
        <v>35</v>
      </c>
      <c r="Q90" s="780">
        <v>9.1238570895714286</v>
      </c>
      <c r="R90" s="780">
        <v>6.7515713490000007</v>
      </c>
      <c r="S90" s="780">
        <v>62.449570247142852</v>
      </c>
      <c r="T90" s="780">
        <v>29.398714337142856</v>
      </c>
      <c r="U90" s="780">
        <v>5.5928570885714288</v>
      </c>
      <c r="V90" s="780">
        <v>13.988035748571429</v>
      </c>
      <c r="W90" s="780">
        <v>1.654571413857143</v>
      </c>
      <c r="X90" s="780">
        <v>37.199285234285711</v>
      </c>
      <c r="Y90" s="780">
        <v>5.7705714702857147</v>
      </c>
    </row>
    <row r="91" spans="14:25">
      <c r="N91" s="781"/>
      <c r="O91" s="781"/>
      <c r="P91" s="783">
        <v>36</v>
      </c>
      <c r="Q91" s="780">
        <v>8.2869999062857129</v>
      </c>
      <c r="R91" s="780">
        <v>5.5024285997142854</v>
      </c>
      <c r="S91" s="780">
        <v>62.160142081428567</v>
      </c>
      <c r="T91" s="780">
        <v>24.535714285714285</v>
      </c>
      <c r="U91" s="780">
        <v>5.7147143908571421</v>
      </c>
      <c r="V91" s="780">
        <v>13.989464348571429</v>
      </c>
      <c r="W91" s="780">
        <v>1.7275714362857142</v>
      </c>
      <c r="X91" s="780">
        <v>36.553570882857137</v>
      </c>
      <c r="Y91" s="780">
        <v>7.9151426724285718</v>
      </c>
    </row>
    <row r="92" spans="14:25">
      <c r="N92" s="781"/>
      <c r="O92" s="781"/>
      <c r="P92" s="783">
        <v>37</v>
      </c>
      <c r="Q92" s="780">
        <v>7.2742856564285701</v>
      </c>
      <c r="R92" s="780">
        <v>5.7037142345714287</v>
      </c>
      <c r="S92" s="780">
        <v>63.491571698571427</v>
      </c>
      <c r="T92" s="780">
        <v>33.851285662857144</v>
      </c>
      <c r="U92" s="780">
        <v>6.5815715108571435</v>
      </c>
      <c r="V92" s="780">
        <v>13.932678497142856</v>
      </c>
      <c r="W92" s="780">
        <v>1.6434285640000001</v>
      </c>
      <c r="X92" s="780">
        <v>36.635714938571432</v>
      </c>
      <c r="Y92" s="780">
        <v>5.2711429254285713</v>
      </c>
    </row>
    <row r="93" spans="14:25">
      <c r="N93" s="781"/>
      <c r="O93" s="781"/>
      <c r="P93" s="783">
        <v>38</v>
      </c>
      <c r="Q93" s="780">
        <v>5.7302856442857149</v>
      </c>
      <c r="R93" s="780">
        <v>4.6181428091428574</v>
      </c>
      <c r="S93" s="780">
        <v>66.366000039999989</v>
      </c>
      <c r="T93" s="780">
        <v>30.833285740000001</v>
      </c>
      <c r="U93" s="780">
        <v>6.3408571651428574</v>
      </c>
      <c r="V93" s="780">
        <v>14.030597005714284</v>
      </c>
      <c r="W93" s="780">
        <v>1.7824285711428571</v>
      </c>
      <c r="X93" s="780">
        <v>36.422143117142859</v>
      </c>
      <c r="Y93" s="780">
        <v>4.8772857188571432</v>
      </c>
    </row>
    <row r="94" spans="14:25">
      <c r="N94" s="781"/>
      <c r="O94" s="781"/>
      <c r="P94" s="783">
        <v>39</v>
      </c>
      <c r="Q94" s="780">
        <v>5.3494285172857152</v>
      </c>
      <c r="R94" s="780">
        <v>4.7248570578571423</v>
      </c>
      <c r="S94" s="780">
        <v>75.45028468428572</v>
      </c>
      <c r="T94" s="780">
        <v>25.431428635714287</v>
      </c>
      <c r="U94" s="780">
        <v>6.8902856279999991</v>
      </c>
      <c r="V94" s="780">
        <v>14.026608604285714</v>
      </c>
      <c r="W94" s="780">
        <v>1.7897142852857144</v>
      </c>
      <c r="X94" s="780">
        <v>36.457856858571432</v>
      </c>
      <c r="Y94" s="780">
        <v>6.1969999587142857</v>
      </c>
    </row>
    <row r="95" spans="14:25">
      <c r="N95" s="781"/>
      <c r="O95" s="781"/>
      <c r="P95" s="783">
        <v>40</v>
      </c>
      <c r="Q95" s="780">
        <v>5.4815714698571432</v>
      </c>
      <c r="R95" s="780">
        <v>5.3951427595714279</v>
      </c>
      <c r="S95" s="780">
        <v>78.309284754285713</v>
      </c>
      <c r="T95" s="780">
        <v>54.744000025714286</v>
      </c>
      <c r="U95" s="780">
        <v>7.7940000801428573</v>
      </c>
      <c r="V95" s="780">
        <v>14.026192801428573</v>
      </c>
      <c r="W95" s="780">
        <v>1.7887142725714287</v>
      </c>
      <c r="X95" s="780">
        <v>44.888571058571429</v>
      </c>
      <c r="Y95" s="780">
        <v>10.280285493285716</v>
      </c>
    </row>
    <row r="96" spans="14:25">
      <c r="N96" s="781"/>
      <c r="O96" s="781"/>
      <c r="P96" s="783">
        <v>41</v>
      </c>
      <c r="Q96" s="780">
        <v>6.414142881000001</v>
      </c>
      <c r="R96" s="780">
        <v>5.6744286329999998</v>
      </c>
      <c r="S96" s="780">
        <v>79.701571872857144</v>
      </c>
      <c r="T96" s="780">
        <v>50.934571402857145</v>
      </c>
      <c r="U96" s="780">
        <v>8.9731427602857146</v>
      </c>
      <c r="V96" s="780">
        <v>14.020297051428571</v>
      </c>
      <c r="W96" s="780">
        <v>1.4745714322857144</v>
      </c>
      <c r="X96" s="780">
        <v>49.243571144285717</v>
      </c>
      <c r="Y96" s="780">
        <v>7.658571379714286</v>
      </c>
    </row>
    <row r="97" spans="14:25">
      <c r="N97" s="781"/>
      <c r="O97" s="781"/>
      <c r="P97" s="783">
        <v>42</v>
      </c>
      <c r="Q97" s="780">
        <v>7.0597143174285719</v>
      </c>
      <c r="R97" s="780">
        <v>5.6411428450000001</v>
      </c>
      <c r="S97" s="780">
        <v>71.140427727142864</v>
      </c>
      <c r="T97" s="780">
        <v>43.184428622857141</v>
      </c>
      <c r="U97" s="780">
        <v>9.1315714969999995</v>
      </c>
      <c r="V97" s="780">
        <v>13.992498534285714</v>
      </c>
      <c r="W97" s="780">
        <v>1.325428571</v>
      </c>
      <c r="X97" s="780">
        <v>38.599999562857143</v>
      </c>
      <c r="Y97" s="780">
        <v>5.9647143228571426</v>
      </c>
    </row>
    <row r="98" spans="14:25">
      <c r="N98" s="781"/>
      <c r="O98" s="781"/>
      <c r="P98" s="783">
        <v>43</v>
      </c>
      <c r="Q98" s="780">
        <v>6.5518571988571432</v>
      </c>
      <c r="R98" s="780">
        <v>5.278142861428571</v>
      </c>
      <c r="S98" s="780">
        <v>66.382999420000004</v>
      </c>
      <c r="T98" s="780">
        <v>36.916714259999999</v>
      </c>
      <c r="U98" s="780">
        <v>8.3171428948571435</v>
      </c>
      <c r="V98" s="780">
        <v>14.015835900000001</v>
      </c>
      <c r="W98" s="780">
        <v>1.3259999922857142</v>
      </c>
      <c r="X98" s="780">
        <v>35.493572237142857</v>
      </c>
      <c r="Y98" s="780">
        <v>6.7207142624285723</v>
      </c>
    </row>
    <row r="99" spans="14:25">
      <c r="N99" s="781"/>
      <c r="O99" s="781">
        <v>44</v>
      </c>
      <c r="P99" s="783">
        <v>44</v>
      </c>
      <c r="Q99" s="780">
        <v>6.2178571565714282</v>
      </c>
      <c r="R99" s="780">
        <v>3.7729999678571429</v>
      </c>
      <c r="S99" s="780">
        <v>67.872285570000003</v>
      </c>
      <c r="T99" s="780">
        <v>41.726285662857144</v>
      </c>
      <c r="U99" s="780">
        <v>8.7617143898571435</v>
      </c>
      <c r="V99" s="780">
        <v>13.927204130000002</v>
      </c>
      <c r="W99" s="780">
        <v>1.0918571607142857</v>
      </c>
      <c r="X99" s="780">
        <v>46.067856924285714</v>
      </c>
      <c r="Y99" s="780">
        <v>5.8240000180000004</v>
      </c>
    </row>
    <row r="100" spans="14:25">
      <c r="N100" s="781"/>
      <c r="O100" s="781"/>
      <c r="P100" s="783">
        <v>45</v>
      </c>
      <c r="Q100" s="780">
        <v>5.7207142285714285</v>
      </c>
      <c r="R100" s="780">
        <v>4.0865714210000004</v>
      </c>
      <c r="S100" s="780">
        <v>64.557143075714279</v>
      </c>
      <c r="T100" s="780">
        <v>47.85114288285714</v>
      </c>
      <c r="U100" s="780">
        <v>8.1029998912857142</v>
      </c>
      <c r="V100" s="780">
        <v>13.944405964285716</v>
      </c>
      <c r="W100" s="780">
        <v>1.1197142941428571</v>
      </c>
      <c r="X100" s="780">
        <v>41.25857108142857</v>
      </c>
      <c r="Y100" s="780">
        <v>7.255428586571429</v>
      </c>
    </row>
    <row r="101" spans="14:25">
      <c r="N101" s="781"/>
      <c r="O101" s="781"/>
      <c r="P101" s="783">
        <v>46</v>
      </c>
      <c r="Q101" s="780">
        <v>5.8224285672857139</v>
      </c>
      <c r="R101" s="780">
        <v>4.1967142989999999</v>
      </c>
      <c r="S101" s="780">
        <v>48.114428929999988</v>
      </c>
      <c r="T101" s="780">
        <v>58.976285662857144</v>
      </c>
      <c r="U101" s="780">
        <v>7.6644285747142851</v>
      </c>
      <c r="V101" s="780">
        <v>14.053689955714287</v>
      </c>
      <c r="W101" s="780">
        <v>1.2584285650000002</v>
      </c>
      <c r="X101" s="780">
        <v>59.822143555714284</v>
      </c>
      <c r="Y101" s="780">
        <v>7.569857052142857</v>
      </c>
    </row>
    <row r="102" spans="14:25">
      <c r="N102" s="781"/>
      <c r="O102" s="781"/>
      <c r="P102" s="783">
        <v>47</v>
      </c>
      <c r="Q102" s="780">
        <v>8.7129998894285716</v>
      </c>
      <c r="R102" s="780">
        <v>6.8662857328571425</v>
      </c>
      <c r="S102" s="780">
        <v>75.949856894285716</v>
      </c>
      <c r="T102" s="780">
        <v>107.95228576857143</v>
      </c>
      <c r="U102" s="780">
        <v>21.278142930000001</v>
      </c>
      <c r="V102" s="780">
        <v>14.02023874</v>
      </c>
      <c r="W102" s="780">
        <v>1.6037142788571426</v>
      </c>
      <c r="X102" s="780">
        <v>58.205000194285724</v>
      </c>
      <c r="Y102" s="780">
        <v>11.491143022142859</v>
      </c>
    </row>
    <row r="103" spans="14:25">
      <c r="N103" s="781"/>
      <c r="O103" s="781"/>
      <c r="P103" s="783">
        <v>48</v>
      </c>
      <c r="Q103" s="780">
        <v>9.7443332226190496</v>
      </c>
      <c r="R103" s="780">
        <v>7.8295714628095201</v>
      </c>
      <c r="S103" s="780">
        <v>115.94985689428501</v>
      </c>
      <c r="T103" s="780">
        <v>116.577285768571</v>
      </c>
      <c r="U103" s="780">
        <v>25.523666837380901</v>
      </c>
      <c r="V103" s="780">
        <v>14.0819443290476</v>
      </c>
      <c r="W103" s="780">
        <v>1.686999981</v>
      </c>
      <c r="X103" s="780">
        <v>108.646</v>
      </c>
      <c r="Y103" s="780">
        <v>11.491143022142859</v>
      </c>
    </row>
    <row r="104" spans="14:25">
      <c r="N104" s="781"/>
      <c r="O104" s="781"/>
      <c r="P104" s="783">
        <v>49</v>
      </c>
      <c r="Q104" s="780">
        <v>15.740428922857143</v>
      </c>
      <c r="R104" s="780">
        <v>16.272571155571431</v>
      </c>
      <c r="S104" s="780">
        <v>179.40442985714284</v>
      </c>
      <c r="T104" s="780">
        <v>143.97028568571429</v>
      </c>
      <c r="U104" s="780">
        <v>24.464857102857142</v>
      </c>
      <c r="V104" s="780">
        <v>14.414462907142859</v>
      </c>
      <c r="W104" s="780">
        <v>1.509857126857143</v>
      </c>
      <c r="X104" s="780">
        <v>183.08428410000002</v>
      </c>
      <c r="Y104" s="780">
        <v>11.52</v>
      </c>
    </row>
    <row r="105" spans="14:25">
      <c r="N105" s="781"/>
      <c r="O105" s="781"/>
      <c r="P105" s="783">
        <v>50</v>
      </c>
      <c r="Q105" s="780">
        <v>11.458857127</v>
      </c>
      <c r="R105" s="780">
        <v>8.6871428825714272</v>
      </c>
      <c r="S105" s="780">
        <v>180.05014475714285</v>
      </c>
      <c r="T105" s="780">
        <v>105.38685716857142</v>
      </c>
      <c r="U105" s="780">
        <v>15.326142855714284</v>
      </c>
      <c r="V105" s="780">
        <v>14.382619995714284</v>
      </c>
      <c r="W105" s="780">
        <v>1.5802857021428574</v>
      </c>
      <c r="X105" s="780">
        <v>192.18500408571427</v>
      </c>
      <c r="Y105" s="780">
        <v>63.42214257285714</v>
      </c>
    </row>
    <row r="106" spans="14:25">
      <c r="N106" s="781"/>
      <c r="O106" s="781"/>
      <c r="P106" s="783">
        <v>51</v>
      </c>
      <c r="Q106" s="780">
        <v>9.4554285322857137</v>
      </c>
      <c r="R106" s="780">
        <v>4.7284286361428576</v>
      </c>
      <c r="S106" s="780">
        <v>179.9772862142857</v>
      </c>
      <c r="T106" s="780">
        <v>14.57142870857143</v>
      </c>
      <c r="U106" s="780">
        <v>5</v>
      </c>
      <c r="V106" s="780">
        <v>13.809047154285716</v>
      </c>
      <c r="W106" s="780">
        <v>1.0052857144285714</v>
      </c>
      <c r="X106" s="780">
        <v>189.54214041428571</v>
      </c>
      <c r="Y106" s="780">
        <v>105.71028573142858</v>
      </c>
    </row>
    <row r="107" spans="14:25">
      <c r="N107" s="781"/>
      <c r="O107" s="781">
        <v>52</v>
      </c>
      <c r="P107" s="783">
        <v>52</v>
      </c>
      <c r="Q107" s="780">
        <v>10.030285698</v>
      </c>
      <c r="R107" s="780">
        <v>6.3814284807142858</v>
      </c>
      <c r="S107" s="780">
        <v>180.17299980000001</v>
      </c>
      <c r="T107" s="780">
        <v>59.892857142857146</v>
      </c>
      <c r="U107" s="780">
        <v>9.771428653000001</v>
      </c>
      <c r="V107" s="780">
        <v>13.759048734285715</v>
      </c>
      <c r="W107" s="780">
        <v>1.2590000118571429</v>
      </c>
      <c r="X107" s="780">
        <v>169.73285565714286</v>
      </c>
      <c r="Y107" s="780">
        <v>86.07714135142858</v>
      </c>
    </row>
    <row r="108" spans="14:25">
      <c r="N108" s="781">
        <v>2022</v>
      </c>
      <c r="O108" s="781"/>
      <c r="P108" s="783">
        <v>1</v>
      </c>
      <c r="Q108" s="780">
        <v>11.54385730142857</v>
      </c>
      <c r="R108" s="780">
        <v>6.3410000120000003</v>
      </c>
      <c r="S108" s="780">
        <v>180.25871278571432</v>
      </c>
      <c r="T108" s="780">
        <v>53.005857194285717</v>
      </c>
      <c r="U108" s="780">
        <v>8.6221429277142843</v>
      </c>
      <c r="V108" s="780">
        <v>12.151368549999999</v>
      </c>
      <c r="W108" s="780">
        <v>1.4929999965714287</v>
      </c>
      <c r="X108" s="780">
        <v>101.56500134142858</v>
      </c>
      <c r="Y108" s="780">
        <v>45.721570695714284</v>
      </c>
    </row>
    <row r="109" spans="14:25">
      <c r="N109" s="781"/>
      <c r="O109" s="781"/>
      <c r="P109" s="783">
        <v>2</v>
      </c>
      <c r="Q109" s="780">
        <v>10.532571247428569</v>
      </c>
      <c r="R109" s="780">
        <v>5.6152856691428568</v>
      </c>
      <c r="S109" s="780">
        <v>180.17585754285713</v>
      </c>
      <c r="T109" s="780">
        <v>85.154714317142862</v>
      </c>
      <c r="U109" s="780">
        <v>16.483285767857144</v>
      </c>
      <c r="V109" s="780">
        <v>15.379761560000002</v>
      </c>
      <c r="W109" s="780">
        <v>4.383714250142857</v>
      </c>
      <c r="X109" s="780">
        <v>191.4592830114286</v>
      </c>
      <c r="Y109" s="780">
        <v>44.29957117428571</v>
      </c>
    </row>
    <row r="110" spans="14:25">
      <c r="N110" s="781"/>
      <c r="O110" s="781"/>
      <c r="P110" s="783">
        <v>3</v>
      </c>
      <c r="Q110" s="780">
        <v>12.373285701428571</v>
      </c>
      <c r="R110" s="780">
        <v>6.7777144562857146</v>
      </c>
      <c r="S110" s="780">
        <v>180.45157077142858</v>
      </c>
      <c r="T110" s="780">
        <v>79.166570397142863</v>
      </c>
      <c r="U110" s="780">
        <v>14.234428677142859</v>
      </c>
      <c r="V110" s="780">
        <v>13.331011501428572</v>
      </c>
      <c r="W110" s="780">
        <v>3.4292857477142862</v>
      </c>
      <c r="X110" s="780">
        <v>222.21500070000002</v>
      </c>
      <c r="Y110" s="780">
        <v>55.850142344285707</v>
      </c>
    </row>
    <row r="111" spans="14:25">
      <c r="N111" s="781"/>
      <c r="O111" s="781"/>
      <c r="P111" s="783">
        <v>4</v>
      </c>
      <c r="Q111" s="780">
        <v>13.78142860857143</v>
      </c>
      <c r="R111" s="780">
        <v>10.307714326428572</v>
      </c>
      <c r="S111" s="780">
        <v>200.41585867142899</v>
      </c>
      <c r="T111" s="780">
        <v>156.24399677142856</v>
      </c>
      <c r="U111" s="780">
        <v>35.655428067142857</v>
      </c>
      <c r="V111" s="780">
        <v>12.147084100000001</v>
      </c>
      <c r="W111" s="780">
        <v>5.8837143019999996</v>
      </c>
      <c r="X111" s="780">
        <v>439.25357492857148</v>
      </c>
      <c r="Y111" s="780">
        <v>129.95414407142854</v>
      </c>
    </row>
    <row r="112" spans="14:25">
      <c r="N112" s="781"/>
      <c r="O112" s="781"/>
      <c r="P112" s="783">
        <v>5</v>
      </c>
      <c r="Q112" s="780">
        <v>16.13685744</v>
      </c>
      <c r="R112" s="780">
        <v>10.226857389000001</v>
      </c>
      <c r="S112" s="780">
        <v>288.91129194285719</v>
      </c>
      <c r="T112" s="780">
        <v>182</v>
      </c>
      <c r="U112" s="780">
        <v>43.192856380000002</v>
      </c>
      <c r="V112" s="780">
        <v>11.764999934285715</v>
      </c>
      <c r="W112" s="780">
        <v>5.8837143019999996</v>
      </c>
      <c r="X112" s="780">
        <v>404.03070942857141</v>
      </c>
      <c r="Y112" s="780">
        <v>128.39200045714284</v>
      </c>
    </row>
    <row r="113" spans="14:25">
      <c r="N113" s="781"/>
      <c r="O113" s="782">
        <v>6</v>
      </c>
      <c r="P113" s="781">
        <v>6</v>
      </c>
      <c r="Q113" s="780">
        <v>18.235713957142856</v>
      </c>
      <c r="R113" s="780">
        <v>10.726285798285716</v>
      </c>
      <c r="S113" s="780">
        <v>435.79956928571431</v>
      </c>
      <c r="T113" s="780">
        <v>179.08343068571426</v>
      </c>
      <c r="U113" s="780">
        <v>33.553428921428569</v>
      </c>
      <c r="V113" s="780">
        <v>11.749167034285714</v>
      </c>
      <c r="W113" s="780">
        <v>5.6551427840000006</v>
      </c>
      <c r="X113" s="780">
        <v>420.1207101</v>
      </c>
      <c r="Y113" s="780">
        <v>133.21328737142855</v>
      </c>
    </row>
    <row r="114" spans="14:25">
      <c r="N114" s="781"/>
      <c r="O114" s="781"/>
      <c r="P114" s="781">
        <v>7</v>
      </c>
      <c r="Q114" s="780">
        <v>20.117499826428599</v>
      </c>
      <c r="R114" s="780">
        <v>12.450857264642901</v>
      </c>
      <c r="S114" s="780">
        <v>435.79956928571403</v>
      </c>
      <c r="T114" s="780">
        <v>195.28190973333301</v>
      </c>
      <c r="U114" s="780">
        <v>35.365238643809498</v>
      </c>
      <c r="V114" s="780">
        <v>10.9661612507143</v>
      </c>
      <c r="W114" s="780">
        <v>2.0952857050000002</v>
      </c>
      <c r="X114" s="780">
        <v>427.15742450542803</v>
      </c>
      <c r="Y114" s="780">
        <v>133.77895393333301</v>
      </c>
    </row>
    <row r="115" spans="14:25">
      <c r="N115" s="781"/>
      <c r="O115" s="781"/>
      <c r="P115" s="781">
        <v>8</v>
      </c>
      <c r="Q115" s="780">
        <v>25.340999875749826</v>
      </c>
      <c r="R115" s="780">
        <v>18.084142684936488</v>
      </c>
      <c r="S115" s="780">
        <v>441.50872366768942</v>
      </c>
      <c r="T115" s="780">
        <v>167.45813860212002</v>
      </c>
      <c r="U115" s="780">
        <v>52.961428506033734</v>
      </c>
      <c r="V115" s="780">
        <v>11.586785861424</v>
      </c>
      <c r="W115" s="780">
        <v>3.7204570871142901</v>
      </c>
      <c r="X115" s="780">
        <v>294.89857700892827</v>
      </c>
      <c r="Y115" s="780">
        <v>69.417142050606813</v>
      </c>
    </row>
    <row r="116" spans="14:25">
      <c r="N116" s="781"/>
      <c r="O116" s="781"/>
      <c r="P116" s="781">
        <v>9</v>
      </c>
      <c r="Q116" s="780">
        <v>27.784285954285711</v>
      </c>
      <c r="R116" s="780">
        <v>17.056714467142857</v>
      </c>
      <c r="S116" s="780">
        <v>390.83399745714286</v>
      </c>
      <c r="T116" s="780">
        <v>152.44642748571428</v>
      </c>
      <c r="U116" s="780">
        <v>60.130286080000005</v>
      </c>
      <c r="V116" s="780">
        <v>15.540178571428571</v>
      </c>
      <c r="W116" s="780">
        <v>4.1637142385755217</v>
      </c>
      <c r="X116" s="780">
        <v>302.25500487142864</v>
      </c>
      <c r="Y116" s="780">
        <v>186.68128532857142</v>
      </c>
    </row>
    <row r="117" spans="14:25">
      <c r="N117" s="781"/>
      <c r="O117" s="781"/>
      <c r="P117" s="781">
        <v>10</v>
      </c>
      <c r="Q117" s="780">
        <v>28.093753942631899</v>
      </c>
      <c r="R117" s="780">
        <v>19.095928647332201</v>
      </c>
      <c r="S117" s="780">
        <v>377.74852497494402</v>
      </c>
      <c r="T117" s="780">
        <v>177.15485925714287</v>
      </c>
      <c r="U117" s="780">
        <v>62.624940787617</v>
      </c>
      <c r="V117" s="780">
        <v>12.489226658966601</v>
      </c>
      <c r="W117" s="780">
        <v>4.8724285875714282</v>
      </c>
      <c r="X117" s="780">
        <v>288.89999999999998</v>
      </c>
      <c r="Y117" s="780">
        <v>146.131261154827</v>
      </c>
    </row>
    <row r="118" spans="14:25">
      <c r="N118" s="781"/>
      <c r="O118" s="781"/>
      <c r="P118" s="781">
        <v>11</v>
      </c>
      <c r="Q118" s="780">
        <v>33.420857293265151</v>
      </c>
      <c r="R118" s="780">
        <v>21.210571697780029</v>
      </c>
      <c r="S118" s="780">
        <v>559.81058175223166</v>
      </c>
      <c r="T118" s="780">
        <v>223.70857456752233</v>
      </c>
      <c r="U118" s="780">
        <v>65.082142966134157</v>
      </c>
      <c r="V118" s="780">
        <v>15.861725670950701</v>
      </c>
      <c r="W118" s="780">
        <v>3.3848571777343723</v>
      </c>
      <c r="X118" s="780">
        <v>414.23214285714226</v>
      </c>
      <c r="Y118" s="780">
        <v>110.17142813546286</v>
      </c>
    </row>
    <row r="119" spans="14:25">
      <c r="N119" s="781"/>
      <c r="O119" s="781"/>
      <c r="P119" s="781">
        <v>12</v>
      </c>
      <c r="Q119" s="780">
        <v>23.805857249668641</v>
      </c>
      <c r="R119" s="780">
        <v>19.053143092564113</v>
      </c>
      <c r="S119" s="780">
        <v>323.97713797432982</v>
      </c>
      <c r="T119" s="780">
        <v>151.51800210135301</v>
      </c>
      <c r="U119" s="780">
        <v>38.394142695835612</v>
      </c>
      <c r="V119" s="780">
        <v>15.601665633065315</v>
      </c>
      <c r="W119" s="780">
        <v>2.6404285430908159</v>
      </c>
      <c r="X119" s="780">
        <v>293.36786106654517</v>
      </c>
      <c r="Y119" s="780">
        <v>81.900570460728204</v>
      </c>
    </row>
    <row r="120" spans="14:25">
      <c r="N120" s="781"/>
      <c r="O120" s="781">
        <v>13</v>
      </c>
      <c r="P120" s="781">
        <v>13</v>
      </c>
      <c r="Q120" s="780">
        <v>28.491428571428571</v>
      </c>
      <c r="R120" s="780">
        <v>22.648571428571426</v>
      </c>
      <c r="S120" s="780">
        <v>381.44857142857143</v>
      </c>
      <c r="T120" s="780">
        <v>178.99571428571431</v>
      </c>
      <c r="U120" s="780">
        <v>36.35</v>
      </c>
      <c r="V120" s="780">
        <v>14.272857142857143</v>
      </c>
      <c r="W120" s="780">
        <v>2.0657142857142858</v>
      </c>
      <c r="X120" s="780">
        <v>268.19142857142862</v>
      </c>
      <c r="Y120" s="780">
        <v>61.771428571428579</v>
      </c>
    </row>
    <row r="121" spans="14:25">
      <c r="N121" s="781"/>
      <c r="O121" s="781"/>
      <c r="P121" s="781">
        <v>14</v>
      </c>
      <c r="Q121" s="780">
        <v>27.723999840872604</v>
      </c>
      <c r="R121" s="780">
        <v>25.617999758039169</v>
      </c>
      <c r="S121" s="780">
        <v>593.21614728655084</v>
      </c>
      <c r="T121" s="780">
        <v>183.63700212751101</v>
      </c>
      <c r="U121" s="780">
        <v>45.316000257219557</v>
      </c>
      <c r="V121" s="780">
        <v>12.459285599844744</v>
      </c>
      <c r="W121" s="780">
        <v>1.8045714242117685</v>
      </c>
      <c r="X121" s="780">
        <v>229.34857395717026</v>
      </c>
      <c r="Y121" s="780">
        <v>46.260999952043754</v>
      </c>
    </row>
    <row r="122" spans="14:25">
      <c r="N122" s="781"/>
      <c r="O122" s="781"/>
      <c r="P122" s="781">
        <v>15</v>
      </c>
      <c r="Q122" s="780">
        <v>22.026428767142853</v>
      </c>
      <c r="R122" s="780">
        <v>20.249143055714288</v>
      </c>
      <c r="S122" s="780">
        <v>348.80585371428572</v>
      </c>
      <c r="T122" s="780">
        <v>124.73814282857143</v>
      </c>
      <c r="U122" s="780">
        <v>26.343714578571426</v>
      </c>
      <c r="V122" s="780">
        <v>12.322202818571428</v>
      </c>
      <c r="W122" s="780">
        <v>1.5654285974285713</v>
      </c>
      <c r="X122" s="780">
        <v>215.08928787142855</v>
      </c>
      <c r="Y122" s="780">
        <v>36.220571791428576</v>
      </c>
    </row>
    <row r="123" spans="14:25">
      <c r="N123" s="781"/>
      <c r="O123" s="781"/>
      <c r="P123" s="781">
        <v>16</v>
      </c>
      <c r="Q123" s="780">
        <v>15.928285734994029</v>
      </c>
      <c r="R123" s="780">
        <v>13.163428579057927</v>
      </c>
      <c r="S123" s="780">
        <v>176.68314470563573</v>
      </c>
      <c r="T123" s="780">
        <v>78.339428492954767</v>
      </c>
      <c r="U123" s="780">
        <v>19.653713771275072</v>
      </c>
      <c r="V123" s="780">
        <v>12.955415725707971</v>
      </c>
      <c r="W123" s="780">
        <v>1.6847143173217742</v>
      </c>
      <c r="X123" s="780">
        <v>128.73071398053784</v>
      </c>
      <c r="Y123" s="780">
        <v>27.017142704554924</v>
      </c>
    </row>
    <row r="124" spans="14:25">
      <c r="N124" s="781"/>
      <c r="O124" s="781"/>
      <c r="P124" s="781">
        <v>17</v>
      </c>
      <c r="Q124" s="780">
        <v>14.988285734993999</v>
      </c>
      <c r="R124" s="780">
        <v>14.963714392629401</v>
      </c>
      <c r="S124" s="780">
        <v>174.68314470563601</v>
      </c>
      <c r="T124" s="780">
        <v>73.639428492954806</v>
      </c>
      <c r="U124" s="780">
        <v>18.143000000000001</v>
      </c>
      <c r="V124" s="780">
        <v>13.5886286328445</v>
      </c>
      <c r="W124" s="780">
        <v>1.80400003721498</v>
      </c>
      <c r="X124" s="780">
        <v>118.43833195974599</v>
      </c>
      <c r="Y124" s="780">
        <v>26.255714235187</v>
      </c>
    </row>
    <row r="125" spans="14:25">
      <c r="N125" s="781"/>
      <c r="O125" s="781"/>
      <c r="P125" s="781">
        <v>18</v>
      </c>
      <c r="Q125" s="780">
        <v>13.782857142857143</v>
      </c>
      <c r="R125" s="780">
        <v>9.805714285714286</v>
      </c>
      <c r="S125" s="780">
        <v>119.01714285714286</v>
      </c>
      <c r="T125" s="780">
        <v>55.180000000000007</v>
      </c>
      <c r="U125" s="780">
        <v>17.828571428571429</v>
      </c>
      <c r="V125" s="780">
        <v>12.145714285714286</v>
      </c>
      <c r="W125" s="780">
        <v>1.5071428571428569</v>
      </c>
      <c r="X125" s="780">
        <v>73.115714285714276</v>
      </c>
      <c r="Y125" s="780">
        <v>16.581428571428575</v>
      </c>
    </row>
    <row r="126" spans="14:25">
      <c r="N126" s="781"/>
      <c r="O126" s="781"/>
      <c r="P126" s="781">
        <v>19</v>
      </c>
      <c r="Q126" s="780">
        <v>12.89642851693287</v>
      </c>
      <c r="R126" s="780">
        <v>8.2621427263532308</v>
      </c>
      <c r="S126" s="780">
        <v>110.76885659354043</v>
      </c>
      <c r="T126" s="780">
        <v>59.773714338030103</v>
      </c>
      <c r="U126" s="780">
        <v>15.455142838614288</v>
      </c>
      <c r="V126" s="780">
        <v>11.9720828192574</v>
      </c>
      <c r="W126" s="780">
        <v>1.5408571277345884</v>
      </c>
      <c r="X126" s="780">
        <v>69.296428135463117</v>
      </c>
      <c r="Y126" s="780">
        <v>69.459999084472599</v>
      </c>
    </row>
    <row r="127" spans="14:25">
      <c r="N127" s="781"/>
      <c r="O127" s="781"/>
      <c r="P127" s="781">
        <v>20</v>
      </c>
      <c r="Q127" s="780">
        <v>12.223428453717887</v>
      </c>
      <c r="R127" s="780">
        <v>8.1970000267028773</v>
      </c>
      <c r="S127" s="780">
        <v>101.37014225551034</v>
      </c>
      <c r="T127" s="780">
        <v>76.803571428571416</v>
      </c>
      <c r="U127" s="780">
        <v>17.032571247645741</v>
      </c>
      <c r="V127" s="780">
        <v>12.044524329049228</v>
      </c>
      <c r="W127" s="780">
        <v>1.2638571347509076</v>
      </c>
      <c r="X127" s="780">
        <v>62.86000006539475</v>
      </c>
      <c r="Y127" s="780">
        <v>66.260002136230398</v>
      </c>
    </row>
    <row r="128" spans="14:25">
      <c r="N128" s="781"/>
      <c r="O128" s="781"/>
      <c r="P128" s="781">
        <v>21</v>
      </c>
      <c r="Q128" s="780">
        <v>10.884428433009543</v>
      </c>
      <c r="R128" s="780">
        <v>7.9334286281040693</v>
      </c>
      <c r="S128" s="780">
        <v>97.459857395716909</v>
      </c>
      <c r="T128" s="780">
        <v>50.738285609653985</v>
      </c>
      <c r="U128" s="780">
        <v>13.328000204903701</v>
      </c>
      <c r="V128" s="780">
        <v>12.004824365888286</v>
      </c>
      <c r="W128" s="780">
        <v>1.5594285896846185</v>
      </c>
      <c r="X128" s="780">
        <v>54.305714198521159</v>
      </c>
      <c r="Y128" s="780">
        <v>65.75</v>
      </c>
    </row>
    <row r="129" spans="14:25">
      <c r="N129" s="781"/>
      <c r="O129" s="781">
        <v>22</v>
      </c>
      <c r="P129" s="781">
        <v>22</v>
      </c>
      <c r="Q129" s="780">
        <v>10.348285540285715</v>
      </c>
      <c r="R129" s="780">
        <v>7.5271429334285713</v>
      </c>
      <c r="S129" s="780">
        <v>89.468571255714281</v>
      </c>
      <c r="T129" s="780">
        <v>47.993857245714288</v>
      </c>
      <c r="U129" s="780">
        <v>14.01614271</v>
      </c>
      <c r="V129" s="780">
        <v>12.003629958571429</v>
      </c>
      <c r="W129" s="780">
        <v>1.5562856965714285</v>
      </c>
      <c r="X129" s="780">
        <v>53.467142922857143</v>
      </c>
      <c r="Y129" s="780">
        <v>65.72000122</v>
      </c>
    </row>
    <row r="130" spans="14:25">
      <c r="N130" s="781"/>
      <c r="O130" s="781"/>
      <c r="P130" s="781">
        <v>23</v>
      </c>
      <c r="Q130" s="780">
        <v>9.2024285452706458</v>
      </c>
      <c r="R130" s="780">
        <v>7.8158572060721223</v>
      </c>
      <c r="S130" s="780">
        <v>76.892712184361002</v>
      </c>
      <c r="T130" s="780">
        <v>57.958285740443614</v>
      </c>
      <c r="U130" s="780">
        <v>15.881571360996745</v>
      </c>
      <c r="V130" s="780">
        <v>11.987857137407543</v>
      </c>
      <c r="W130" s="780">
        <v>1.6308571440832915</v>
      </c>
      <c r="X130" s="780">
        <v>51.62714331490649</v>
      </c>
      <c r="Y130" s="780">
        <v>10.504285676138702</v>
      </c>
    </row>
    <row r="131" spans="14:25">
      <c r="N131" s="781"/>
      <c r="O131" s="781"/>
      <c r="P131" s="781">
        <v>24</v>
      </c>
      <c r="Q131" s="780">
        <v>9.7554287231428578</v>
      </c>
      <c r="R131" s="780">
        <v>6.7071426938571426</v>
      </c>
      <c r="S131" s="780">
        <v>81.342571802857151</v>
      </c>
      <c r="T131" s="780">
        <v>44.565714157142857</v>
      </c>
      <c r="U131" s="780">
        <v>11.95571436</v>
      </c>
      <c r="V131" s="780">
        <v>11.995954241428569</v>
      </c>
      <c r="W131" s="780">
        <v>1.5964285474285715</v>
      </c>
      <c r="X131" s="780">
        <v>52.48000008857143</v>
      </c>
      <c r="Y131" s="780">
        <v>8.8472856794285715</v>
      </c>
    </row>
    <row r="132" spans="14:25">
      <c r="N132" s="781"/>
      <c r="O132" s="781"/>
      <c r="P132" s="781">
        <v>25</v>
      </c>
      <c r="Q132" s="780">
        <v>9.0029998505714293</v>
      </c>
      <c r="R132" s="780">
        <v>5.0975714409999995</v>
      </c>
      <c r="S132" s="780">
        <v>74.786714827142859</v>
      </c>
      <c r="T132" s="780">
        <v>37.470142908571425</v>
      </c>
      <c r="U132" s="780">
        <v>10.698285784285716</v>
      </c>
      <c r="V132" s="780">
        <v>12.037141528571428</v>
      </c>
      <c r="W132" s="780">
        <v>1.5865714718571431</v>
      </c>
      <c r="X132" s="780">
        <v>52.899999890000004</v>
      </c>
      <c r="Y132" s="780">
        <v>7.1708572252857135</v>
      </c>
    </row>
    <row r="133" spans="14:25">
      <c r="N133" s="781"/>
      <c r="O133" s="781"/>
      <c r="P133" s="781">
        <v>26</v>
      </c>
      <c r="Q133" s="780">
        <v>8.8088571004285718</v>
      </c>
      <c r="R133" s="780">
        <v>4.9562855787142857</v>
      </c>
      <c r="S133" s="780">
        <v>70.028570991428566</v>
      </c>
      <c r="T133" s="780">
        <v>32.059714182857142</v>
      </c>
      <c r="U133" s="780">
        <v>11.252857207571427</v>
      </c>
      <c r="V133" s="780">
        <v>12.019521304285714</v>
      </c>
      <c r="W133" s="780">
        <v>2.0531428372857143</v>
      </c>
      <c r="X133" s="780">
        <v>50.610000065714296</v>
      </c>
      <c r="Y133" s="780">
        <v>6.7431428091428582</v>
      </c>
    </row>
    <row r="134" spans="14:25">
      <c r="N134" s="781"/>
      <c r="O134" s="781"/>
      <c r="P134" s="781">
        <v>27</v>
      </c>
      <c r="Q134" s="780">
        <v>8.6749999188571429</v>
      </c>
      <c r="R134" s="780">
        <v>5.8004284587142854</v>
      </c>
      <c r="S134" s="780">
        <v>73.483713422857136</v>
      </c>
      <c r="T134" s="780">
        <v>28.196285791428572</v>
      </c>
      <c r="U134" s="780">
        <v>8.894857134285715</v>
      </c>
      <c r="V134" s="780">
        <v>12.048987115714286</v>
      </c>
      <c r="W134" s="780">
        <v>1.7931428807142857</v>
      </c>
      <c r="X134" s="780">
        <v>39.56999969571428</v>
      </c>
      <c r="Y134" s="780">
        <v>6.9555713788571438</v>
      </c>
    </row>
    <row r="135" spans="14:25">
      <c r="N135" s="781"/>
      <c r="O135" s="781"/>
      <c r="P135" s="781">
        <v>28</v>
      </c>
      <c r="Q135" s="780">
        <v>8.5319998604285718</v>
      </c>
      <c r="R135" s="780">
        <v>4.793428557285714</v>
      </c>
      <c r="S135" s="780">
        <v>71.609712874285705</v>
      </c>
      <c r="T135" s="780">
        <v>29.315428597142859</v>
      </c>
      <c r="U135" s="780">
        <v>8.5744282858571417</v>
      </c>
      <c r="V135" s="780">
        <v>13.016607148571428</v>
      </c>
      <c r="W135" s="780">
        <v>1.5484285694285713</v>
      </c>
      <c r="X135" s="780">
        <v>37.367143358571425</v>
      </c>
      <c r="Y135" s="780">
        <v>7.7912856511428572</v>
      </c>
    </row>
    <row r="136" spans="14:25">
      <c r="N136" s="781"/>
      <c r="O136" s="781"/>
      <c r="P136" s="781">
        <v>29</v>
      </c>
      <c r="Q136" s="780">
        <v>7.5015713146754646</v>
      </c>
      <c r="R136" s="780">
        <v>4.1201429026467418</v>
      </c>
      <c r="S136" s="780">
        <v>70.704857962472062</v>
      </c>
      <c r="T136" s="780">
        <v>28.869000026157888</v>
      </c>
      <c r="U136" s="780">
        <v>8.3951428277151887</v>
      </c>
      <c r="V136" s="780">
        <v>11.558748653956785</v>
      </c>
      <c r="W136" s="780">
        <v>1.8301428726741213</v>
      </c>
      <c r="X136" s="780">
        <v>34.207142421177402</v>
      </c>
      <c r="Y136" s="780">
        <v>7.1859999213899801</v>
      </c>
    </row>
    <row r="137" spans="14:25">
      <c r="N137" s="781"/>
      <c r="O137" s="781"/>
      <c r="P137" s="781">
        <v>30</v>
      </c>
      <c r="Q137" s="780">
        <v>6.9631428037142857</v>
      </c>
      <c r="R137" s="780">
        <v>3.7525714465714288</v>
      </c>
      <c r="S137" s="780">
        <v>70.704857962857133</v>
      </c>
      <c r="T137" s="780">
        <v>27.43799999714286</v>
      </c>
      <c r="U137" s="780">
        <v>8.4329999515714285</v>
      </c>
      <c r="V137" s="780">
        <v>11.530537195714285</v>
      </c>
      <c r="W137" s="780">
        <v>1.7351428440000001</v>
      </c>
      <c r="X137" s="780">
        <v>33.177856990000002</v>
      </c>
      <c r="Y137" s="780">
        <v>10.289285525142857</v>
      </c>
    </row>
    <row r="138" spans="14:25">
      <c r="N138" s="781"/>
      <c r="O138" s="781"/>
      <c r="P138" s="781">
        <v>31</v>
      </c>
      <c r="Q138" s="780">
        <v>6.8165713718959227</v>
      </c>
      <c r="R138" s="780">
        <v>3.3494285855974431</v>
      </c>
      <c r="S138" s="780">
        <v>63.379999978201695</v>
      </c>
      <c r="T138" s="780">
        <v>26.440285818917356</v>
      </c>
      <c r="U138" s="780">
        <v>7.6332857949393071</v>
      </c>
      <c r="V138" s="780">
        <v>13.242675645010754</v>
      </c>
      <c r="W138" s="780">
        <v>1.6478571380887672</v>
      </c>
      <c r="X138" s="780">
        <v>31.918571744646293</v>
      </c>
      <c r="Y138" s="780">
        <v>7.0418571063450344</v>
      </c>
    </row>
    <row r="139" spans="14:25">
      <c r="N139" s="781"/>
      <c r="O139" s="781"/>
      <c r="P139" s="781">
        <v>32</v>
      </c>
      <c r="Q139" s="780">
        <v>6.7767143249511674</v>
      </c>
      <c r="R139" s="780">
        <v>3.2958571570260142</v>
      </c>
      <c r="S139" s="780">
        <v>71.012714930943048</v>
      </c>
      <c r="T139" s="780">
        <v>46.172571454729322</v>
      </c>
      <c r="U139" s="780">
        <v>10.471999985831093</v>
      </c>
      <c r="V139" s="780">
        <v>14.178215708051356</v>
      </c>
      <c r="W139" s="780">
        <v>1.7564285823277028</v>
      </c>
      <c r="X139" s="780">
        <v>36.164285932268385</v>
      </c>
      <c r="Y139" s="780">
        <v>6.8281428813934264</v>
      </c>
    </row>
    <row r="140" spans="14:25">
      <c r="N140" s="781"/>
      <c r="O140" s="781"/>
      <c r="P140" s="781">
        <v>33</v>
      </c>
      <c r="Q140" s="780">
        <v>6.6272856167142846</v>
      </c>
      <c r="R140" s="780">
        <v>3.2975714547142858</v>
      </c>
      <c r="S140" s="780">
        <v>68.504143305714294</v>
      </c>
      <c r="T140" s="780">
        <v>27.946428571428573</v>
      </c>
      <c r="U140" s="780">
        <v>7.9560000554285706</v>
      </c>
      <c r="V140" s="780">
        <v>14.038035665714288</v>
      </c>
      <c r="W140" s="780">
        <v>1.7424285411428571</v>
      </c>
      <c r="X140" s="780">
        <v>35.879999975714291</v>
      </c>
      <c r="Y140" s="780">
        <v>5.7674285684285715</v>
      </c>
    </row>
    <row r="141" spans="14:25">
      <c r="N141" s="781"/>
      <c r="O141" s="781">
        <v>34</v>
      </c>
      <c r="P141" s="781">
        <v>34</v>
      </c>
      <c r="Q141" s="780">
        <v>6.5701428822857153</v>
      </c>
      <c r="R141" s="780">
        <v>3.5422857148571425</v>
      </c>
      <c r="S141" s="780">
        <v>67.757142747142865</v>
      </c>
      <c r="T141" s="780">
        <v>25.892714362857141</v>
      </c>
      <c r="U141" s="780">
        <v>7.6575713838571433</v>
      </c>
      <c r="V141" s="780">
        <v>13.967680111428573</v>
      </c>
      <c r="W141" s="780">
        <v>1.731428572</v>
      </c>
      <c r="X141" s="780">
        <v>38.545714242857137</v>
      </c>
      <c r="Y141" s="780">
        <v>2.1432857171428572</v>
      </c>
    </row>
    <row r="142" spans="14:25">
      <c r="N142" s="781"/>
      <c r="O142" s="781"/>
      <c r="P142" s="781">
        <v>35</v>
      </c>
      <c r="Q142" s="780">
        <v>6.5428572382245695</v>
      </c>
      <c r="R142" s="780">
        <v>3.660142830439971</v>
      </c>
      <c r="S142" s="780">
        <v>64.803571428571402</v>
      </c>
      <c r="T142" s="780">
        <v>24.232000078473732</v>
      </c>
      <c r="U142" s="780">
        <v>6.8082856450762028</v>
      </c>
      <c r="V142" s="780">
        <v>14.05898720877507</v>
      </c>
      <c r="W142" s="780">
        <v>1.7037142855780412</v>
      </c>
      <c r="X142" s="780">
        <v>40.62499999999995</v>
      </c>
      <c r="Y142" s="780">
        <v>7.1627143110547582</v>
      </c>
    </row>
    <row r="143" spans="14:25">
      <c r="N143" s="781"/>
      <c r="O143" s="781"/>
      <c r="P143" s="781">
        <v>36</v>
      </c>
      <c r="Q143" s="780">
        <v>6.3227143287142855</v>
      </c>
      <c r="R143" s="780">
        <v>4.3679998937142859</v>
      </c>
      <c r="S143" s="780">
        <v>61.738000054285713</v>
      </c>
      <c r="T143" s="780">
        <v>22.238142831428572</v>
      </c>
      <c r="U143" s="780">
        <v>6.3390000000000004</v>
      </c>
      <c r="V143" s="780">
        <v>14.080715725714285</v>
      </c>
      <c r="W143" s="780">
        <v>1.4800000019999999</v>
      </c>
      <c r="X143" s="780">
        <v>39.675715311428569</v>
      </c>
      <c r="Y143" s="780">
        <v>5.1081428868571424</v>
      </c>
    </row>
    <row r="144" spans="14:25">
      <c r="N144" s="781"/>
      <c r="O144" s="781"/>
      <c r="P144" s="781">
        <v>37</v>
      </c>
      <c r="Q144" s="780">
        <v>6.2865810394126704</v>
      </c>
      <c r="R144" s="780">
        <v>3.77252543796107</v>
      </c>
      <c r="S144" s="780">
        <v>59.887714115714203</v>
      </c>
      <c r="T144" s="780">
        <v>22.866306149296399</v>
      </c>
      <c r="U144" s="780">
        <v>5.7651427948238201</v>
      </c>
      <c r="V144" s="780">
        <v>14.0125123574527</v>
      </c>
      <c r="W144" s="780">
        <v>1.63901983647542</v>
      </c>
      <c r="X144" s="780">
        <v>42.048215323571398</v>
      </c>
      <c r="Y144" s="780">
        <v>5.8057857581702397</v>
      </c>
    </row>
    <row r="145" spans="14:25">
      <c r="N145" s="781"/>
      <c r="O145" s="781"/>
      <c r="P145" s="781">
        <v>38</v>
      </c>
      <c r="Q145" s="780">
        <v>5.793857097625728</v>
      </c>
      <c r="R145" s="780">
        <v>4.5530000073569106</v>
      </c>
      <c r="S145" s="780">
        <v>64.924144199916256</v>
      </c>
      <c r="T145" s="780">
        <v>29.702428545270628</v>
      </c>
      <c r="U145" s="780">
        <v>6.6742858205522735</v>
      </c>
      <c r="V145" s="780">
        <v>13.981904302324526</v>
      </c>
      <c r="W145" s="780">
        <v>1.5090000288827028</v>
      </c>
      <c r="X145" s="780">
        <v>43.403571537562748</v>
      </c>
      <c r="Y145" s="780">
        <v>6.7047142982482857</v>
      </c>
    </row>
    <row r="146" spans="14:25">
      <c r="N146" s="781"/>
      <c r="O146" s="781"/>
      <c r="P146" s="781">
        <v>39</v>
      </c>
      <c r="Q146" s="780">
        <v>5.9811427934285719</v>
      </c>
      <c r="R146" s="780">
        <v>3.9475713797142857</v>
      </c>
      <c r="S146" s="780">
        <v>70.514285495714276</v>
      </c>
      <c r="T146" s="780">
        <v>38.059571402857145</v>
      </c>
      <c r="U146" s="780">
        <v>7.1607142177142862</v>
      </c>
      <c r="V146" s="780">
        <v>14.00559575142857</v>
      </c>
      <c r="W146" s="780">
        <v>1.4841428652857143</v>
      </c>
      <c r="X146" s="780">
        <v>39.662857054285716</v>
      </c>
      <c r="Y146" s="780">
        <v>3.8321428128571426</v>
      </c>
    </row>
    <row r="147" spans="14:25">
      <c r="N147" s="781"/>
      <c r="O147" s="781"/>
      <c r="P147" s="781">
        <v>40</v>
      </c>
      <c r="Q147" s="780">
        <v>5.635571479797358</v>
      </c>
      <c r="R147" s="780">
        <v>4.196571486336838</v>
      </c>
      <c r="S147" s="780">
        <v>63.012999943324473</v>
      </c>
      <c r="T147" s="780">
        <v>36.791714259556329</v>
      </c>
      <c r="U147" s="780">
        <v>7.419142927442274</v>
      </c>
      <c r="V147" s="780">
        <v>14.040832792009573</v>
      </c>
      <c r="W147" s="780">
        <v>1.3278571452413228</v>
      </c>
      <c r="X147" s="780">
        <v>38.878571646554072</v>
      </c>
      <c r="Y147" s="780">
        <v>6.02885715450559</v>
      </c>
    </row>
    <row r="148" spans="14:25">
      <c r="N148" s="781"/>
      <c r="O148" s="781"/>
      <c r="P148" s="781">
        <v>41</v>
      </c>
      <c r="Q148" s="780">
        <v>5.5000561646503403</v>
      </c>
      <c r="R148" s="780">
        <v>4.2840944572134498</v>
      </c>
      <c r="S148" s="780">
        <v>66.388028771146395</v>
      </c>
      <c r="T148" s="780">
        <v>43.221755070626699</v>
      </c>
      <c r="U148" s="780">
        <v>6.8784286265785504</v>
      </c>
      <c r="V148" s="780">
        <v>14.068372771605899</v>
      </c>
      <c r="W148" s="780">
        <v>1.3502551701649099</v>
      </c>
      <c r="X148" s="780">
        <v>39.9741191131004</v>
      </c>
      <c r="Y148" s="780">
        <v>6.1968265237028799</v>
      </c>
    </row>
    <row r="149" spans="14:25">
      <c r="N149" s="781"/>
      <c r="O149" s="781"/>
      <c r="P149" s="781">
        <v>42</v>
      </c>
      <c r="Q149" s="780">
        <v>4.9938571794285718</v>
      </c>
      <c r="R149" s="780">
        <v>4</v>
      </c>
      <c r="S149" s="780">
        <v>62.769999368571426</v>
      </c>
      <c r="T149" s="780">
        <v>38</v>
      </c>
      <c r="U149" s="780">
        <v>9.4662852974285716</v>
      </c>
      <c r="V149" s="780">
        <v>14.016308650000001</v>
      </c>
      <c r="W149" s="780">
        <v>1.3397142717142856</v>
      </c>
      <c r="X149" s="780">
        <v>40.656428200000001</v>
      </c>
      <c r="Y149" s="780">
        <v>9.5699999659999992</v>
      </c>
    </row>
    <row r="150" spans="14:25">
      <c r="N150" s="781"/>
      <c r="O150" s="781"/>
      <c r="P150" s="781">
        <v>43</v>
      </c>
      <c r="Q150" s="780">
        <v>5.6268571444920088</v>
      </c>
      <c r="R150" s="780">
        <v>4.612428597041534</v>
      </c>
      <c r="S150" s="780">
        <v>52.281571524483752</v>
      </c>
      <c r="T150" s="780">
        <v>34.410571507045155</v>
      </c>
      <c r="U150" s="780">
        <v>5.7607142584664448</v>
      </c>
      <c r="V150" s="780">
        <v>14.078072684151758</v>
      </c>
      <c r="W150" s="780">
        <v>1.3554285253797185</v>
      </c>
      <c r="X150" s="780">
        <v>41.783572060721227</v>
      </c>
      <c r="Y150" s="780">
        <v>9.7359999247959532</v>
      </c>
    </row>
    <row r="151" spans="14:25">
      <c r="N151" s="781"/>
      <c r="O151" s="781">
        <v>44</v>
      </c>
      <c r="P151" s="781">
        <v>44</v>
      </c>
      <c r="Q151" s="780">
        <v>5.2291429382857144</v>
      </c>
      <c r="R151" s="780">
        <v>4.4097143239999994</v>
      </c>
      <c r="S151" s="780">
        <v>53.939428057142855</v>
      </c>
      <c r="T151" s="780">
        <v>27.107142857142858</v>
      </c>
      <c r="U151" s="780">
        <v>5.9262857437142857</v>
      </c>
      <c r="V151" s="780">
        <v>13.987262724285713</v>
      </c>
      <c r="W151" s="780">
        <v>1.3972857167142858</v>
      </c>
      <c r="X151" s="780">
        <v>40.991428375714285</v>
      </c>
      <c r="Y151" s="780">
        <v>9.787285668857141</v>
      </c>
    </row>
    <row r="152" spans="14:25">
      <c r="N152" s="781"/>
      <c r="O152" s="781"/>
      <c r="P152" s="781">
        <v>45</v>
      </c>
      <c r="Q152" s="780">
        <v>5.4345714705330943</v>
      </c>
      <c r="R152" s="780">
        <v>3.90100002288818</v>
      </c>
      <c r="S152" s="780">
        <v>62.510428837367428</v>
      </c>
      <c r="T152" s="780">
        <v>29.329142979213128</v>
      </c>
      <c r="U152" s="780">
        <v>5.2147143227713402</v>
      </c>
      <c r="V152" s="780">
        <v>13.874702862330802</v>
      </c>
      <c r="W152" s="780">
        <v>1.3508571045739299</v>
      </c>
      <c r="X152" s="780">
        <v>40.139285496302975</v>
      </c>
      <c r="Y152" s="780">
        <v>8.3278572218758669</v>
      </c>
    </row>
    <row r="153" spans="14:25">
      <c r="N153" s="781"/>
      <c r="O153" s="781"/>
      <c r="P153" s="781">
        <v>46</v>
      </c>
      <c r="Q153" s="780">
        <v>5.3250000135714286</v>
      </c>
      <c r="R153" s="780">
        <v>3.9275713648571431</v>
      </c>
      <c r="S153" s="780">
        <v>53.200286319999996</v>
      </c>
      <c r="T153" s="780">
        <v>26.72028568857143</v>
      </c>
      <c r="U153" s="780">
        <v>6.1838571684285712</v>
      </c>
      <c r="V153" s="780">
        <v>14.021962847142857</v>
      </c>
      <c r="W153" s="780">
        <v>1.3508571042857143</v>
      </c>
      <c r="X153" s="780">
        <v>39.383571627142864</v>
      </c>
      <c r="Y153" s="780">
        <v>8.9714284620000004</v>
      </c>
    </row>
    <row r="154" spans="14:25">
      <c r="N154" s="781"/>
      <c r="O154" s="781"/>
      <c r="P154" s="781">
        <v>47</v>
      </c>
      <c r="Q154" s="780">
        <v>5.2195714201245949</v>
      </c>
      <c r="R154" s="780">
        <v>4.3361428805759958</v>
      </c>
      <c r="S154" s="780">
        <v>58.334714617047958</v>
      </c>
      <c r="T154" s="780">
        <v>27.404714311872173</v>
      </c>
      <c r="U154" s="780">
        <v>5.6749998501368912</v>
      </c>
      <c r="V154" s="780">
        <v>12.869702747889887</v>
      </c>
      <c r="W154" s="780">
        <v>1.3509999513626101</v>
      </c>
      <c r="X154" s="780">
        <v>41.750000544956698</v>
      </c>
      <c r="Y154" s="780">
        <v>7.719999926430833</v>
      </c>
    </row>
    <row r="155" spans="14:25">
      <c r="N155" s="781"/>
      <c r="O155" s="781"/>
      <c r="P155" s="781">
        <v>48</v>
      </c>
      <c r="Q155" s="780">
        <v>5.7077142170497295</v>
      </c>
      <c r="R155" s="780">
        <v>4.0250000272478319</v>
      </c>
      <c r="S155" s="780">
        <v>50.089571816580602</v>
      </c>
      <c r="T155" s="780">
        <v>25.464285714285698</v>
      </c>
      <c r="U155" s="780">
        <v>5.2590000288827037</v>
      </c>
      <c r="V155" s="780">
        <v>12.914761407034687</v>
      </c>
      <c r="W155" s="780">
        <v>1.3509999513626101</v>
      </c>
      <c r="X155" s="780">
        <v>40.275714329310787</v>
      </c>
      <c r="Y155" s="780">
        <v>9.8602855546133554</v>
      </c>
    </row>
    <row r="156" spans="14:25">
      <c r="N156" s="781"/>
      <c r="O156" s="781"/>
      <c r="P156" s="781">
        <v>49</v>
      </c>
      <c r="Q156" s="780">
        <v>6.1595714432857145</v>
      </c>
      <c r="R156" s="780">
        <v>3.979571376428571</v>
      </c>
      <c r="S156" s="780">
        <v>60.034714289999997</v>
      </c>
      <c r="T156" s="780">
        <v>26.208285740000001</v>
      </c>
      <c r="U156" s="780">
        <v>4.6138571330000007</v>
      </c>
      <c r="V156" s="780">
        <v>13.072690148571429</v>
      </c>
      <c r="W156" s="780">
        <v>1.3818571054285713</v>
      </c>
      <c r="X156" s="780">
        <v>41.965714589999997</v>
      </c>
      <c r="Y156" s="780">
        <v>10.514714377142857</v>
      </c>
    </row>
    <row r="157" spans="14:25">
      <c r="N157" s="781"/>
      <c r="O157" s="781"/>
      <c r="P157" s="781">
        <v>50</v>
      </c>
      <c r="Q157" s="780">
        <v>8.2302858491428559</v>
      </c>
      <c r="R157" s="780">
        <v>4.227428538571429</v>
      </c>
      <c r="S157" s="780">
        <v>60.558143069999993</v>
      </c>
      <c r="T157" s="780">
        <v>47.559571402857145</v>
      </c>
      <c r="U157" s="780">
        <v>9.325571467571427</v>
      </c>
      <c r="V157" s="780">
        <v>12.378569737142858</v>
      </c>
      <c r="W157" s="780">
        <v>2.3402857099999999</v>
      </c>
      <c r="X157" s="780">
        <v>44.681428635714283</v>
      </c>
      <c r="Y157" s="780">
        <v>13.792428560000001</v>
      </c>
    </row>
    <row r="158" spans="14:25">
      <c r="N158" s="781"/>
      <c r="O158" s="781"/>
      <c r="P158" s="781">
        <v>51</v>
      </c>
      <c r="Q158" s="780">
        <v>8.6974285665714284</v>
      </c>
      <c r="R158" s="780">
        <v>4.2828571114285712</v>
      </c>
      <c r="S158" s="780">
        <v>76.682998657142861</v>
      </c>
      <c r="T158" s="780">
        <v>47.559571402857145</v>
      </c>
      <c r="U158" s="780">
        <v>9.325571467571427</v>
      </c>
      <c r="V158" s="780">
        <v>13.595178467142899</v>
      </c>
      <c r="W158" s="780">
        <v>2.1075714314285716</v>
      </c>
      <c r="X158" s="780">
        <v>58.199286324285715</v>
      </c>
      <c r="Y158" s="780">
        <v>17.965714182857145</v>
      </c>
    </row>
    <row r="159" spans="14:25">
      <c r="N159" s="781"/>
      <c r="O159" s="781">
        <v>52</v>
      </c>
      <c r="P159" s="781">
        <v>52</v>
      </c>
      <c r="Q159" s="780">
        <v>12.067857061428571</v>
      </c>
      <c r="R159" s="780">
        <v>5.9124286172857135</v>
      </c>
      <c r="S159" s="780">
        <v>82.013715471428569</v>
      </c>
      <c r="T159" s="780">
        <v>71.637142725714284</v>
      </c>
      <c r="U159" s="780">
        <v>27.029714380142856</v>
      </c>
      <c r="V159" s="780">
        <v>13.1345855185714</v>
      </c>
      <c r="W159" s="780">
        <v>1.4207143104285713</v>
      </c>
      <c r="X159" s="780">
        <v>49.959429059999998</v>
      </c>
      <c r="Y159" s="780">
        <v>13.465142795714286</v>
      </c>
    </row>
    <row r="160" spans="14:25">
      <c r="N160" s="277">
        <v>2023</v>
      </c>
      <c r="P160" s="277">
        <v>1</v>
      </c>
      <c r="Q160" s="780">
        <v>15.932143074285715</v>
      </c>
      <c r="R160" s="780">
        <v>11.847142697285713</v>
      </c>
      <c r="S160" s="780">
        <v>128.12399947142856</v>
      </c>
      <c r="T160" s="780">
        <v>120.91071428857143</v>
      </c>
      <c r="U160" s="780">
        <v>7.7642858370000001</v>
      </c>
      <c r="V160" s="780">
        <v>11.095357077142859</v>
      </c>
      <c r="W160" s="780">
        <v>1.6364285774285714</v>
      </c>
      <c r="X160" s="780">
        <v>66.995713914285716</v>
      </c>
      <c r="Y160" s="780">
        <v>22.307714735714285</v>
      </c>
    </row>
    <row r="161" spans="15:25">
      <c r="P161" s="784">
        <v>2</v>
      </c>
      <c r="Q161" s="780">
        <v>13.622000012857143</v>
      </c>
      <c r="R161" s="780">
        <v>10.387571334714284</v>
      </c>
      <c r="S161" s="780">
        <v>121.34800174285715</v>
      </c>
      <c r="T161" s="780">
        <v>63.964285714285715</v>
      </c>
      <c r="U161" s="780">
        <v>8.3012856074285715</v>
      </c>
      <c r="V161" s="780">
        <v>10.665118488571428</v>
      </c>
      <c r="W161" s="780">
        <v>1.4351428745714288</v>
      </c>
      <c r="X161" s="780">
        <v>61.672285351428577</v>
      </c>
      <c r="Y161" s="780">
        <v>20.728857314285712</v>
      </c>
    </row>
    <row r="162" spans="15:25">
      <c r="P162" s="277">
        <v>3</v>
      </c>
      <c r="Q162" s="780">
        <v>14.96771430969237</v>
      </c>
      <c r="R162" s="780">
        <v>12.343428543635765</v>
      </c>
      <c r="S162" s="780">
        <v>86.206856863839235</v>
      </c>
      <c r="T162" s="780">
        <v>66.660714285714292</v>
      </c>
      <c r="U162" s="780">
        <v>13.8641426903861</v>
      </c>
      <c r="V162" s="780">
        <v>10.825061389378083</v>
      </c>
      <c r="W162" s="780">
        <v>1.1248571532113172</v>
      </c>
      <c r="X162" s="780">
        <v>45.978571755545445</v>
      </c>
      <c r="Y162" s="780">
        <v>14.135142598833328</v>
      </c>
    </row>
    <row r="163" spans="15:25">
      <c r="P163" s="277">
        <v>4</v>
      </c>
      <c r="Q163" s="780">
        <v>13.91128580857143</v>
      </c>
      <c r="R163" s="780">
        <v>11.180999892285714</v>
      </c>
      <c r="S163" s="780">
        <v>104.57885634428571</v>
      </c>
      <c r="T163" s="780">
        <v>85.190571371428561</v>
      </c>
      <c r="U163" s="780">
        <v>19.117857387142859</v>
      </c>
      <c r="V163" s="780">
        <v>11.076488631428571</v>
      </c>
      <c r="W163" s="780">
        <v>1.6419999940000001</v>
      </c>
      <c r="X163" s="780">
        <v>48.097142900000001</v>
      </c>
      <c r="Y163" s="780">
        <v>12.892857279999999</v>
      </c>
    </row>
    <row r="164" spans="15:25">
      <c r="P164" s="277">
        <v>5</v>
      </c>
      <c r="Q164" s="780">
        <v>16.3</v>
      </c>
      <c r="R164" s="780">
        <v>12.37</v>
      </c>
      <c r="S164" s="780">
        <v>154.74</v>
      </c>
      <c r="T164" s="780">
        <v>146.63999999999999</v>
      </c>
      <c r="U164" s="780">
        <v>16.501999999999999</v>
      </c>
      <c r="V164" s="780">
        <v>11.3279158734791</v>
      </c>
      <c r="W164" s="780">
        <v>3.9329999999999998</v>
      </c>
      <c r="X164" s="780">
        <v>92.98</v>
      </c>
      <c r="Y164" s="780">
        <v>30.6</v>
      </c>
    </row>
    <row r="165" spans="15:25">
      <c r="P165" s="277">
        <v>6</v>
      </c>
      <c r="Q165" s="780">
        <v>21.669000080653571</v>
      </c>
      <c r="R165" s="780">
        <v>15.139999934605159</v>
      </c>
      <c r="S165" s="780">
        <v>309.78528267996586</v>
      </c>
      <c r="T165" s="780">
        <v>176.99399893624403</v>
      </c>
      <c r="U165" s="780">
        <v>28.743571690150638</v>
      </c>
      <c r="V165" s="780">
        <v>20.581607409885926</v>
      </c>
      <c r="W165" s="780">
        <v>7.3275715282985106</v>
      </c>
      <c r="X165" s="780">
        <v>131.38999938964815</v>
      </c>
      <c r="Y165" s="780">
        <v>52.329999651227638</v>
      </c>
    </row>
    <row r="166" spans="15:25">
      <c r="P166" s="277">
        <v>7</v>
      </c>
      <c r="Q166" s="780">
        <v>23.23</v>
      </c>
      <c r="R166" s="780">
        <v>16.53</v>
      </c>
      <c r="S166" s="780">
        <v>292.54257421428571</v>
      </c>
      <c r="T166" s="780">
        <v>150.71</v>
      </c>
      <c r="U166" s="780">
        <v>26.15</v>
      </c>
      <c r="V166" s="780">
        <v>23.86</v>
      </c>
      <c r="W166" s="780">
        <v>5.78</v>
      </c>
      <c r="X166" s="780">
        <v>150.34</v>
      </c>
      <c r="Y166" s="780">
        <v>59.46</v>
      </c>
    </row>
    <row r="167" spans="15:25">
      <c r="P167" s="277">
        <v>8</v>
      </c>
      <c r="Q167" s="780">
        <v>30.719714572857139</v>
      </c>
      <c r="R167" s="780">
        <v>21.736999784285718</v>
      </c>
      <c r="S167" s="780">
        <v>394.95185634285707</v>
      </c>
      <c r="T167" s="780">
        <v>196.54171534285712</v>
      </c>
      <c r="U167" s="780">
        <v>45.88742882857143</v>
      </c>
      <c r="V167" s="780">
        <v>17.428035462857142</v>
      </c>
      <c r="W167" s="780">
        <v>2.5667143377142865</v>
      </c>
      <c r="X167" s="780">
        <v>130.17400032857142</v>
      </c>
      <c r="Y167" s="780">
        <v>32.804857528571425</v>
      </c>
    </row>
    <row r="168" spans="15:25">
      <c r="O168" s="277">
        <v>9</v>
      </c>
      <c r="P168" s="277">
        <v>9</v>
      </c>
      <c r="Q168" s="780">
        <v>22.826571600777726</v>
      </c>
      <c r="R168" s="780">
        <v>16.407857349940684</v>
      </c>
      <c r="S168" s="780">
        <v>266.61928667340914</v>
      </c>
      <c r="T168" s="780">
        <v>110.57742745535673</v>
      </c>
      <c r="U168" s="780">
        <v>28.721428462437206</v>
      </c>
      <c r="V168" s="780">
        <v>10.229164259774327</v>
      </c>
      <c r="W168" s="780">
        <v>1.7610000031334958</v>
      </c>
      <c r="X168" s="780">
        <v>94.120000566754854</v>
      </c>
      <c r="Y168" s="780">
        <v>24.390714100428941</v>
      </c>
    </row>
    <row r="169" spans="15:25">
      <c r="P169" s="582"/>
      <c r="Q169" s="751"/>
      <c r="R169" s="751"/>
      <c r="S169" s="751"/>
      <c r="T169" s="751"/>
      <c r="U169" s="751"/>
      <c r="V169" s="751"/>
      <c r="W169" s="751"/>
      <c r="X169" s="751"/>
      <c r="Y169" s="751"/>
    </row>
    <row r="170" spans="15:25">
      <c r="P170" s="582"/>
      <c r="Q170" s="277" t="s">
        <v>555</v>
      </c>
      <c r="R170" s="277" t="s">
        <v>556</v>
      </c>
      <c r="S170" s="277" t="s">
        <v>259</v>
      </c>
      <c r="T170" s="277" t="s">
        <v>260</v>
      </c>
      <c r="U170" s="277" t="s">
        <v>261</v>
      </c>
      <c r="V170" s="277" t="s">
        <v>262</v>
      </c>
      <c r="W170" s="277" t="s">
        <v>559</v>
      </c>
      <c r="X170" s="277" t="s">
        <v>560</v>
      </c>
      <c r="Y170" s="277" t="s">
        <v>561</v>
      </c>
    </row>
    <row r="171" spans="15:25">
      <c r="P171" s="582"/>
      <c r="Q171" s="751"/>
      <c r="R171" s="751"/>
      <c r="S171" s="751"/>
      <c r="T171" s="751"/>
      <c r="U171" s="751"/>
      <c r="V171" s="751"/>
      <c r="W171" s="751"/>
      <c r="X171" s="751"/>
      <c r="Y171" s="751"/>
    </row>
    <row r="172" spans="15:25">
      <c r="P172" s="582"/>
      <c r="Q172" s="751"/>
      <c r="R172" s="751"/>
      <c r="S172" s="751"/>
      <c r="T172" s="751"/>
      <c r="U172" s="751"/>
      <c r="V172" s="751"/>
      <c r="W172" s="751"/>
      <c r="X172" s="751"/>
      <c r="Y172" s="751"/>
    </row>
    <row r="173" spans="15:25">
      <c r="P173" s="582"/>
      <c r="Q173" s="751"/>
      <c r="R173" s="751"/>
      <c r="S173" s="751"/>
      <c r="T173" s="751"/>
      <c r="U173" s="751"/>
      <c r="V173" s="751"/>
      <c r="W173" s="751"/>
      <c r="X173" s="751"/>
      <c r="Y173" s="751"/>
    </row>
    <row r="174" spans="15:25">
      <c r="P174" s="582"/>
      <c r="Q174" s="751"/>
      <c r="R174" s="751"/>
      <c r="S174" s="751"/>
      <c r="T174" s="751"/>
      <c r="U174" s="751"/>
      <c r="V174" s="751"/>
      <c r="W174" s="751"/>
      <c r="X174" s="751"/>
      <c r="Y174" s="751"/>
    </row>
    <row r="175" spans="15:25">
      <c r="P175" s="582"/>
      <c r="Q175" s="751"/>
      <c r="R175" s="751"/>
      <c r="S175" s="751"/>
      <c r="T175" s="751"/>
      <c r="U175" s="751"/>
      <c r="V175" s="751"/>
      <c r="W175" s="751"/>
      <c r="X175" s="751"/>
      <c r="Y175" s="751"/>
    </row>
    <row r="176" spans="15:25">
      <c r="P176" s="582"/>
      <c r="Q176" s="751"/>
      <c r="R176" s="751"/>
      <c r="S176" s="751"/>
      <c r="T176" s="751"/>
      <c r="U176" s="751"/>
      <c r="V176" s="751"/>
      <c r="W176" s="751"/>
      <c r="X176" s="751"/>
      <c r="Y176" s="751"/>
    </row>
    <row r="177" spans="16:25">
      <c r="P177" s="582"/>
      <c r="Q177" s="751"/>
      <c r="R177" s="751"/>
      <c r="S177" s="751"/>
      <c r="T177" s="751"/>
      <c r="U177" s="751"/>
      <c r="V177" s="751"/>
      <c r="W177" s="751"/>
      <c r="X177" s="751"/>
      <c r="Y177" s="751"/>
    </row>
    <row r="178" spans="16:25">
      <c r="P178" s="582"/>
      <c r="Q178" s="751"/>
      <c r="R178" s="751"/>
      <c r="S178" s="751"/>
      <c r="T178" s="751"/>
      <c r="U178" s="751"/>
      <c r="V178" s="751"/>
      <c r="W178" s="751"/>
      <c r="X178" s="751"/>
      <c r="Y178" s="751"/>
    </row>
    <row r="179" spans="16:25">
      <c r="P179" s="582"/>
      <c r="Q179" s="751"/>
      <c r="R179" s="751"/>
      <c r="S179" s="751"/>
      <c r="T179" s="751"/>
      <c r="U179" s="751"/>
      <c r="V179" s="751"/>
      <c r="W179" s="751"/>
      <c r="X179" s="751"/>
      <c r="Y179" s="751"/>
    </row>
    <row r="180" spans="16:25">
      <c r="P180" s="582"/>
      <c r="Q180" s="751"/>
      <c r="R180" s="751"/>
      <c r="S180" s="751"/>
      <c r="T180" s="751"/>
      <c r="U180" s="751"/>
      <c r="V180" s="751"/>
      <c r="W180" s="751"/>
      <c r="X180" s="751"/>
      <c r="Y180" s="751"/>
    </row>
    <row r="181" spans="16:25">
      <c r="P181" s="582"/>
      <c r="Q181" s="751"/>
      <c r="R181" s="751"/>
      <c r="S181" s="751"/>
      <c r="T181" s="751"/>
      <c r="U181" s="751"/>
      <c r="V181" s="751"/>
      <c r="W181" s="751"/>
      <c r="X181" s="751"/>
      <c r="Y181" s="751"/>
    </row>
    <row r="182" spans="16:25">
      <c r="P182" s="582"/>
      <c r="Q182" s="751"/>
      <c r="R182" s="751"/>
      <c r="S182" s="751"/>
      <c r="T182" s="751"/>
      <c r="U182" s="751"/>
      <c r="V182" s="751"/>
      <c r="W182" s="751"/>
      <c r="X182" s="751"/>
      <c r="Y182" s="751"/>
    </row>
    <row r="183" spans="16:25">
      <c r="P183" s="582"/>
      <c r="Q183" s="751"/>
      <c r="R183" s="751"/>
      <c r="S183" s="751"/>
      <c r="T183" s="751"/>
      <c r="U183" s="751"/>
      <c r="V183" s="751"/>
      <c r="W183" s="751"/>
      <c r="X183" s="751"/>
      <c r="Y183" s="751"/>
    </row>
    <row r="184" spans="16:25">
      <c r="P184" s="582"/>
      <c r="Q184" s="751"/>
      <c r="R184" s="751"/>
      <c r="S184" s="751"/>
      <c r="T184" s="751"/>
      <c r="U184" s="751"/>
      <c r="V184" s="751"/>
      <c r="W184" s="751"/>
      <c r="X184" s="751"/>
      <c r="Y184" s="751"/>
    </row>
    <row r="185" spans="16:25">
      <c r="P185" s="582"/>
      <c r="Q185" s="751"/>
      <c r="R185" s="751"/>
      <c r="S185" s="751"/>
      <c r="T185" s="751"/>
      <c r="U185" s="751"/>
      <c r="V185" s="751"/>
      <c r="W185" s="751"/>
      <c r="X185" s="751"/>
      <c r="Y185" s="751"/>
    </row>
    <row r="186" spans="16:25">
      <c r="P186" s="582"/>
      <c r="Q186" s="751"/>
      <c r="R186" s="751"/>
      <c r="S186" s="751"/>
      <c r="T186" s="751"/>
      <c r="U186" s="751"/>
      <c r="V186" s="751"/>
      <c r="W186" s="751"/>
      <c r="X186" s="751"/>
      <c r="Y186" s="751"/>
    </row>
    <row r="187" spans="16:25">
      <c r="P187" s="582"/>
      <c r="Q187" s="751"/>
      <c r="R187" s="751"/>
      <c r="S187" s="751"/>
      <c r="T187" s="751"/>
      <c r="U187" s="751"/>
      <c r="V187" s="751"/>
      <c r="W187" s="751"/>
      <c r="X187" s="751"/>
      <c r="Y187" s="751"/>
    </row>
    <row r="188" spans="16:25">
      <c r="P188" s="582"/>
      <c r="Q188" s="751"/>
      <c r="R188" s="751"/>
      <c r="S188" s="751"/>
      <c r="T188" s="751"/>
      <c r="U188" s="751"/>
      <c r="V188" s="751"/>
      <c r="W188" s="751"/>
      <c r="X188" s="751"/>
      <c r="Y188" s="751"/>
    </row>
    <row r="189" spans="16:25">
      <c r="P189" s="582"/>
      <c r="Q189" s="751"/>
      <c r="R189" s="751"/>
      <c r="S189" s="751"/>
      <c r="T189" s="751"/>
      <c r="U189" s="751"/>
      <c r="V189" s="751"/>
      <c r="W189" s="751"/>
      <c r="X189" s="751"/>
      <c r="Y189" s="751"/>
    </row>
    <row r="190" spans="16:25">
      <c r="P190" s="582"/>
      <c r="Q190" s="751"/>
      <c r="R190" s="751"/>
      <c r="S190" s="751"/>
      <c r="T190" s="751"/>
      <c r="U190" s="751"/>
      <c r="V190" s="751"/>
      <c r="W190" s="751"/>
      <c r="X190" s="751"/>
      <c r="Y190" s="751"/>
    </row>
    <row r="191" spans="16:25">
      <c r="P191" s="582"/>
      <c r="Q191" s="751"/>
      <c r="R191" s="751"/>
      <c r="S191" s="751"/>
      <c r="T191" s="751"/>
      <c r="U191" s="751"/>
      <c r="V191" s="751"/>
      <c r="W191" s="751"/>
      <c r="X191" s="751"/>
      <c r="Y191" s="751"/>
    </row>
    <row r="192" spans="16:25">
      <c r="P192" s="582"/>
      <c r="Q192" s="751"/>
      <c r="R192" s="751"/>
      <c r="S192" s="751"/>
      <c r="T192" s="751"/>
      <c r="U192" s="751"/>
      <c r="V192" s="751"/>
      <c r="W192" s="751"/>
      <c r="X192" s="751"/>
      <c r="Y192" s="751"/>
    </row>
    <row r="193" spans="16:25">
      <c r="P193" s="582"/>
      <c r="Q193" s="751"/>
      <c r="R193" s="751"/>
      <c r="S193" s="751"/>
      <c r="T193" s="751"/>
      <c r="U193" s="751"/>
      <c r="V193" s="751"/>
      <c r="W193" s="751"/>
      <c r="X193" s="751"/>
      <c r="Y193" s="751"/>
    </row>
    <row r="194" spans="16:25">
      <c r="P194" s="582"/>
      <c r="Q194" s="751"/>
      <c r="R194" s="751"/>
      <c r="S194" s="751"/>
      <c r="T194" s="751"/>
      <c r="U194" s="751"/>
      <c r="V194" s="751"/>
      <c r="W194" s="751"/>
      <c r="X194" s="751"/>
      <c r="Y194" s="751"/>
    </row>
    <row r="195" spans="16:25">
      <c r="P195" s="582"/>
      <c r="Q195" s="751"/>
      <c r="R195" s="751"/>
      <c r="S195" s="751"/>
      <c r="T195" s="751"/>
      <c r="U195" s="751"/>
      <c r="V195" s="751"/>
      <c r="W195" s="751"/>
      <c r="X195" s="751"/>
      <c r="Y195" s="751"/>
    </row>
    <row r="196" spans="16:25">
      <c r="P196" s="582"/>
      <c r="Q196" s="751"/>
      <c r="R196" s="751"/>
      <c r="S196" s="751"/>
      <c r="T196" s="751"/>
      <c r="U196" s="751"/>
      <c r="V196" s="751"/>
      <c r="W196" s="751"/>
      <c r="X196" s="751"/>
      <c r="Y196" s="751"/>
    </row>
    <row r="197" spans="16:25">
      <c r="P197" s="582"/>
      <c r="Q197" s="751"/>
      <c r="R197" s="751"/>
      <c r="S197" s="751"/>
      <c r="T197" s="751"/>
      <c r="U197" s="751"/>
      <c r="V197" s="751"/>
      <c r="W197" s="751"/>
      <c r="X197" s="751"/>
      <c r="Y197" s="751"/>
    </row>
    <row r="198" spans="16:25">
      <c r="P198" s="582"/>
      <c r="Q198" s="751"/>
      <c r="R198" s="751"/>
      <c r="S198" s="751"/>
      <c r="T198" s="751"/>
      <c r="U198" s="751"/>
      <c r="V198" s="751"/>
      <c r="W198" s="751"/>
      <c r="X198" s="751"/>
      <c r="Y198" s="751"/>
    </row>
    <row r="199" spans="16:25">
      <c r="P199" s="582"/>
    </row>
  </sheetData>
  <mergeCells count="3">
    <mergeCell ref="A65:L65"/>
    <mergeCell ref="A40:L40"/>
    <mergeCell ref="A18:L18"/>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D14" sqref="D1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662"/>
    <col min="13" max="13" width="20.42578125" style="518" customWidth="1"/>
    <col min="14" max="15" width="9.28515625" style="277"/>
    <col min="16" max="19" width="9.28515625" style="662"/>
    <col min="20" max="21" width="9.28515625" style="546"/>
  </cols>
  <sheetData>
    <row r="1" spans="1:15" ht="11.25" customHeight="1"/>
    <row r="2" spans="1:15" ht="11.25" customHeight="1">
      <c r="A2" s="887" t="s">
        <v>429</v>
      </c>
      <c r="B2" s="887"/>
      <c r="C2" s="887"/>
      <c r="D2" s="887"/>
      <c r="E2" s="887"/>
      <c r="F2" s="887"/>
      <c r="G2" s="887"/>
      <c r="H2" s="887"/>
      <c r="I2" s="887"/>
      <c r="J2" s="887"/>
      <c r="K2" s="887"/>
    </row>
    <row r="3" spans="1:15" ht="11.25" customHeight="1">
      <c r="A3" s="18"/>
      <c r="B3" s="18"/>
      <c r="C3" s="18"/>
      <c r="D3" s="18"/>
      <c r="E3" s="18"/>
      <c r="F3" s="18"/>
      <c r="G3" s="18"/>
      <c r="H3" s="18"/>
      <c r="I3" s="18"/>
      <c r="J3" s="509"/>
      <c r="K3" s="509"/>
      <c r="L3" s="664"/>
    </row>
    <row r="4" spans="1:15" ht="11.25" customHeight="1">
      <c r="A4" s="873" t="s">
        <v>369</v>
      </c>
      <c r="B4" s="873"/>
      <c r="C4" s="873"/>
      <c r="D4" s="873"/>
      <c r="E4" s="873"/>
      <c r="F4" s="873"/>
      <c r="G4" s="873"/>
      <c r="H4" s="873"/>
      <c r="I4" s="183"/>
      <c r="J4" s="510"/>
      <c r="L4" s="664"/>
    </row>
    <row r="5" spans="1:15" ht="7.5" customHeight="1">
      <c r="A5" s="184"/>
      <c r="B5" s="184"/>
      <c r="C5" s="184"/>
      <c r="D5" s="184"/>
      <c r="E5" s="184"/>
      <c r="F5" s="184"/>
      <c r="G5" s="184"/>
      <c r="H5" s="184"/>
      <c r="I5" s="184"/>
      <c r="J5" s="511"/>
      <c r="L5" s="720"/>
    </row>
    <row r="6" spans="1:15" ht="11.25" customHeight="1">
      <c r="A6" s="184"/>
      <c r="B6" s="188" t="s">
        <v>370</v>
      </c>
      <c r="C6" s="184"/>
      <c r="D6" s="184"/>
      <c r="E6" s="184"/>
      <c r="F6" s="184"/>
      <c r="G6" s="184"/>
      <c r="H6" s="184"/>
      <c r="I6" s="184"/>
      <c r="J6" s="511"/>
      <c r="L6" s="721"/>
    </row>
    <row r="7" spans="1:15" ht="7.5" customHeight="1">
      <c r="A7" s="184"/>
      <c r="B7" s="185"/>
      <c r="C7" s="184"/>
      <c r="D7" s="184"/>
      <c r="E7" s="184"/>
      <c r="F7" s="184"/>
      <c r="G7" s="184"/>
      <c r="H7" s="184"/>
      <c r="I7" s="184"/>
      <c r="J7" s="511"/>
      <c r="L7" s="722"/>
    </row>
    <row r="8" spans="1:15" ht="21" customHeight="1">
      <c r="A8" s="184"/>
      <c r="B8" s="379" t="s">
        <v>159</v>
      </c>
      <c r="C8" s="380" t="s">
        <v>160</v>
      </c>
      <c r="D8" s="380" t="s">
        <v>161</v>
      </c>
      <c r="E8" s="380" t="s">
        <v>163</v>
      </c>
      <c r="F8" s="380" t="s">
        <v>162</v>
      </c>
      <c r="G8" s="381" t="s">
        <v>164</v>
      </c>
      <c r="H8" s="180"/>
      <c r="I8" s="180"/>
      <c r="J8" s="512"/>
      <c r="L8" s="723"/>
      <c r="M8" s="519" t="s">
        <v>160</v>
      </c>
      <c r="N8" s="547" t="str">
        <f>M8&amp;"
 ("&amp;ROUND(HLOOKUP(M8,$C$8:$G$9,2,0),2)&amp;" USD/MWh)"</f>
        <v>PIURA OESTE 220
 (35,23 USD/MWh)</v>
      </c>
    </row>
    <row r="9" spans="1:15" ht="18" customHeight="1">
      <c r="A9" s="184"/>
      <c r="B9" s="382" t="s">
        <v>165</v>
      </c>
      <c r="C9" s="266">
        <v>35.226555861767459</v>
      </c>
      <c r="D9" s="266">
        <v>34.380979089332442</v>
      </c>
      <c r="E9" s="266">
        <v>33.840521575427942</v>
      </c>
      <c r="F9" s="266">
        <v>33.511324949810927</v>
      </c>
      <c r="G9" s="266">
        <v>32.74187934730822</v>
      </c>
      <c r="H9" s="180"/>
      <c r="I9" s="180"/>
      <c r="J9" s="512"/>
      <c r="K9" s="512"/>
      <c r="L9" s="723"/>
      <c r="M9" s="519" t="s">
        <v>161</v>
      </c>
      <c r="N9" s="547" t="str">
        <f>M9&amp;"
("&amp;ROUND(HLOOKUP(M9,$C$8:$G$9,2,0),2)&amp;" USD/MWh)"</f>
        <v>CHICLAYO 220
(34,38 USD/MWh)</v>
      </c>
    </row>
    <row r="10" spans="1:15" ht="14.25" customHeight="1">
      <c r="A10" s="184"/>
      <c r="B10" s="911"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911"/>
      <c r="D10" s="911"/>
      <c r="E10" s="911"/>
      <c r="F10" s="911"/>
      <c r="G10" s="911"/>
      <c r="H10" s="911"/>
      <c r="I10" s="911"/>
      <c r="J10" s="512"/>
      <c r="K10" s="512"/>
      <c r="L10" s="723"/>
      <c r="M10" s="519" t="s">
        <v>163</v>
      </c>
      <c r="N10" s="547" t="str">
        <f>M10&amp;"
("&amp;ROUND(HLOOKUP(M10,$C$8:$G$9,2,0),2)&amp;" USD/MWh)"</f>
        <v>TRUJILLO 220
(33,84 USD/MWh)</v>
      </c>
    </row>
    <row r="11" spans="1:15" ht="11.25" customHeight="1">
      <c r="A11" s="184"/>
      <c r="B11" s="191"/>
      <c r="C11" s="180"/>
      <c r="D11" s="180"/>
      <c r="E11" s="180"/>
      <c r="F11" s="180"/>
      <c r="G11" s="180"/>
      <c r="H11" s="180"/>
      <c r="I11" s="180"/>
      <c r="J11" s="512"/>
      <c r="K11" s="512"/>
      <c r="L11" s="723"/>
      <c r="M11" s="519" t="s">
        <v>162</v>
      </c>
      <c r="N11" s="547" t="str">
        <f>M11&amp;"
("&amp;ROUND(HLOOKUP(M11,$C$8:$G$9,2,0),2)&amp;" USD/MWh)"</f>
        <v>CHIMBOTE1 138
(33,51 USD/MWh)</v>
      </c>
    </row>
    <row r="12" spans="1:15" ht="11.25" customHeight="1">
      <c r="A12" s="184"/>
      <c r="B12" s="180"/>
      <c r="C12" s="180"/>
      <c r="D12" s="180"/>
      <c r="E12" s="180"/>
      <c r="F12" s="180"/>
      <c r="G12" s="180"/>
      <c r="H12" s="180"/>
      <c r="I12" s="180"/>
      <c r="J12" s="512"/>
      <c r="K12" s="512"/>
      <c r="L12" s="724"/>
      <c r="M12" s="519" t="s">
        <v>164</v>
      </c>
      <c r="N12" s="547" t="str">
        <f>M12&amp;"
("&amp;ROUND(HLOOKUP(M12,$C$8:$G$9,2,0),2)&amp;" USD/MWh)"</f>
        <v>CAJAMARCA 220
(32,74 USD/MWh)</v>
      </c>
    </row>
    <row r="13" spans="1:15" ht="11.25" customHeight="1">
      <c r="A13" s="184"/>
      <c r="B13" s="180"/>
      <c r="C13" s="180"/>
      <c r="D13" s="180"/>
      <c r="E13" s="180"/>
      <c r="F13" s="180"/>
      <c r="G13" s="180"/>
      <c r="H13" s="180"/>
      <c r="I13" s="180"/>
      <c r="J13" s="512"/>
      <c r="K13" s="512"/>
      <c r="L13" s="723"/>
      <c r="M13" s="519"/>
      <c r="N13" s="547"/>
      <c r="O13" s="519"/>
    </row>
    <row r="14" spans="1:15" ht="11.25" customHeight="1">
      <c r="A14" s="184"/>
      <c r="B14" s="180"/>
      <c r="C14" s="180"/>
      <c r="D14" s="180"/>
      <c r="E14" s="180"/>
      <c r="F14" s="180"/>
      <c r="G14" s="180"/>
      <c r="H14" s="180"/>
      <c r="I14" s="180"/>
      <c r="J14" s="512"/>
      <c r="K14" s="512"/>
      <c r="L14" s="723"/>
      <c r="M14" s="519" t="s">
        <v>423</v>
      </c>
      <c r="N14" s="547" t="str">
        <f>M14&amp;"
("&amp;ROUND(HLOOKUP(M14,$C$26:$I$27,2,0),2)&amp;" USD/MWh)"</f>
        <v>CHAVARRIA 220
(30,42 USD/MWh)</v>
      </c>
    </row>
    <row r="15" spans="1:15" ht="11.25" customHeight="1">
      <c r="A15" s="184"/>
      <c r="B15" s="180"/>
      <c r="C15" s="180"/>
      <c r="D15" s="180"/>
      <c r="E15" s="180"/>
      <c r="F15" s="180"/>
      <c r="G15" s="180"/>
      <c r="H15" s="180"/>
      <c r="I15" s="180"/>
      <c r="J15" s="512"/>
      <c r="K15" s="512"/>
      <c r="L15" s="723"/>
      <c r="M15" s="519" t="s">
        <v>168</v>
      </c>
      <c r="N15" s="547" t="str">
        <f t="shared" ref="N15:N20" si="0">M15&amp;"
("&amp;ROUND(HLOOKUP(M15,$C$26:$I$27,2,0),2)&amp;" USD/MWh)"</f>
        <v>INDEPENDENCIA 220
(30,26 USD/MWh)</v>
      </c>
    </row>
    <row r="16" spans="1:15" ht="11.25" customHeight="1">
      <c r="A16" s="184"/>
      <c r="B16" s="180"/>
      <c r="C16" s="180"/>
      <c r="D16" s="180"/>
      <c r="E16" s="180"/>
      <c r="F16" s="180"/>
      <c r="G16" s="180"/>
      <c r="H16" s="180"/>
      <c r="I16" s="180"/>
      <c r="J16" s="512"/>
      <c r="K16" s="512"/>
      <c r="L16" s="723"/>
      <c r="M16" s="519" t="s">
        <v>169</v>
      </c>
      <c r="N16" s="547" t="str">
        <f t="shared" si="0"/>
        <v>CARABAYLLO 220
(30,39 USD/MWh)</v>
      </c>
    </row>
    <row r="17" spans="1:14" ht="11.25" customHeight="1">
      <c r="A17" s="184"/>
      <c r="B17" s="180"/>
      <c r="C17" s="180"/>
      <c r="D17" s="180"/>
      <c r="E17" s="180"/>
      <c r="F17" s="180"/>
      <c r="G17" s="180"/>
      <c r="H17" s="180"/>
      <c r="I17" s="180"/>
      <c r="J17" s="512"/>
      <c r="K17" s="512"/>
      <c r="L17" s="723"/>
      <c r="M17" s="519" t="s">
        <v>166</v>
      </c>
      <c r="N17" s="547" t="str">
        <f t="shared" si="0"/>
        <v>SANTA ROSA 220
(30,32 USD/MWh)</v>
      </c>
    </row>
    <row r="18" spans="1:14" ht="11.25" customHeight="1">
      <c r="A18" s="184"/>
      <c r="B18" s="180"/>
      <c r="C18" s="180"/>
      <c r="D18" s="180"/>
      <c r="E18" s="180"/>
      <c r="F18" s="180"/>
      <c r="G18" s="180"/>
      <c r="H18" s="180"/>
      <c r="I18" s="180"/>
      <c r="J18" s="512"/>
      <c r="K18" s="512"/>
      <c r="L18" s="723"/>
      <c r="M18" s="519" t="s">
        <v>167</v>
      </c>
      <c r="N18" s="547" t="str">
        <f t="shared" si="0"/>
        <v>SAN JUAN 220
(30,09 USD/MWh)</v>
      </c>
    </row>
    <row r="19" spans="1:14" ht="11.25" customHeight="1">
      <c r="A19" s="184"/>
      <c r="B19" s="180"/>
      <c r="C19" s="180"/>
      <c r="D19" s="180"/>
      <c r="E19" s="180"/>
      <c r="F19" s="180"/>
      <c r="G19" s="180"/>
      <c r="H19" s="180"/>
      <c r="I19" s="180"/>
      <c r="J19" s="512"/>
      <c r="K19" s="512"/>
      <c r="L19" s="725"/>
      <c r="M19" s="519" t="s">
        <v>170</v>
      </c>
      <c r="N19" s="547" t="str">
        <f t="shared" si="0"/>
        <v>POMACOCHA 220
(29,31 USD/MWh)</v>
      </c>
    </row>
    <row r="20" spans="1:14" ht="11.25" customHeight="1">
      <c r="A20" s="184"/>
      <c r="B20" s="190"/>
      <c r="C20" s="190"/>
      <c r="D20" s="190"/>
      <c r="E20" s="190"/>
      <c r="F20" s="190"/>
      <c r="G20" s="180"/>
      <c r="H20" s="180"/>
      <c r="I20" s="180"/>
      <c r="J20" s="512"/>
      <c r="K20" s="512"/>
      <c r="L20" s="723"/>
      <c r="M20" s="519" t="s">
        <v>171</v>
      </c>
      <c r="N20" s="547" t="str">
        <f t="shared" si="0"/>
        <v>OROYA NUEVA 50
(28,89 USD/MWh)</v>
      </c>
    </row>
    <row r="21" spans="1:14" ht="11.25" customHeight="1">
      <c r="A21" s="184"/>
      <c r="B21" s="912" t="str">
        <f>"Gráfico N°20: Costos marginales medios registrados en las principales barras del área norte durante el mes de "&amp;'1. Resumen'!Q4</f>
        <v>Gráfico N°20: Costos marginales medios registrados en las principales barras del área norte durante el mes de febrero</v>
      </c>
      <c r="C21" s="912"/>
      <c r="D21" s="912"/>
      <c r="E21" s="912"/>
      <c r="F21" s="912"/>
      <c r="G21" s="912"/>
      <c r="H21" s="912"/>
      <c r="I21" s="912"/>
      <c r="J21" s="512"/>
      <c r="K21" s="512"/>
      <c r="L21" s="723"/>
      <c r="M21" s="519"/>
      <c r="N21" s="547"/>
    </row>
    <row r="22" spans="1:14" ht="7.5" customHeight="1">
      <c r="A22" s="184"/>
      <c r="B22" s="186"/>
      <c r="C22" s="186"/>
      <c r="D22" s="186"/>
      <c r="E22" s="186"/>
      <c r="F22" s="186"/>
      <c r="G22" s="184"/>
      <c r="H22" s="184"/>
      <c r="I22" s="184"/>
      <c r="J22" s="511"/>
      <c r="K22" s="511"/>
      <c r="L22" s="721"/>
      <c r="M22" s="519"/>
      <c r="N22" s="547"/>
    </row>
    <row r="23" spans="1:14" ht="11.25" customHeight="1">
      <c r="A23" s="184"/>
      <c r="B23" s="186"/>
      <c r="C23" s="186"/>
      <c r="D23" s="186"/>
      <c r="E23" s="186"/>
      <c r="F23" s="186"/>
      <c r="G23" s="184"/>
      <c r="H23" s="184"/>
      <c r="I23" s="184"/>
      <c r="J23" s="511"/>
      <c r="K23" s="511"/>
      <c r="L23" s="726"/>
      <c r="M23" s="519" t="s">
        <v>172</v>
      </c>
      <c r="N23" s="547" t="str">
        <f t="shared" ref="N23:N29" si="1">M23&amp;"
("&amp;ROUND(HLOOKUP(M23,$C$45:$I$46,2,0),2)&amp;" USD/MWh)"</f>
        <v>TINTAYA NUEVA 220
(32,16 USD/MWh)</v>
      </c>
    </row>
    <row r="24" spans="1:14" ht="11.25" customHeight="1">
      <c r="A24" s="184"/>
      <c r="B24" s="189" t="s">
        <v>371</v>
      </c>
      <c r="C24" s="186"/>
      <c r="D24" s="186"/>
      <c r="E24" s="186"/>
      <c r="F24" s="186"/>
      <c r="G24" s="184"/>
      <c r="H24" s="184"/>
      <c r="I24" s="184"/>
      <c r="J24" s="511"/>
      <c r="K24" s="511"/>
      <c r="L24" s="721"/>
      <c r="M24" s="519" t="s">
        <v>173</v>
      </c>
      <c r="N24" s="547" t="str">
        <f t="shared" si="1"/>
        <v>PUNO 138
(31,96 USD/MWh)</v>
      </c>
    </row>
    <row r="25" spans="1:14" ht="6.75" customHeight="1">
      <c r="A25" s="184"/>
      <c r="B25" s="186"/>
      <c r="C25" s="186"/>
      <c r="D25" s="186"/>
      <c r="E25" s="186"/>
      <c r="F25" s="186"/>
      <c r="G25" s="184"/>
      <c r="H25" s="184"/>
      <c r="I25" s="184"/>
      <c r="J25" s="511"/>
      <c r="K25" s="511"/>
      <c r="L25" s="721"/>
      <c r="M25" s="519" t="s">
        <v>174</v>
      </c>
      <c r="N25" s="547" t="str">
        <f t="shared" si="1"/>
        <v>SOCABAYA 220
(31,71 USD/MWh)</v>
      </c>
    </row>
    <row r="26" spans="1:14" ht="25.5" customHeight="1">
      <c r="A26" s="184"/>
      <c r="B26" s="383" t="s">
        <v>159</v>
      </c>
      <c r="C26" s="380" t="s">
        <v>423</v>
      </c>
      <c r="D26" s="380" t="s">
        <v>166</v>
      </c>
      <c r="E26" s="380" t="s">
        <v>169</v>
      </c>
      <c r="F26" s="380" t="s">
        <v>167</v>
      </c>
      <c r="G26" s="380" t="s">
        <v>168</v>
      </c>
      <c r="H26" s="380" t="s">
        <v>170</v>
      </c>
      <c r="I26" s="381" t="s">
        <v>171</v>
      </c>
      <c r="J26" s="514"/>
      <c r="K26" s="512"/>
      <c r="L26" s="723"/>
      <c r="M26" s="519" t="s">
        <v>175</v>
      </c>
      <c r="N26" s="547" t="str">
        <f t="shared" si="1"/>
        <v>MOQUEGUA 138
(31,85 USD/MWh)</v>
      </c>
    </row>
    <row r="27" spans="1:14" ht="18" customHeight="1">
      <c r="A27" s="184"/>
      <c r="B27" s="384" t="s">
        <v>165</v>
      </c>
      <c r="C27" s="266">
        <v>30.41770899555512</v>
      </c>
      <c r="D27" s="266">
        <v>30.32472782503752</v>
      </c>
      <c r="E27" s="266">
        <v>30.389849925790561</v>
      </c>
      <c r="F27" s="266">
        <v>30.092480754358871</v>
      </c>
      <c r="G27" s="266">
        <v>30.26497724268842</v>
      </c>
      <c r="H27" s="266">
        <v>29.306756680805528</v>
      </c>
      <c r="I27" s="266">
        <v>28.893326069006974</v>
      </c>
      <c r="J27" s="515"/>
      <c r="K27" s="512"/>
      <c r="L27" s="723"/>
      <c r="M27" s="519" t="s">
        <v>176</v>
      </c>
      <c r="N27" s="547" t="str">
        <f t="shared" si="1"/>
        <v>DOLORESPATA 138
(30,02 USD/MWh)</v>
      </c>
    </row>
    <row r="28" spans="1:14" ht="19.5" customHeight="1">
      <c r="A28" s="184"/>
      <c r="B28" s="913"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913"/>
      <c r="D28" s="913"/>
      <c r="E28" s="913"/>
      <c r="F28" s="913"/>
      <c r="G28" s="913"/>
      <c r="H28" s="913"/>
      <c r="I28" s="913"/>
      <c r="J28" s="512"/>
      <c r="K28" s="512"/>
      <c r="L28" s="723"/>
      <c r="M28" s="519" t="s">
        <v>177</v>
      </c>
      <c r="N28" s="547" t="str">
        <f t="shared" si="1"/>
        <v>COTARUSE 220
(30,12 USD/MWh)</v>
      </c>
    </row>
    <row r="29" spans="1:14" ht="11.25" customHeight="1">
      <c r="A29" s="184"/>
      <c r="B29" s="190"/>
      <c r="C29" s="190"/>
      <c r="D29" s="190"/>
      <c r="E29" s="190"/>
      <c r="F29" s="190"/>
      <c r="G29" s="190"/>
      <c r="H29" s="190"/>
      <c r="I29" s="190"/>
      <c r="J29" s="516"/>
      <c r="K29" s="516"/>
      <c r="L29" s="723"/>
      <c r="M29" s="519" t="s">
        <v>178</v>
      </c>
      <c r="N29" s="547" t="str">
        <f t="shared" si="1"/>
        <v>SAN GABAN 138
(27,63 USD/MWh)</v>
      </c>
    </row>
    <row r="30" spans="1:14" ht="11.25" customHeight="1">
      <c r="A30" s="184"/>
      <c r="B30" s="190"/>
      <c r="C30" s="190"/>
      <c r="D30" s="190"/>
      <c r="E30" s="190"/>
      <c r="F30" s="190"/>
      <c r="G30" s="190"/>
      <c r="H30" s="190"/>
      <c r="I30" s="190"/>
      <c r="J30" s="516"/>
      <c r="K30" s="516"/>
      <c r="L30" s="723"/>
      <c r="M30" s="519"/>
      <c r="N30" s="548"/>
    </row>
    <row r="31" spans="1:14" ht="11.25" customHeight="1">
      <c r="A31" s="184"/>
      <c r="B31" s="190"/>
      <c r="C31" s="190"/>
      <c r="D31" s="190"/>
      <c r="E31" s="190"/>
      <c r="F31" s="190"/>
      <c r="G31" s="190"/>
      <c r="H31" s="190"/>
      <c r="I31" s="190"/>
      <c r="J31" s="516"/>
      <c r="K31" s="516"/>
      <c r="L31" s="723"/>
      <c r="M31" s="519"/>
      <c r="N31" s="548"/>
    </row>
    <row r="32" spans="1:14" ht="11.25" customHeight="1">
      <c r="A32" s="184"/>
      <c r="B32" s="190"/>
      <c r="C32" s="190"/>
      <c r="D32" s="190"/>
      <c r="E32" s="190"/>
      <c r="F32" s="190"/>
      <c r="G32" s="190"/>
      <c r="H32" s="190"/>
      <c r="I32" s="190"/>
      <c r="J32" s="516"/>
      <c r="K32" s="516"/>
      <c r="L32" s="723"/>
      <c r="M32" s="519"/>
    </row>
    <row r="33" spans="1:12" ht="11.25" customHeight="1">
      <c r="A33" s="184"/>
      <c r="B33" s="190"/>
      <c r="C33" s="190"/>
      <c r="D33" s="190"/>
      <c r="E33" s="190"/>
      <c r="F33" s="190"/>
      <c r="G33" s="190"/>
      <c r="H33" s="190"/>
      <c r="I33" s="190"/>
      <c r="J33" s="516"/>
      <c r="K33" s="516"/>
      <c r="L33" s="723"/>
    </row>
    <row r="34" spans="1:12" ht="11.25" customHeight="1">
      <c r="A34" s="184"/>
      <c r="B34" s="190"/>
      <c r="C34" s="190"/>
      <c r="D34" s="190"/>
      <c r="E34" s="190"/>
      <c r="F34" s="190"/>
      <c r="G34" s="190"/>
      <c r="H34" s="190"/>
      <c r="I34" s="190"/>
      <c r="J34" s="516"/>
      <c r="K34" s="516"/>
      <c r="L34" s="723"/>
    </row>
    <row r="35" spans="1:12" ht="11.25" customHeight="1">
      <c r="A35" s="184"/>
      <c r="B35" s="190"/>
      <c r="C35" s="190"/>
      <c r="D35" s="190"/>
      <c r="E35" s="190"/>
      <c r="F35" s="190"/>
      <c r="G35" s="190"/>
      <c r="H35" s="190"/>
      <c r="I35" s="190"/>
      <c r="J35" s="516"/>
      <c r="K35" s="516"/>
      <c r="L35" s="719"/>
    </row>
    <row r="36" spans="1:12" ht="11.25" customHeight="1">
      <c r="A36" s="184"/>
      <c r="B36" s="190"/>
      <c r="C36" s="190"/>
      <c r="D36" s="190"/>
      <c r="E36" s="190"/>
      <c r="F36" s="190"/>
      <c r="G36" s="190"/>
      <c r="H36" s="190"/>
      <c r="I36" s="190"/>
      <c r="J36" s="516"/>
      <c r="K36" s="516"/>
      <c r="L36" s="723"/>
    </row>
    <row r="37" spans="1:12" ht="11.25" customHeight="1">
      <c r="A37" s="184"/>
      <c r="B37" s="190"/>
      <c r="C37" s="190"/>
      <c r="D37" s="190"/>
      <c r="E37" s="190"/>
      <c r="F37" s="190"/>
      <c r="G37" s="190"/>
      <c r="H37" s="190"/>
      <c r="I37" s="190"/>
      <c r="J37" s="516"/>
      <c r="K37" s="516"/>
      <c r="L37" s="723"/>
    </row>
    <row r="38" spans="1:12" ht="11.25" customHeight="1">
      <c r="A38" s="184"/>
      <c r="B38" s="190"/>
      <c r="C38" s="190"/>
      <c r="D38" s="190"/>
      <c r="E38" s="190"/>
      <c r="F38" s="190"/>
      <c r="G38" s="190"/>
      <c r="H38" s="190"/>
      <c r="I38" s="190"/>
      <c r="J38" s="516"/>
      <c r="K38" s="516"/>
      <c r="L38" s="723"/>
    </row>
    <row r="39" spans="1:12" ht="11.25" customHeight="1">
      <c r="A39" s="184"/>
      <c r="B39" s="190"/>
      <c r="C39" s="190"/>
      <c r="D39" s="190"/>
      <c r="E39" s="190"/>
      <c r="F39" s="190"/>
      <c r="G39" s="190"/>
      <c r="H39" s="190"/>
      <c r="I39" s="190"/>
      <c r="J39" s="516"/>
      <c r="K39" s="516"/>
      <c r="L39" s="723"/>
    </row>
    <row r="40" spans="1:12" ht="13.5" customHeight="1">
      <c r="A40" s="184"/>
      <c r="B40" s="911" t="str">
        <f>"Gráfico N°21: Costos marginales medios registrados en las principales barras del área centro durante el mes de "&amp;'1. Resumen'!Q4</f>
        <v>Gráfico N°21: Costos marginales medios registrados en las principales barras del área centro durante el mes de febrero</v>
      </c>
      <c r="C40" s="911"/>
      <c r="D40" s="911"/>
      <c r="E40" s="911"/>
      <c r="F40" s="911"/>
      <c r="G40" s="911"/>
      <c r="H40" s="911"/>
      <c r="I40" s="911"/>
      <c r="J40" s="516"/>
      <c r="K40" s="516"/>
      <c r="L40" s="723"/>
    </row>
    <row r="41" spans="1:12" ht="6.75" customHeight="1">
      <c r="A41" s="184"/>
      <c r="B41" s="190"/>
      <c r="C41" s="190"/>
      <c r="D41" s="190"/>
      <c r="E41" s="190"/>
      <c r="F41" s="190"/>
      <c r="G41" s="190"/>
      <c r="H41" s="190"/>
      <c r="I41" s="190"/>
      <c r="J41" s="516"/>
      <c r="K41" s="516"/>
      <c r="L41" s="723"/>
    </row>
    <row r="42" spans="1:12" ht="8.25" customHeight="1">
      <c r="A42" s="184"/>
      <c r="B42" s="186"/>
      <c r="C42" s="186"/>
      <c r="D42" s="186"/>
      <c r="E42" s="186"/>
      <c r="F42" s="186"/>
      <c r="G42" s="186"/>
      <c r="H42" s="186"/>
      <c r="I42" s="186"/>
      <c r="J42" s="517"/>
      <c r="K42" s="517"/>
      <c r="L42" s="727"/>
    </row>
    <row r="43" spans="1:12" ht="11.25" customHeight="1">
      <c r="A43" s="184"/>
      <c r="B43" s="189" t="s">
        <v>372</v>
      </c>
      <c r="C43" s="186"/>
      <c r="D43" s="186"/>
      <c r="E43" s="186"/>
      <c r="F43" s="186"/>
      <c r="G43" s="186"/>
      <c r="H43" s="186"/>
      <c r="I43" s="186"/>
      <c r="J43" s="517"/>
      <c r="K43" s="517"/>
      <c r="L43" s="727"/>
    </row>
    <row r="44" spans="1:12" ht="6.75" customHeight="1">
      <c r="A44" s="184"/>
      <c r="B44" s="186"/>
      <c r="C44" s="186"/>
      <c r="D44" s="186"/>
      <c r="E44" s="186"/>
      <c r="F44" s="186"/>
      <c r="G44" s="186"/>
      <c r="H44" s="186"/>
      <c r="I44" s="186"/>
      <c r="J44" s="517"/>
      <c r="K44" s="517"/>
      <c r="L44" s="727"/>
    </row>
    <row r="45" spans="1:12" ht="27" customHeight="1">
      <c r="A45" s="184"/>
      <c r="B45" s="383" t="s">
        <v>159</v>
      </c>
      <c r="C45" s="380" t="s">
        <v>172</v>
      </c>
      <c r="D45" s="380" t="s">
        <v>174</v>
      </c>
      <c r="E45" s="380" t="s">
        <v>175</v>
      </c>
      <c r="F45" s="380" t="s">
        <v>173</v>
      </c>
      <c r="G45" s="380" t="s">
        <v>176</v>
      </c>
      <c r="H45" s="380" t="s">
        <v>177</v>
      </c>
      <c r="I45" s="381" t="s">
        <v>178</v>
      </c>
      <c r="J45" s="514"/>
      <c r="K45" s="516"/>
    </row>
    <row r="46" spans="1:12" ht="18.75" customHeight="1">
      <c r="A46" s="184"/>
      <c r="B46" s="384" t="s">
        <v>165</v>
      </c>
      <c r="C46" s="266">
        <v>32.158593256702318</v>
      </c>
      <c r="D46" s="266">
        <v>31.707420775918671</v>
      </c>
      <c r="E46" s="266">
        <v>31.847581132241288</v>
      </c>
      <c r="F46" s="266">
        <v>31.956350256998945</v>
      </c>
      <c r="G46" s="266">
        <v>30.020724506702177</v>
      </c>
      <c r="H46" s="266">
        <v>30.117162128366836</v>
      </c>
      <c r="I46" s="266">
        <v>27.625633695202168</v>
      </c>
      <c r="J46" s="515"/>
      <c r="K46" s="516"/>
    </row>
    <row r="47" spans="1:12" ht="18" customHeight="1">
      <c r="A47" s="184"/>
      <c r="B47" s="913"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913"/>
      <c r="D47" s="913"/>
      <c r="E47" s="913"/>
      <c r="F47" s="913"/>
      <c r="G47" s="913"/>
      <c r="H47" s="913"/>
      <c r="I47" s="913"/>
      <c r="J47" s="515"/>
      <c r="K47" s="516"/>
    </row>
    <row r="48" spans="1:12" ht="13.2">
      <c r="A48" s="184"/>
      <c r="B48" s="190"/>
      <c r="C48" s="190"/>
      <c r="D48" s="190"/>
      <c r="E48" s="190"/>
      <c r="F48" s="190"/>
      <c r="G48" s="180"/>
      <c r="H48" s="180"/>
      <c r="I48" s="180"/>
      <c r="J48" s="512"/>
      <c r="K48" s="516"/>
    </row>
    <row r="49" spans="1:11" ht="13.2">
      <c r="A49" s="184"/>
      <c r="B49" s="180"/>
      <c r="C49" s="180"/>
      <c r="D49" s="180"/>
      <c r="E49" s="180"/>
      <c r="F49" s="180"/>
      <c r="G49" s="180"/>
      <c r="H49" s="180"/>
      <c r="I49" s="180"/>
      <c r="J49" s="512"/>
      <c r="K49" s="516"/>
    </row>
    <row r="50" spans="1:11" ht="13.2">
      <c r="A50" s="184"/>
      <c r="B50" s="111"/>
      <c r="C50" s="111"/>
      <c r="D50" s="111"/>
      <c r="E50" s="111"/>
      <c r="F50" s="111"/>
      <c r="G50" s="111"/>
      <c r="H50" s="111"/>
      <c r="I50" s="111"/>
      <c r="J50" s="46"/>
      <c r="K50" s="516"/>
    </row>
    <row r="51" spans="1:11" ht="13.2">
      <c r="A51" s="184"/>
      <c r="B51" s="111"/>
      <c r="C51" s="111"/>
      <c r="D51" s="111"/>
      <c r="E51" s="111"/>
      <c r="F51" s="111"/>
      <c r="G51" s="111"/>
      <c r="H51" s="111"/>
      <c r="I51" s="111"/>
      <c r="J51" s="46"/>
      <c r="K51" s="516"/>
    </row>
    <row r="52" spans="1:11" ht="13.2">
      <c r="A52" s="184"/>
      <c r="B52" s="111"/>
      <c r="C52" s="111"/>
      <c r="D52" s="111"/>
      <c r="E52" s="111"/>
      <c r="F52" s="111"/>
      <c r="G52" s="111"/>
      <c r="H52" s="111"/>
      <c r="I52" s="111"/>
      <c r="J52" s="46"/>
      <c r="K52" s="516"/>
    </row>
    <row r="53" spans="1:11" ht="13.2">
      <c r="A53" s="184"/>
      <c r="B53" s="111"/>
      <c r="C53" s="111"/>
      <c r="D53" s="111"/>
      <c r="E53" s="111"/>
      <c r="F53" s="111"/>
      <c r="G53" s="111"/>
      <c r="H53" s="111"/>
      <c r="I53" s="111"/>
      <c r="J53" s="46"/>
      <c r="K53" s="516"/>
    </row>
    <row r="54" spans="1:11" ht="13.2">
      <c r="A54" s="184"/>
      <c r="B54" s="111"/>
      <c r="C54" s="111"/>
      <c r="D54" s="111"/>
      <c r="E54" s="111"/>
      <c r="F54" s="111"/>
      <c r="G54" s="111"/>
      <c r="H54" s="111"/>
      <c r="I54" s="111"/>
      <c r="J54" s="46"/>
      <c r="K54" s="516"/>
    </row>
    <row r="55" spans="1:11" ht="13.2">
      <c r="A55" s="184"/>
      <c r="B55" s="111"/>
      <c r="C55" s="111"/>
      <c r="D55" s="111"/>
      <c r="E55" s="111"/>
      <c r="F55" s="111"/>
      <c r="G55" s="111"/>
      <c r="H55" s="111"/>
      <c r="I55" s="111"/>
      <c r="J55" s="46"/>
      <c r="K55" s="516"/>
    </row>
    <row r="56" spans="1:11" ht="13.2">
      <c r="A56" s="184"/>
      <c r="B56" s="180"/>
      <c r="C56" s="180"/>
      <c r="D56" s="180"/>
      <c r="E56" s="180"/>
      <c r="F56" s="180"/>
      <c r="G56" s="180"/>
      <c r="H56" s="180"/>
      <c r="I56" s="180"/>
      <c r="J56" s="512"/>
      <c r="K56" s="516"/>
    </row>
    <row r="57" spans="1:11" ht="13.2">
      <c r="A57" s="184"/>
      <c r="B57" s="180"/>
      <c r="C57" s="180"/>
      <c r="D57" s="180"/>
      <c r="E57" s="180"/>
      <c r="F57" s="180"/>
      <c r="G57" s="180"/>
      <c r="H57" s="180"/>
      <c r="I57" s="180"/>
      <c r="J57" s="512"/>
      <c r="K57" s="516"/>
    </row>
    <row r="58" spans="1:11" ht="13.2">
      <c r="A58" s="184"/>
      <c r="B58" s="911" t="str">
        <f>"Gráfico N°22: Costos marginales medios registrados en las principales barras del área sur durante el mes de "&amp;'1. Resumen'!Q4</f>
        <v>Gráfico N°22: Costos marginales medios registrados en las principales barras del área sur durante el mes de febrero</v>
      </c>
      <c r="C58" s="911"/>
      <c r="D58" s="911"/>
      <c r="E58" s="911"/>
      <c r="F58" s="911"/>
      <c r="G58" s="911"/>
      <c r="H58" s="911"/>
      <c r="I58" s="911"/>
      <c r="J58" s="512"/>
      <c r="K58" s="516"/>
    </row>
    <row r="59" spans="1:11" ht="13.2">
      <c r="A59" s="74"/>
      <c r="B59" s="136"/>
      <c r="C59" s="136"/>
      <c r="D59" s="136"/>
      <c r="E59" s="136"/>
      <c r="F59" s="136"/>
      <c r="G59" s="136"/>
      <c r="H59" s="180"/>
      <c r="I59" s="180"/>
      <c r="J59" s="512"/>
      <c r="K59" s="516"/>
    </row>
  </sheetData>
  <mergeCells count="8">
    <mergeCell ref="B58:I58"/>
    <mergeCell ref="B21:I21"/>
    <mergeCell ref="B10:I10"/>
    <mergeCell ref="A2:K2"/>
    <mergeCell ref="A4:H4"/>
    <mergeCell ref="B28:I28"/>
    <mergeCell ref="B47:I47"/>
    <mergeCell ref="B40:I40"/>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15" workbookViewId="0">
      <selection activeCell="D14" sqref="D14"/>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873" t="s">
        <v>374</v>
      </c>
      <c r="B2" s="873"/>
      <c r="C2" s="873"/>
      <c r="D2" s="873"/>
      <c r="E2" s="873"/>
      <c r="F2" s="873"/>
      <c r="G2" s="873"/>
      <c r="H2" s="873"/>
      <c r="I2" s="873"/>
      <c r="J2" s="873"/>
      <c r="K2" s="873"/>
      <c r="L2" s="873"/>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2"/>
  <sheetViews>
    <sheetView showGridLines="0" view="pageBreakPreview" zoomScaleNormal="100" zoomScaleSheetLayoutView="100" zoomScalePageLayoutView="115" workbookViewId="0">
      <selection activeCell="D14" sqref="D14"/>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32.4" customHeight="1">
      <c r="A2" s="914" t="s">
        <v>373</v>
      </c>
      <c r="B2" s="914"/>
      <c r="C2" s="914"/>
      <c r="D2" s="914"/>
      <c r="E2" s="914"/>
      <c r="F2" s="914"/>
      <c r="G2" s="914"/>
      <c r="H2" s="914"/>
      <c r="I2" s="203"/>
      <c r="J2" s="203"/>
      <c r="K2" s="203"/>
    </row>
    <row r="3" spans="1:12" ht="3" customHeight="1">
      <c r="A3" s="77"/>
      <c r="B3" s="77"/>
      <c r="C3" s="77"/>
      <c r="D3" s="77"/>
      <c r="E3" s="77"/>
      <c r="F3" s="77"/>
      <c r="G3" s="77"/>
      <c r="H3" s="77"/>
      <c r="I3" s="204"/>
      <c r="J3" s="204"/>
      <c r="K3" s="204"/>
      <c r="L3" s="36"/>
    </row>
    <row r="4" spans="1:12" ht="15" customHeight="1">
      <c r="A4" s="905" t="s">
        <v>420</v>
      </c>
      <c r="B4" s="905"/>
      <c r="C4" s="905"/>
      <c r="D4" s="905"/>
      <c r="E4" s="905"/>
      <c r="F4" s="905"/>
      <c r="G4" s="905"/>
      <c r="H4" s="905"/>
      <c r="I4" s="195"/>
      <c r="J4" s="195"/>
      <c r="K4" s="195"/>
      <c r="L4" s="36"/>
    </row>
    <row r="5" spans="1:12" ht="11.25" customHeight="1">
      <c r="A5" s="77"/>
      <c r="B5" s="164"/>
      <c r="C5" s="78"/>
      <c r="D5" s="79"/>
      <c r="E5" s="79"/>
      <c r="F5" s="80"/>
      <c r="G5" s="76"/>
      <c r="H5" s="76"/>
      <c r="I5" s="196"/>
      <c r="J5" s="196"/>
      <c r="K5" s="196"/>
      <c r="L5" s="205"/>
    </row>
    <row r="6" spans="1:12" ht="30.75" customHeight="1">
      <c r="A6" s="405" t="s">
        <v>179</v>
      </c>
      <c r="B6" s="403" t="s">
        <v>180</v>
      </c>
      <c r="C6" s="403" t="s">
        <v>181</v>
      </c>
      <c r="D6" s="402" t="str">
        <f>UPPER('1. Resumen'!Q4)&amp;"
 "&amp;'1. Resumen'!Q5</f>
        <v>FEBRERO
 2023</v>
      </c>
      <c r="E6" s="402" t="str">
        <f>UPPER('1. Resumen'!Q4)&amp;"
 "&amp;'1. Resumen'!Q5-1</f>
        <v>FEBRERO
 2022</v>
      </c>
      <c r="F6" s="402" t="str">
        <f>UPPER('1. Resumen'!Q4)&amp;"
 "&amp;'1. Resumen'!Q5-2</f>
        <v>FEBRERO
 2021</v>
      </c>
      <c r="G6" s="403" t="s">
        <v>689</v>
      </c>
      <c r="H6" s="404" t="s">
        <v>527</v>
      </c>
      <c r="I6" s="196"/>
      <c r="J6" s="196"/>
      <c r="K6" s="196"/>
      <c r="L6" s="166"/>
    </row>
    <row r="7" spans="1:12" ht="18" customHeight="1">
      <c r="A7" s="915" t="s">
        <v>574</v>
      </c>
      <c r="B7" s="577" t="s">
        <v>575</v>
      </c>
      <c r="C7" s="578" t="s">
        <v>576</v>
      </c>
      <c r="D7" s="579">
        <v>51.383333333333333</v>
      </c>
      <c r="E7" s="579">
        <v>4.5</v>
      </c>
      <c r="F7" s="579"/>
      <c r="G7" s="771">
        <f t="shared" ref="G7" si="0">+D7/E7-1</f>
        <v>10.418518518518518</v>
      </c>
      <c r="H7" s="771"/>
      <c r="I7" s="196"/>
      <c r="J7" s="196"/>
      <c r="K7" s="196"/>
      <c r="L7" s="58"/>
    </row>
    <row r="8" spans="1:12" ht="18" customHeight="1">
      <c r="A8" s="917"/>
      <c r="B8" s="577" t="s">
        <v>673</v>
      </c>
      <c r="C8" s="578" t="s">
        <v>674</v>
      </c>
      <c r="D8" s="579">
        <v>1.299999999999998</v>
      </c>
      <c r="E8" s="579"/>
      <c r="F8" s="579"/>
      <c r="G8" s="771"/>
      <c r="H8" s="771"/>
      <c r="I8" s="196"/>
      <c r="J8" s="196"/>
      <c r="K8" s="196"/>
      <c r="L8" s="58"/>
    </row>
    <row r="9" spans="1:12" ht="18" customHeight="1">
      <c r="A9" s="915" t="s">
        <v>182</v>
      </c>
      <c r="B9" s="577" t="s">
        <v>675</v>
      </c>
      <c r="C9" s="578" t="s">
        <v>676</v>
      </c>
      <c r="D9" s="579">
        <v>7.0666666666666647</v>
      </c>
      <c r="E9" s="579"/>
      <c r="F9" s="579"/>
      <c r="G9" s="771"/>
      <c r="H9" s="771"/>
      <c r="I9" s="196"/>
      <c r="J9" s="196"/>
      <c r="K9" s="196"/>
      <c r="L9" s="58"/>
    </row>
    <row r="10" spans="1:12" ht="18" customHeight="1">
      <c r="A10" s="916"/>
      <c r="B10" s="577" t="s">
        <v>550</v>
      </c>
      <c r="C10" s="578" t="s">
        <v>551</v>
      </c>
      <c r="D10" s="579"/>
      <c r="E10" s="579">
        <v>24.699999999999996</v>
      </c>
      <c r="F10" s="579"/>
      <c r="G10" s="771">
        <f t="shared" ref="G10" si="1">+D10/E10-1</f>
        <v>-1</v>
      </c>
      <c r="H10" s="771"/>
      <c r="I10" s="196"/>
      <c r="J10" s="196"/>
      <c r="K10" s="196"/>
      <c r="L10" s="58"/>
    </row>
    <row r="11" spans="1:12" ht="18" customHeight="1">
      <c r="A11" s="916"/>
      <c r="B11" s="577" t="s">
        <v>677</v>
      </c>
      <c r="C11" s="578" t="s">
        <v>678</v>
      </c>
      <c r="D11" s="579">
        <v>8.4833333333333343</v>
      </c>
      <c r="E11" s="579"/>
      <c r="F11" s="579"/>
      <c r="G11" s="771"/>
      <c r="H11" s="771"/>
      <c r="I11" s="196"/>
      <c r="J11" s="196"/>
      <c r="K11" s="196"/>
      <c r="L11" s="58"/>
    </row>
    <row r="12" spans="1:12" ht="18" customHeight="1">
      <c r="A12" s="916"/>
      <c r="B12" s="577" t="s">
        <v>679</v>
      </c>
      <c r="C12" s="578" t="s">
        <v>680</v>
      </c>
      <c r="D12" s="579">
        <v>1.0333333333333363</v>
      </c>
      <c r="E12" s="579">
        <v>18.983333333333334</v>
      </c>
      <c r="F12" s="579">
        <v>19.483333333333331</v>
      </c>
      <c r="G12" s="771">
        <f t="shared" ref="G12:G20" si="2">+D12/E12-1</f>
        <v>-0.94556628621597882</v>
      </c>
      <c r="H12" s="771">
        <f t="shared" ref="H12:H21" si="3">+E12/F12-1</f>
        <v>-2.5662959794696127E-2</v>
      </c>
      <c r="I12" s="196"/>
      <c r="J12" s="196"/>
      <c r="K12" s="196"/>
      <c r="L12" s="58"/>
    </row>
    <row r="13" spans="1:12" ht="18" customHeight="1">
      <c r="A13" s="916"/>
      <c r="B13" s="577" t="s">
        <v>545</v>
      </c>
      <c r="C13" s="578" t="s">
        <v>540</v>
      </c>
      <c r="D13" s="579"/>
      <c r="E13" s="579">
        <v>12.616666666666664</v>
      </c>
      <c r="F13" s="579">
        <v>134.45000000000002</v>
      </c>
      <c r="G13" s="771">
        <f t="shared" si="2"/>
        <v>-1</v>
      </c>
      <c r="H13" s="771">
        <f t="shared" si="3"/>
        <v>-0.90616090244204783</v>
      </c>
      <c r="I13" s="196"/>
      <c r="J13" s="196"/>
      <c r="K13" s="196"/>
      <c r="L13" s="58"/>
    </row>
    <row r="14" spans="1:12" ht="18" customHeight="1">
      <c r="A14" s="916"/>
      <c r="B14" s="577" t="s">
        <v>577</v>
      </c>
      <c r="C14" s="578" t="s">
        <v>578</v>
      </c>
      <c r="D14" s="579"/>
      <c r="E14" s="579">
        <v>8.25</v>
      </c>
      <c r="F14" s="579">
        <v>3.15</v>
      </c>
      <c r="G14" s="771">
        <f t="shared" si="2"/>
        <v>-1</v>
      </c>
      <c r="H14" s="771">
        <f t="shared" si="3"/>
        <v>1.6190476190476191</v>
      </c>
      <c r="I14" s="196"/>
      <c r="J14" s="196"/>
      <c r="K14" s="196"/>
      <c r="L14" s="58"/>
    </row>
    <row r="15" spans="1:12" ht="18" customHeight="1">
      <c r="A15" s="916"/>
      <c r="B15" s="577" t="s">
        <v>681</v>
      </c>
      <c r="C15" s="578" t="s">
        <v>682</v>
      </c>
      <c r="D15" s="579"/>
      <c r="E15" s="579">
        <v>0.4499999999999984</v>
      </c>
      <c r="F15" s="579"/>
      <c r="G15" s="771">
        <f t="shared" si="2"/>
        <v>-1</v>
      </c>
      <c r="H15" s="771"/>
      <c r="I15" s="196"/>
      <c r="J15" s="196"/>
      <c r="K15" s="196"/>
      <c r="L15" s="58"/>
    </row>
    <row r="16" spans="1:12" ht="18" customHeight="1">
      <c r="A16" s="916"/>
      <c r="B16" s="577" t="s">
        <v>539</v>
      </c>
      <c r="C16" s="578" t="s">
        <v>534</v>
      </c>
      <c r="D16" s="579"/>
      <c r="E16" s="579">
        <v>9.3999999999999968</v>
      </c>
      <c r="F16" s="579">
        <v>11.2</v>
      </c>
      <c r="G16" s="771">
        <f t="shared" si="2"/>
        <v>-1</v>
      </c>
      <c r="H16" s="771">
        <f t="shared" si="3"/>
        <v>-0.16071428571428592</v>
      </c>
      <c r="I16" s="196"/>
      <c r="J16" s="196"/>
      <c r="K16" s="196"/>
      <c r="L16" s="58"/>
    </row>
    <row r="17" spans="1:12" ht="18" customHeight="1">
      <c r="A17" s="916"/>
      <c r="B17" s="577" t="s">
        <v>683</v>
      </c>
      <c r="C17" s="578" t="s">
        <v>684</v>
      </c>
      <c r="D17" s="579"/>
      <c r="E17" s="579"/>
      <c r="F17" s="579">
        <v>3.1166666666666663</v>
      </c>
      <c r="G17" s="771"/>
      <c r="H17" s="771">
        <f t="shared" si="3"/>
        <v>-1</v>
      </c>
      <c r="I17" s="196"/>
      <c r="J17" s="196"/>
      <c r="K17" s="196"/>
      <c r="L17" s="58"/>
    </row>
    <row r="18" spans="1:12" ht="18" customHeight="1">
      <c r="A18" s="916"/>
      <c r="B18" s="577" t="s">
        <v>579</v>
      </c>
      <c r="C18" s="578" t="s">
        <v>580</v>
      </c>
      <c r="D18" s="579"/>
      <c r="E18" s="579"/>
      <c r="F18" s="579">
        <v>35.283333333333331</v>
      </c>
      <c r="G18" s="771"/>
      <c r="H18" s="771">
        <f t="shared" si="3"/>
        <v>-1</v>
      </c>
      <c r="I18" s="196"/>
      <c r="J18" s="196"/>
      <c r="K18" s="196"/>
      <c r="L18" s="58"/>
    </row>
    <row r="19" spans="1:12" ht="18" customHeight="1">
      <c r="A19" s="917"/>
      <c r="B19" s="577" t="s">
        <v>685</v>
      </c>
      <c r="C19" s="578" t="s">
        <v>686</v>
      </c>
      <c r="D19" s="579">
        <v>1.9499999999999984</v>
      </c>
      <c r="E19" s="579"/>
      <c r="F19" s="579"/>
      <c r="G19" s="771"/>
      <c r="H19" s="771"/>
      <c r="I19" s="196"/>
      <c r="J19" s="196"/>
      <c r="K19" s="196"/>
      <c r="L19" s="58"/>
    </row>
    <row r="20" spans="1:12" ht="18" customHeight="1">
      <c r="A20" s="915" t="s">
        <v>552</v>
      </c>
      <c r="B20" s="577" t="s">
        <v>687</v>
      </c>
      <c r="C20" s="578" t="s">
        <v>688</v>
      </c>
      <c r="D20" s="579"/>
      <c r="E20" s="579">
        <v>6.1166666666666663</v>
      </c>
      <c r="F20" s="579"/>
      <c r="G20" s="771">
        <f t="shared" si="2"/>
        <v>-1</v>
      </c>
      <c r="H20" s="771"/>
      <c r="I20" s="196"/>
      <c r="J20" s="196"/>
      <c r="K20" s="196"/>
      <c r="L20" s="58"/>
    </row>
    <row r="21" spans="1:12" ht="18" customHeight="1">
      <c r="A21" s="917"/>
      <c r="B21" s="577" t="s">
        <v>581</v>
      </c>
      <c r="C21" s="578" t="s">
        <v>582</v>
      </c>
      <c r="D21" s="579"/>
      <c r="E21" s="579"/>
      <c r="F21" s="579">
        <v>16.850000000000001</v>
      </c>
      <c r="G21" s="771"/>
      <c r="H21" s="771">
        <f t="shared" si="3"/>
        <v>-1</v>
      </c>
      <c r="I21" s="196"/>
      <c r="J21" s="196"/>
      <c r="K21" s="196"/>
      <c r="L21" s="58"/>
    </row>
    <row r="22" spans="1:12" ht="18.75" customHeight="1">
      <c r="A22" s="396" t="s">
        <v>183</v>
      </c>
      <c r="B22" s="397"/>
      <c r="C22" s="398"/>
      <c r="D22" s="399">
        <f>SUM(D7:D21)</f>
        <v>71.216666666666654</v>
      </c>
      <c r="E22" s="399">
        <f>SUM(E7:E21)</f>
        <v>85.016666666666652</v>
      </c>
      <c r="F22" s="399">
        <f>SUM(F7:F21)</f>
        <v>223.53333333333333</v>
      </c>
      <c r="G22" s="544"/>
      <c r="H22" s="544"/>
      <c r="I22" s="196"/>
      <c r="J22" s="196"/>
      <c r="K22" s="197"/>
      <c r="L22" s="206"/>
    </row>
    <row r="23" spans="1:12" ht="11.25" customHeight="1">
      <c r="A23" s="264" t="str">
        <f>"Cuadro N° 14: Horas de operación de los principales equipos de congestión en "&amp;'1. Resumen'!Q4</f>
        <v>Cuadro N° 14: Horas de operación de los principales equipos de congestión en febrero</v>
      </c>
      <c r="B23" s="208"/>
      <c r="C23" s="209"/>
      <c r="D23" s="210"/>
      <c r="E23" s="210"/>
      <c r="F23" s="211"/>
      <c r="G23" s="76"/>
      <c r="H23" s="82"/>
      <c r="I23" s="196"/>
      <c r="J23" s="196"/>
      <c r="K23" s="197"/>
      <c r="L23" s="206"/>
    </row>
    <row r="24" spans="1:12" ht="11.25" customHeight="1">
      <c r="A24" s="137"/>
      <c r="B24" s="208"/>
      <c r="C24" s="209"/>
      <c r="D24" s="210"/>
      <c r="E24" s="210"/>
      <c r="F24" s="211"/>
      <c r="G24" s="76"/>
      <c r="H24" s="76"/>
      <c r="I24" s="196"/>
      <c r="J24" s="196"/>
      <c r="K24" s="197"/>
      <c r="L24" s="206"/>
    </row>
    <row r="25" spans="1:12" ht="11.25" customHeight="1">
      <c r="A25" s="137"/>
      <c r="B25" s="208"/>
      <c r="C25" s="209"/>
      <c r="D25" s="210"/>
      <c r="E25" s="210"/>
      <c r="F25" s="211"/>
      <c r="G25" s="76"/>
      <c r="H25" s="76"/>
      <c r="I25" s="196"/>
      <c r="J25" s="196"/>
      <c r="K25" s="197"/>
      <c r="L25" s="206"/>
    </row>
    <row r="26" spans="1:12" ht="11.25" customHeight="1">
      <c r="A26" s="77"/>
      <c r="B26" s="164"/>
      <c r="C26" s="78"/>
      <c r="D26" s="79"/>
      <c r="E26" s="79"/>
      <c r="F26" s="80"/>
      <c r="G26" s="76"/>
      <c r="H26" s="76"/>
      <c r="I26" s="196"/>
      <c r="J26" s="196"/>
      <c r="K26" s="197"/>
      <c r="L26" s="206"/>
    </row>
    <row r="27" spans="1:12" ht="11.25" customHeight="1">
      <c r="A27" s="77"/>
      <c r="B27" s="164"/>
      <c r="C27" s="78"/>
      <c r="D27" s="79"/>
      <c r="E27" s="79"/>
      <c r="F27" s="80"/>
      <c r="G27" s="76"/>
      <c r="H27" s="76"/>
      <c r="I27" s="196"/>
      <c r="J27" s="196"/>
      <c r="K27" s="197"/>
      <c r="L27" s="206"/>
    </row>
    <row r="28" spans="1:12" ht="11.25" customHeight="1">
      <c r="A28" s="77"/>
      <c r="B28" s="164"/>
      <c r="C28" s="78"/>
      <c r="D28" s="79"/>
      <c r="E28" s="79"/>
      <c r="F28" s="80"/>
      <c r="G28" s="76"/>
      <c r="H28" s="76"/>
      <c r="I28" s="196"/>
      <c r="J28" s="196"/>
      <c r="K28" s="197"/>
      <c r="L28" s="207"/>
    </row>
    <row r="29" spans="1:12" ht="11.25" customHeight="1">
      <c r="A29" s="77"/>
      <c r="B29" s="164"/>
      <c r="C29" s="78"/>
      <c r="D29" s="79"/>
      <c r="E29" s="79"/>
      <c r="F29" s="80"/>
      <c r="G29" s="76"/>
      <c r="H29" s="76"/>
      <c r="I29" s="196"/>
      <c r="J29" s="196"/>
      <c r="K29" s="197"/>
      <c r="L29" s="206"/>
    </row>
    <row r="30" spans="1:12" ht="11.25" customHeight="1">
      <c r="A30" s="77"/>
      <c r="B30" s="164"/>
      <c r="C30" s="78"/>
      <c r="D30" s="79"/>
      <c r="E30" s="79"/>
      <c r="F30" s="80"/>
      <c r="G30" s="76"/>
      <c r="H30" s="76"/>
      <c r="I30" s="196"/>
      <c r="J30" s="196"/>
      <c r="K30" s="197"/>
      <c r="L30" s="206"/>
    </row>
    <row r="31" spans="1:12" ht="11.25" customHeight="1">
      <c r="A31" s="77"/>
      <c r="B31" s="164"/>
      <c r="C31" s="78"/>
      <c r="D31" s="79"/>
      <c r="E31" s="79"/>
      <c r="F31" s="80"/>
      <c r="G31" s="76"/>
      <c r="H31" s="76"/>
      <c r="I31" s="196"/>
      <c r="J31" s="196"/>
      <c r="K31" s="196"/>
      <c r="L31" s="58"/>
    </row>
    <row r="32" spans="1:12" ht="11.25" customHeight="1">
      <c r="A32" s="77"/>
      <c r="B32" s="164"/>
      <c r="C32" s="78"/>
      <c r="D32" s="79"/>
      <c r="E32" s="79"/>
      <c r="F32" s="80"/>
      <c r="G32" s="76"/>
      <c r="H32" s="76"/>
      <c r="I32" s="196"/>
      <c r="J32" s="196"/>
      <c r="K32" s="197"/>
      <c r="L32" s="206"/>
    </row>
    <row r="33" spans="1:12" ht="11.25" customHeight="1">
      <c r="A33" s="77"/>
      <c r="B33" s="164"/>
      <c r="C33" s="78"/>
      <c r="D33" s="79"/>
      <c r="E33" s="79"/>
      <c r="F33" s="80"/>
      <c r="G33" s="76"/>
      <c r="H33" s="76"/>
      <c r="I33" s="196"/>
      <c r="J33" s="196"/>
      <c r="K33" s="198"/>
      <c r="L33" s="206"/>
    </row>
    <row r="34" spans="1:12" ht="11.25" customHeight="1">
      <c r="A34" s="77"/>
      <c r="B34" s="164"/>
      <c r="C34" s="78"/>
      <c r="D34" s="79"/>
      <c r="E34" s="79"/>
      <c r="F34" s="80"/>
      <c r="G34" s="76"/>
      <c r="H34" s="76"/>
      <c r="I34" s="196"/>
      <c r="J34" s="196"/>
      <c r="K34" s="198"/>
      <c r="L34" s="206"/>
    </row>
    <row r="35" spans="1:12" ht="11.25" customHeight="1">
      <c r="A35" s="77"/>
      <c r="B35" s="77"/>
      <c r="C35" s="77"/>
      <c r="D35" s="77"/>
      <c r="E35" s="77"/>
      <c r="F35" s="77"/>
      <c r="G35" s="77"/>
      <c r="H35" s="77"/>
      <c r="I35" s="196"/>
      <c r="J35" s="196"/>
      <c r="K35" s="198"/>
      <c r="L35" s="206"/>
    </row>
    <row r="36" spans="1:12" ht="11.25" customHeight="1">
      <c r="A36" s="77"/>
      <c r="B36" s="77"/>
      <c r="C36" s="77"/>
      <c r="D36" s="77"/>
      <c r="E36" s="77"/>
      <c r="F36" s="77"/>
      <c r="G36" s="77"/>
      <c r="H36" s="77"/>
      <c r="I36" s="196"/>
      <c r="J36" s="196"/>
      <c r="K36" s="198"/>
      <c r="L36" s="206"/>
    </row>
    <row r="37" spans="1:12" ht="11.25" customHeight="1">
      <c r="A37" s="77"/>
      <c r="B37" s="77"/>
      <c r="C37" s="77"/>
      <c r="D37" s="77"/>
      <c r="E37" s="77"/>
      <c r="F37" s="77"/>
      <c r="G37" s="77"/>
      <c r="H37" s="77"/>
      <c r="I37" s="196"/>
      <c r="J37" s="196"/>
      <c r="K37" s="198"/>
      <c r="L37" s="206"/>
    </row>
    <row r="38" spans="1:12" ht="11.25" customHeight="1">
      <c r="A38" s="77"/>
      <c r="B38" s="77"/>
      <c r="C38" s="77"/>
      <c r="D38" s="77"/>
      <c r="E38" s="77"/>
      <c r="F38" s="77"/>
      <c r="G38" s="77"/>
      <c r="H38" s="77"/>
      <c r="I38" s="196"/>
      <c r="J38" s="196"/>
      <c r="K38" s="198"/>
      <c r="L38" s="206"/>
    </row>
    <row r="39" spans="1:12" ht="11.25" customHeight="1">
      <c r="A39" s="77"/>
      <c r="B39" s="77"/>
      <c r="C39" s="77"/>
      <c r="D39" s="77"/>
      <c r="E39" s="77"/>
      <c r="F39" s="77"/>
      <c r="G39" s="77"/>
      <c r="H39" s="77"/>
      <c r="I39" s="196"/>
      <c r="J39" s="196"/>
      <c r="K39" s="198"/>
      <c r="L39" s="206"/>
    </row>
    <row r="40" spans="1:12" ht="11.25" customHeight="1">
      <c r="A40" s="77"/>
      <c r="B40" s="77"/>
      <c r="C40" s="77"/>
      <c r="D40" s="77"/>
      <c r="E40" s="77"/>
      <c r="F40" s="77"/>
      <c r="G40" s="77"/>
      <c r="H40" s="77"/>
      <c r="I40" s="196"/>
      <c r="J40" s="196"/>
      <c r="K40" s="198"/>
      <c r="L40" s="206"/>
    </row>
    <row r="41" spans="1:12" ht="11.25" customHeight="1">
      <c r="A41" s="77"/>
      <c r="B41" s="77"/>
      <c r="C41" s="77"/>
      <c r="D41" s="77"/>
      <c r="E41" s="77"/>
      <c r="F41" s="77"/>
      <c r="G41" s="77"/>
      <c r="H41" s="77"/>
      <c r="I41" s="196"/>
      <c r="J41" s="196"/>
      <c r="K41" s="198"/>
      <c r="L41" s="206"/>
    </row>
    <row r="42" spans="1:12" ht="11.25" customHeight="1">
      <c r="A42" s="77"/>
      <c r="B42" s="77"/>
      <c r="C42" s="77"/>
      <c r="D42" s="77"/>
      <c r="E42" s="77"/>
      <c r="F42" s="77"/>
      <c r="G42" s="77"/>
      <c r="H42" s="77"/>
      <c r="I42" s="196"/>
      <c r="J42" s="196"/>
      <c r="K42" s="198"/>
      <c r="L42" s="206"/>
    </row>
    <row r="43" spans="1:12" ht="11.25" customHeight="1">
      <c r="A43" s="77"/>
      <c r="B43" s="77"/>
      <c r="C43" s="77"/>
      <c r="D43" s="77"/>
      <c r="E43" s="77"/>
      <c r="F43" s="77"/>
      <c r="G43" s="77"/>
      <c r="H43" s="77"/>
      <c r="I43" s="196"/>
      <c r="J43" s="196"/>
      <c r="K43" s="198"/>
      <c r="L43" s="206"/>
    </row>
    <row r="44" spans="1:12" ht="11.25" customHeight="1">
      <c r="A44" s="77"/>
      <c r="B44" s="77"/>
      <c r="C44" s="77"/>
      <c r="D44" s="77"/>
      <c r="E44" s="77"/>
      <c r="F44" s="77"/>
      <c r="G44" s="77"/>
      <c r="H44" s="77"/>
      <c r="I44" s="196"/>
      <c r="J44" s="196"/>
      <c r="K44" s="198"/>
      <c r="L44" s="206"/>
    </row>
    <row r="45" spans="1:12" ht="11.25" customHeight="1">
      <c r="A45" s="77"/>
      <c r="B45" s="77"/>
      <c r="C45" s="77"/>
      <c r="D45" s="77"/>
      <c r="E45" s="77"/>
      <c r="F45" s="77"/>
      <c r="G45" s="77"/>
      <c r="H45" s="77"/>
      <c r="I45" s="196"/>
      <c r="J45" s="196"/>
      <c r="K45" s="199"/>
      <c r="L45" s="59"/>
    </row>
    <row r="46" spans="1:12" ht="11.25" customHeight="1">
      <c r="A46" s="77"/>
      <c r="B46" s="77"/>
      <c r="C46" s="77"/>
      <c r="D46" s="77"/>
      <c r="E46" s="77"/>
      <c r="F46" s="77"/>
      <c r="G46" s="77"/>
      <c r="H46" s="77"/>
      <c r="I46" s="196"/>
      <c r="J46" s="196"/>
      <c r="K46" s="199"/>
      <c r="L46" s="59"/>
    </row>
    <row r="47" spans="1:12" ht="11.25" customHeight="1">
      <c r="A47" s="77"/>
      <c r="B47" s="77"/>
      <c r="C47" s="77"/>
      <c r="D47" s="77"/>
      <c r="E47" s="77"/>
      <c r="F47" s="77"/>
      <c r="G47" s="77"/>
      <c r="H47" s="77"/>
      <c r="I47" s="196"/>
      <c r="J47" s="196"/>
      <c r="K47" s="199"/>
      <c r="L47" s="59"/>
    </row>
    <row r="48" spans="1:12" ht="11.25" customHeight="1">
      <c r="A48" s="77"/>
      <c r="B48" s="77"/>
      <c r="C48" s="77"/>
      <c r="D48" s="77"/>
      <c r="E48" s="77"/>
      <c r="F48" s="77"/>
      <c r="G48" s="77"/>
      <c r="H48" s="77"/>
      <c r="I48" s="196"/>
      <c r="J48" s="196"/>
      <c r="K48" s="199"/>
      <c r="L48" s="59"/>
    </row>
    <row r="49" spans="1:12" ht="11.25" customHeight="1">
      <c r="A49" s="77"/>
      <c r="B49" s="77"/>
      <c r="C49" s="77"/>
      <c r="D49" s="77"/>
      <c r="E49" s="77"/>
      <c r="F49" s="77"/>
      <c r="G49" s="77"/>
      <c r="H49" s="77"/>
      <c r="I49" s="196"/>
      <c r="J49" s="196"/>
      <c r="K49" s="199"/>
      <c r="L49" s="59"/>
    </row>
    <row r="50" spans="1:12" ht="11.25" customHeight="1">
      <c r="A50" s="77"/>
      <c r="B50" s="77"/>
      <c r="C50" s="77"/>
      <c r="D50" s="77"/>
      <c r="E50" s="77"/>
      <c r="F50" s="77"/>
      <c r="G50" s="77"/>
      <c r="H50" s="77"/>
      <c r="I50" s="196"/>
      <c r="J50" s="196"/>
      <c r="K50" s="199"/>
      <c r="L50" s="59"/>
    </row>
    <row r="51" spans="1:12" ht="11.25" customHeight="1">
      <c r="A51" s="77"/>
      <c r="B51" s="77"/>
      <c r="C51" s="77"/>
      <c r="D51" s="77"/>
      <c r="E51" s="77"/>
      <c r="F51" s="77"/>
      <c r="G51" s="77"/>
      <c r="H51" s="77"/>
      <c r="I51" s="196"/>
      <c r="J51" s="196"/>
      <c r="K51" s="199"/>
      <c r="L51" s="59"/>
    </row>
    <row r="52" spans="1:12">
      <c r="A52" s="264" t="str">
        <f>"Gráfico N° 23: Comparación de las horas de operación de los principales equipos de congestión en "&amp;'1. Resumen'!Q4&amp;"."</f>
        <v>Gráfico N° 23: Comparación de las horas de operación de los principales equipos de congestión en febrero.</v>
      </c>
      <c r="B52" s="31"/>
      <c r="C52" s="31"/>
      <c r="D52" s="31"/>
      <c r="E52" s="31"/>
      <c r="F52" s="31"/>
      <c r="G52" s="31"/>
      <c r="H52" s="197"/>
      <c r="I52" s="197"/>
      <c r="J52" s="197"/>
      <c r="K52" s="197"/>
    </row>
  </sheetData>
  <mergeCells count="5">
    <mergeCell ref="A4:H4"/>
    <mergeCell ref="A2:H2"/>
    <mergeCell ref="A9:A19"/>
    <mergeCell ref="A7:A8"/>
    <mergeCell ref="A20:A21"/>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Normal="160" zoomScaleSheetLayoutView="100" zoomScalePageLayoutView="130" workbookViewId="0">
      <selection activeCell="D14" sqref="D14"/>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920" t="s">
        <v>401</v>
      </c>
      <c r="B2" s="920"/>
      <c r="C2" s="920"/>
      <c r="D2" s="920"/>
      <c r="E2" s="920"/>
      <c r="F2" s="920"/>
      <c r="G2" s="920"/>
      <c r="H2" s="920"/>
      <c r="I2" s="920"/>
      <c r="J2" s="920"/>
      <c r="K2" s="163"/>
    </row>
    <row r="3" spans="1:12" ht="6.75" customHeight="1">
      <c r="A3" s="17"/>
      <c r="B3" s="159"/>
      <c r="C3" s="212"/>
      <c r="D3" s="18"/>
      <c r="E3" s="18"/>
      <c r="F3" s="192"/>
      <c r="G3" s="66"/>
      <c r="H3" s="66"/>
      <c r="I3" s="71"/>
      <c r="J3" s="163"/>
      <c r="K3" s="163"/>
      <c r="L3" s="36"/>
    </row>
    <row r="4" spans="1:12" ht="15" customHeight="1">
      <c r="A4" s="921" t="s">
        <v>419</v>
      </c>
      <c r="B4" s="921"/>
      <c r="C4" s="921"/>
      <c r="D4" s="921"/>
      <c r="E4" s="921"/>
      <c r="F4" s="921"/>
      <c r="G4" s="921"/>
      <c r="H4" s="921"/>
      <c r="I4" s="921"/>
      <c r="J4" s="921"/>
      <c r="K4" s="163"/>
      <c r="L4" s="36"/>
    </row>
    <row r="5" spans="1:12" ht="38.25" customHeight="1">
      <c r="A5" s="918" t="s">
        <v>184</v>
      </c>
      <c r="B5" s="406" t="s">
        <v>185</v>
      </c>
      <c r="C5" s="407" t="s">
        <v>186</v>
      </c>
      <c r="D5" s="407" t="s">
        <v>187</v>
      </c>
      <c r="E5" s="407" t="s">
        <v>188</v>
      </c>
      <c r="F5" s="407" t="s">
        <v>189</v>
      </c>
      <c r="G5" s="407" t="s">
        <v>190</v>
      </c>
      <c r="H5" s="407" t="s">
        <v>191</v>
      </c>
      <c r="I5" s="408" t="s">
        <v>192</v>
      </c>
      <c r="J5" s="409" t="s">
        <v>193</v>
      </c>
      <c r="K5" s="131"/>
    </row>
    <row r="6" spans="1:12" ht="11.25" customHeight="1">
      <c r="A6" s="919"/>
      <c r="B6" s="529" t="s">
        <v>194</v>
      </c>
      <c r="C6" s="408" t="s">
        <v>195</v>
      </c>
      <c r="D6" s="408" t="s">
        <v>196</v>
      </c>
      <c r="E6" s="408" t="s">
        <v>197</v>
      </c>
      <c r="F6" s="408" t="s">
        <v>198</v>
      </c>
      <c r="G6" s="408" t="s">
        <v>199</v>
      </c>
      <c r="H6" s="408" t="s">
        <v>200</v>
      </c>
      <c r="I6" s="530"/>
      <c r="J6" s="531" t="s">
        <v>201</v>
      </c>
      <c r="K6" s="19"/>
    </row>
    <row r="7" spans="1:12" ht="12.75" customHeight="1">
      <c r="A7" s="535" t="s">
        <v>544</v>
      </c>
      <c r="B7" s="536">
        <v>36</v>
      </c>
      <c r="C7" s="536">
        <v>4</v>
      </c>
      <c r="D7" s="536">
        <v>1</v>
      </c>
      <c r="E7" s="536">
        <v>5</v>
      </c>
      <c r="F7" s="536">
        <v>11</v>
      </c>
      <c r="G7" s="536">
        <v>1</v>
      </c>
      <c r="H7" s="536"/>
      <c r="I7" s="537">
        <f>+SUM(B7:H7)</f>
        <v>58</v>
      </c>
      <c r="J7" s="538">
        <v>650.04</v>
      </c>
      <c r="K7" s="22"/>
    </row>
    <row r="8" spans="1:12" ht="12.75" customHeight="1">
      <c r="A8" s="535" t="s">
        <v>668</v>
      </c>
      <c r="B8" s="536"/>
      <c r="C8" s="536">
        <v>1</v>
      </c>
      <c r="D8" s="536"/>
      <c r="E8" s="536"/>
      <c r="F8" s="536"/>
      <c r="G8" s="536"/>
      <c r="H8" s="536"/>
      <c r="I8" s="537">
        <f t="shared" ref="I8:I13" si="0">+SUM(B8:H8)</f>
        <v>1</v>
      </c>
      <c r="J8" s="538">
        <v>232</v>
      </c>
      <c r="K8" s="22"/>
    </row>
    <row r="9" spans="1:12" ht="12.75" customHeight="1">
      <c r="A9" s="535" t="s">
        <v>669</v>
      </c>
      <c r="B9" s="536"/>
      <c r="C9" s="536"/>
      <c r="D9" s="536"/>
      <c r="E9" s="536"/>
      <c r="F9" s="536"/>
      <c r="G9" s="536">
        <v>1</v>
      </c>
      <c r="H9" s="536">
        <v>1</v>
      </c>
      <c r="I9" s="537">
        <f t="shared" si="0"/>
        <v>2</v>
      </c>
      <c r="J9" s="538">
        <v>1.28</v>
      </c>
      <c r="K9" s="22"/>
    </row>
    <row r="10" spans="1:12" ht="12.75" customHeight="1">
      <c r="A10" s="535" t="s">
        <v>670</v>
      </c>
      <c r="B10" s="536"/>
      <c r="C10" s="536"/>
      <c r="D10" s="536"/>
      <c r="E10" s="536"/>
      <c r="F10" s="536">
        <v>2</v>
      </c>
      <c r="G10" s="536"/>
      <c r="H10" s="536"/>
      <c r="I10" s="537">
        <f t="shared" si="0"/>
        <v>2</v>
      </c>
      <c r="J10" s="538">
        <v>43.35</v>
      </c>
      <c r="K10" s="22"/>
    </row>
    <row r="11" spans="1:12" ht="12.75" customHeight="1">
      <c r="A11" s="535" t="s">
        <v>159</v>
      </c>
      <c r="B11" s="536"/>
      <c r="C11" s="536"/>
      <c r="D11" s="536">
        <v>1</v>
      </c>
      <c r="E11" s="536"/>
      <c r="F11" s="536"/>
      <c r="G11" s="536"/>
      <c r="H11" s="536"/>
      <c r="I11" s="537">
        <f t="shared" si="0"/>
        <v>1</v>
      </c>
      <c r="J11" s="538">
        <v>10.65</v>
      </c>
      <c r="K11" s="22"/>
    </row>
    <row r="12" spans="1:12" ht="12.75" customHeight="1">
      <c r="A12" s="535" t="s">
        <v>671</v>
      </c>
      <c r="B12" s="536"/>
      <c r="C12" s="536">
        <v>1</v>
      </c>
      <c r="D12" s="536"/>
      <c r="E12" s="536"/>
      <c r="F12" s="536"/>
      <c r="G12" s="536"/>
      <c r="H12" s="536"/>
      <c r="I12" s="537">
        <f t="shared" si="0"/>
        <v>1</v>
      </c>
      <c r="J12" s="538">
        <v>7.66</v>
      </c>
      <c r="K12" s="22"/>
    </row>
    <row r="13" spans="1:12" ht="12.75" customHeight="1">
      <c r="A13" s="535" t="s">
        <v>672</v>
      </c>
      <c r="B13" s="536"/>
      <c r="C13" s="536"/>
      <c r="D13" s="536"/>
      <c r="E13" s="536"/>
      <c r="F13" s="536">
        <v>1</v>
      </c>
      <c r="G13" s="536"/>
      <c r="H13" s="536"/>
      <c r="I13" s="537">
        <f t="shared" si="0"/>
        <v>1</v>
      </c>
      <c r="J13" s="538">
        <v>113.33</v>
      </c>
      <c r="K13" s="22"/>
    </row>
    <row r="14" spans="1:12" ht="14.25" customHeight="1">
      <c r="A14" s="534" t="s">
        <v>192</v>
      </c>
      <c r="B14" s="532">
        <f>+SUM(B7:B13)</f>
        <v>36</v>
      </c>
      <c r="C14" s="532">
        <f t="shared" ref="C14:H14" si="1">+SUM(C7:C13)</f>
        <v>6</v>
      </c>
      <c r="D14" s="532">
        <f t="shared" si="1"/>
        <v>2</v>
      </c>
      <c r="E14" s="532">
        <f t="shared" si="1"/>
        <v>5</v>
      </c>
      <c r="F14" s="532">
        <f t="shared" si="1"/>
        <v>14</v>
      </c>
      <c r="G14" s="532">
        <f t="shared" si="1"/>
        <v>2</v>
      </c>
      <c r="H14" s="532">
        <f t="shared" si="1"/>
        <v>1</v>
      </c>
      <c r="I14" s="532">
        <f>+SUM(I7:I13)</f>
        <v>66</v>
      </c>
      <c r="J14" s="532">
        <f>+SUM(J7:J13)</f>
        <v>1058.31</v>
      </c>
      <c r="K14" s="22"/>
    </row>
    <row r="15" spans="1:12" ht="11.25" customHeight="1">
      <c r="A15" s="922"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2023</v>
      </c>
      <c r="B15" s="922"/>
      <c r="C15" s="922"/>
      <c r="D15" s="922"/>
      <c r="E15" s="922"/>
      <c r="F15" s="922"/>
      <c r="G15" s="922"/>
      <c r="H15" s="922"/>
      <c r="I15" s="922"/>
      <c r="J15" s="922"/>
      <c r="K15" s="22"/>
    </row>
    <row r="16" spans="1:12" ht="11.25" customHeight="1">
      <c r="K16" s="22"/>
    </row>
    <row r="17" spans="1:12" ht="11.25" customHeight="1">
      <c r="A17" s="17"/>
      <c r="B17" s="214"/>
      <c r="C17" s="213"/>
      <c r="D17" s="213"/>
      <c r="E17" s="213"/>
      <c r="F17" s="213"/>
      <c r="G17" s="178"/>
      <c r="H17" s="178"/>
      <c r="I17" s="138"/>
      <c r="J17" s="25"/>
      <c r="K17" s="25"/>
      <c r="L17" s="22"/>
    </row>
    <row r="18" spans="1:12" ht="11.25" customHeight="1">
      <c r="A18" s="926" t="str">
        <f>"FALLAS  POR TIPO DE CAUSA  -  "&amp;UPPER('1. Resumen'!Q4)&amp;" "&amp;'1. Resumen'!Q5</f>
        <v>FALLAS  POR TIPO DE CAUSA  -  FEBRERO 2023</v>
      </c>
      <c r="B18" s="926"/>
      <c r="C18" s="926"/>
      <c r="D18" s="926"/>
      <c r="E18" s="926" t="str">
        <f>"FALLAS  POR TIPO DE EQUIPO  -  "&amp;UPPER('1. Resumen'!Q4)&amp;" "&amp;'1. Resumen'!Q5</f>
        <v>FALLAS  POR TIPO DE EQUIPO  -  FEBRERO 2023</v>
      </c>
      <c r="F18" s="926"/>
      <c r="G18" s="926"/>
      <c r="H18" s="926"/>
      <c r="I18" s="926"/>
      <c r="J18" s="926"/>
      <c r="K18" s="25"/>
      <c r="L18" s="22"/>
    </row>
    <row r="19" spans="1:12" ht="11.25" customHeight="1">
      <c r="A19" s="17"/>
      <c r="E19" s="213"/>
      <c r="F19" s="213"/>
      <c r="G19" s="178"/>
      <c r="H19" s="178"/>
      <c r="I19" s="138"/>
      <c r="J19" s="111"/>
      <c r="K19" s="111"/>
      <c r="L19" s="22"/>
    </row>
    <row r="20" spans="1:12" ht="11.25" customHeight="1">
      <c r="A20" s="17"/>
      <c r="B20" s="214"/>
      <c r="C20" s="213"/>
      <c r="D20" s="213"/>
      <c r="E20" s="213"/>
      <c r="F20" s="213"/>
      <c r="G20" s="178"/>
      <c r="H20" s="178"/>
      <c r="I20" s="138"/>
      <c r="J20" s="111"/>
      <c r="K20" s="111"/>
      <c r="L20" s="30"/>
    </row>
    <row r="21" spans="1:12" ht="11.25" customHeight="1">
      <c r="A21" s="17"/>
      <c r="B21" s="214"/>
      <c r="C21" s="213"/>
      <c r="D21" s="213"/>
      <c r="E21" s="213"/>
      <c r="F21" s="213"/>
      <c r="G21" s="178"/>
      <c r="H21" s="178"/>
      <c r="I21" s="138"/>
      <c r="J21" s="111"/>
      <c r="K21" s="111"/>
      <c r="L21" s="22"/>
    </row>
    <row r="22" spans="1:12" ht="11.25" customHeight="1">
      <c r="A22" s="17"/>
      <c r="B22" s="214"/>
      <c r="C22" s="213"/>
      <c r="D22" s="213"/>
      <c r="E22" s="213"/>
      <c r="F22" s="213"/>
      <c r="G22" s="178"/>
      <c r="H22" s="178"/>
      <c r="I22" s="138"/>
      <c r="J22" s="111"/>
      <c r="K22" s="111"/>
      <c r="L22" s="22"/>
    </row>
    <row r="23" spans="1:12" ht="11.25" customHeight="1">
      <c r="A23" s="17"/>
      <c r="B23" s="214"/>
      <c r="C23" s="213"/>
      <c r="D23" s="213"/>
      <c r="E23" s="213"/>
      <c r="F23" s="213"/>
      <c r="G23" s="178"/>
      <c r="H23" s="178"/>
      <c r="I23" s="138"/>
      <c r="J23" s="111"/>
      <c r="K23" s="111"/>
      <c r="L23" s="22"/>
    </row>
    <row r="24" spans="1:12" ht="11.25" customHeight="1">
      <c r="A24" s="17"/>
      <c r="B24" s="214"/>
      <c r="C24" s="213"/>
      <c r="D24" s="213"/>
      <c r="E24" s="213"/>
      <c r="F24" s="213"/>
      <c r="G24" s="178"/>
      <c r="H24" s="178"/>
      <c r="I24" s="138"/>
      <c r="J24" s="111"/>
      <c r="K24" s="111"/>
      <c r="L24" s="30"/>
    </row>
    <row r="25" spans="1:12" ht="11.25" customHeight="1">
      <c r="A25" s="17"/>
      <c r="B25" s="214"/>
      <c r="C25" s="213"/>
      <c r="D25" s="213"/>
      <c r="E25" s="213"/>
      <c r="F25" s="213"/>
      <c r="G25" s="178"/>
      <c r="H25" s="178"/>
      <c r="I25" s="138"/>
      <c r="J25" s="111"/>
      <c r="K25" s="111"/>
      <c r="L25" s="22"/>
    </row>
    <row r="26" spans="1:12" ht="11.25" customHeight="1">
      <c r="A26" s="17"/>
      <c r="B26" s="214"/>
      <c r="C26" s="213"/>
      <c r="D26" s="213"/>
      <c r="E26" s="213"/>
      <c r="F26" s="213"/>
      <c r="G26" s="178"/>
      <c r="H26" s="178"/>
      <c r="I26" s="138"/>
      <c r="J26" s="111"/>
      <c r="K26" s="111"/>
      <c r="L26" s="22"/>
    </row>
    <row r="27" spans="1:12" ht="11.25" customHeight="1">
      <c r="A27" s="17"/>
      <c r="B27" s="214"/>
      <c r="C27" s="213"/>
      <c r="D27" s="213"/>
      <c r="E27" s="213"/>
      <c r="F27" s="213"/>
      <c r="G27" s="178"/>
      <c r="H27" s="178"/>
      <c r="I27" s="138"/>
      <c r="J27" s="111"/>
      <c r="K27" s="111"/>
      <c r="L27" s="22"/>
    </row>
    <row r="28" spans="1:12" ht="11.25" customHeight="1">
      <c r="A28" s="17"/>
      <c r="B28" s="214"/>
      <c r="C28" s="213"/>
      <c r="D28" s="213"/>
      <c r="E28" s="213"/>
      <c r="F28" s="213"/>
      <c r="G28" s="178"/>
      <c r="H28" s="178"/>
      <c r="I28" s="138"/>
      <c r="J28" s="111"/>
      <c r="K28" s="111"/>
      <c r="L28" s="22"/>
    </row>
    <row r="29" spans="1:12" ht="11.25" customHeight="1">
      <c r="A29" s="17"/>
      <c r="B29" s="214"/>
      <c r="C29" s="213"/>
      <c r="D29" s="213"/>
      <c r="E29" s="213"/>
      <c r="F29" s="213"/>
      <c r="G29" s="178"/>
      <c r="H29" s="178"/>
      <c r="I29" s="138"/>
      <c r="J29" s="111"/>
      <c r="K29" s="111"/>
      <c r="L29" s="22"/>
    </row>
    <row r="30" spans="1:12" ht="11.25" customHeight="1">
      <c r="A30" s="17"/>
      <c r="B30" s="214"/>
      <c r="C30" s="213"/>
      <c r="D30" s="213"/>
      <c r="E30" s="213"/>
      <c r="F30" s="213"/>
      <c r="G30" s="178"/>
      <c r="H30" s="178"/>
      <c r="I30" s="138"/>
      <c r="J30" s="111"/>
      <c r="K30" s="111"/>
      <c r="L30" s="22"/>
    </row>
    <row r="31" spans="1:12" ht="11.25" customHeight="1">
      <c r="A31" s="17"/>
      <c r="B31" s="214"/>
      <c r="C31" s="213"/>
      <c r="D31" s="213"/>
      <c r="E31" s="213"/>
      <c r="F31" s="213"/>
      <c r="G31" s="178"/>
      <c r="H31" s="178"/>
      <c r="I31" s="138"/>
      <c r="J31" s="111"/>
      <c r="K31" s="111"/>
      <c r="L31" s="22"/>
    </row>
    <row r="32" spans="1:12" ht="11.25" customHeight="1">
      <c r="A32" s="17"/>
      <c r="B32" s="214"/>
      <c r="C32" s="213"/>
      <c r="D32" s="213"/>
      <c r="E32" s="213"/>
      <c r="F32" s="213"/>
      <c r="G32" s="178"/>
      <c r="H32" s="178"/>
      <c r="I32" s="138"/>
      <c r="J32" s="111"/>
      <c r="K32" s="111"/>
      <c r="L32" s="22"/>
    </row>
    <row r="33" spans="1:12" ht="11.25" customHeight="1">
      <c r="A33" s="17"/>
      <c r="B33" s="214"/>
      <c r="C33" s="213"/>
      <c r="D33" s="213"/>
      <c r="E33" s="213"/>
      <c r="F33" s="213"/>
      <c r="G33" s="178"/>
      <c r="H33" s="178"/>
      <c r="I33" s="138"/>
      <c r="J33" s="111"/>
      <c r="K33" s="111"/>
      <c r="L33" s="22"/>
    </row>
    <row r="34" spans="1:12" ht="11.25" customHeight="1">
      <c r="A34" s="17"/>
      <c r="B34" s="214"/>
      <c r="C34" s="213"/>
      <c r="D34" s="213"/>
      <c r="E34" s="213"/>
      <c r="F34" s="213"/>
      <c r="G34" s="178"/>
      <c r="H34" s="178"/>
      <c r="I34" s="138"/>
      <c r="J34" s="111"/>
      <c r="K34" s="111"/>
      <c r="L34" s="22"/>
    </row>
    <row r="35" spans="1:12" ht="11.25" customHeight="1">
      <c r="A35" s="17"/>
      <c r="B35" s="214"/>
      <c r="C35" s="213"/>
      <c r="D35" s="213"/>
      <c r="E35" s="213"/>
      <c r="F35" s="213"/>
      <c r="G35" s="178"/>
      <c r="H35" s="178"/>
      <c r="I35" s="138"/>
      <c r="J35" s="111"/>
      <c r="K35" s="111"/>
      <c r="L35" s="22"/>
    </row>
    <row r="36" spans="1:12" ht="23.25" customHeight="1">
      <c r="A36" s="925" t="s">
        <v>389</v>
      </c>
      <c r="B36" s="925"/>
      <c r="C36" s="925"/>
      <c r="D36" s="267"/>
      <c r="E36" s="928" t="s">
        <v>390</v>
      </c>
      <c r="F36" s="928"/>
      <c r="G36" s="928"/>
      <c r="H36" s="928"/>
      <c r="I36" s="928"/>
      <c r="J36" s="928"/>
      <c r="K36" s="25"/>
      <c r="L36" s="22"/>
    </row>
    <row r="37" spans="1:12" ht="11.25" customHeight="1">
      <c r="A37" s="17"/>
      <c r="B37" s="132"/>
      <c r="C37" s="132"/>
      <c r="D37" s="132"/>
      <c r="E37" s="132"/>
      <c r="F37" s="132"/>
      <c r="G37" s="25"/>
      <c r="H37" s="25"/>
      <c r="I37" s="25"/>
      <c r="J37" s="25"/>
      <c r="K37" s="25"/>
      <c r="L37" s="22"/>
    </row>
    <row r="38" spans="1:12" ht="6.75" customHeight="1">
      <c r="A38" s="17"/>
      <c r="B38" s="132"/>
      <c r="C38" s="132"/>
      <c r="D38" s="132"/>
      <c r="E38" s="132"/>
      <c r="F38" s="132"/>
      <c r="G38" s="25"/>
      <c r="H38" s="25"/>
      <c r="I38" s="25"/>
      <c r="J38" s="25"/>
      <c r="K38" s="25"/>
      <c r="L38" s="215"/>
    </row>
    <row r="39" spans="1:12" ht="11.25" customHeight="1">
      <c r="A39" s="927" t="str">
        <f>"ENERGÍA INTERRUMPIDA APROXIMADA POR TIPO DE EQUIPO (MWh)  -  "&amp;UPPER('1. Resumen'!Q4)&amp;" "&amp;'1. Resumen'!Q5</f>
        <v>ENERGÍA INTERRUMPIDA APROXIMADA POR TIPO DE EQUIPO (MWh)  -  FEBRERO 2023</v>
      </c>
      <c r="B39" s="927"/>
      <c r="C39" s="927"/>
      <c r="D39" s="927"/>
      <c r="E39" s="927"/>
      <c r="F39" s="927"/>
      <c r="G39" s="927"/>
      <c r="H39" s="927"/>
      <c r="I39" s="927"/>
      <c r="J39" s="927"/>
      <c r="K39" s="25"/>
      <c r="L39" s="215"/>
    </row>
    <row r="40" spans="1:12" ht="11.25" customHeight="1">
      <c r="A40" s="17"/>
      <c r="B40" s="132"/>
      <c r="C40" s="132"/>
      <c r="D40" s="132"/>
      <c r="E40" s="132"/>
      <c r="F40" s="132"/>
      <c r="G40" s="25"/>
      <c r="H40" s="25"/>
      <c r="I40" s="25"/>
      <c r="J40" s="25"/>
      <c r="K40" s="25"/>
      <c r="L40" s="215"/>
    </row>
    <row r="41" spans="1:12" ht="11.25" customHeight="1">
      <c r="A41" s="17"/>
      <c r="B41" s="132"/>
      <c r="C41" s="25"/>
      <c r="D41" s="25"/>
      <c r="E41" s="25"/>
      <c r="F41" s="25"/>
      <c r="G41" s="25"/>
      <c r="H41" s="25"/>
      <c r="I41" s="25"/>
      <c r="J41" s="25"/>
      <c r="K41" s="25"/>
      <c r="L41" s="215"/>
    </row>
    <row r="42" spans="1:12" ht="11.25" customHeight="1">
      <c r="A42" s="17"/>
      <c r="B42" s="132"/>
      <c r="C42" s="25"/>
      <c r="D42" s="25"/>
      <c r="E42" s="25"/>
      <c r="F42" s="25"/>
      <c r="G42" s="25"/>
      <c r="H42" s="25"/>
    </row>
    <row r="43" spans="1:12" ht="13.2">
      <c r="A43" s="17"/>
      <c r="B43" s="132"/>
      <c r="J43" s="25"/>
      <c r="K43" s="25"/>
      <c r="L43" s="215"/>
    </row>
    <row r="44" spans="1:12" ht="13.2">
      <c r="A44" s="17"/>
      <c r="B44" s="132"/>
      <c r="J44" s="25"/>
      <c r="K44" s="25"/>
      <c r="L44" s="215"/>
    </row>
    <row r="45" spans="1:12" ht="13.2">
      <c r="A45" s="17"/>
      <c r="B45" s="132"/>
      <c r="J45" s="25"/>
      <c r="K45" s="25"/>
      <c r="L45" s="215"/>
    </row>
    <row r="46" spans="1:12" ht="13.2">
      <c r="A46" s="17"/>
      <c r="B46" s="132"/>
      <c r="J46" s="25"/>
      <c r="K46" s="25"/>
      <c r="L46" s="215"/>
    </row>
    <row r="47" spans="1:12" ht="13.2">
      <c r="A47" s="17"/>
      <c r="B47" s="132"/>
      <c r="C47" s="132"/>
      <c r="D47" s="132"/>
      <c r="E47" s="132"/>
      <c r="F47" s="132"/>
      <c r="G47" s="25"/>
      <c r="H47" s="25"/>
      <c r="I47" s="25"/>
      <c r="J47" s="25"/>
      <c r="K47" s="25"/>
      <c r="L47" s="215"/>
    </row>
    <row r="48" spans="1:12" ht="13.2">
      <c r="A48" s="163"/>
      <c r="B48" s="25"/>
      <c r="C48" s="25"/>
      <c r="D48" s="25"/>
      <c r="E48" s="25"/>
      <c r="F48" s="25"/>
      <c r="G48" s="25"/>
      <c r="H48" s="25"/>
      <c r="I48" s="25"/>
      <c r="J48" s="25"/>
      <c r="K48" s="25"/>
      <c r="L48" s="215"/>
    </row>
    <row r="49" spans="1:12" ht="13.2">
      <c r="A49" s="163"/>
      <c r="B49" s="25"/>
      <c r="C49" s="25"/>
      <c r="D49" s="25"/>
      <c r="E49" s="25"/>
      <c r="F49" s="25"/>
      <c r="G49" s="25"/>
      <c r="H49" s="25"/>
      <c r="I49" s="25"/>
      <c r="J49" s="25"/>
      <c r="K49" s="25"/>
      <c r="L49" s="215"/>
    </row>
    <row r="50" spans="1:12" ht="13.2">
      <c r="A50" s="163"/>
      <c r="B50" s="25"/>
      <c r="C50" s="25"/>
      <c r="D50" s="25"/>
      <c r="E50" s="25"/>
      <c r="F50" s="25"/>
      <c r="G50" s="25"/>
      <c r="H50" s="25"/>
      <c r="I50" s="25"/>
      <c r="J50" s="25"/>
      <c r="K50" s="25"/>
      <c r="L50" s="215"/>
    </row>
    <row r="51" spans="1:12" ht="13.2">
      <c r="A51" s="163"/>
      <c r="B51" s="25"/>
      <c r="C51" s="25"/>
      <c r="D51" s="25"/>
      <c r="E51" s="25"/>
      <c r="F51" s="25"/>
      <c r="G51" s="25"/>
      <c r="H51" s="25"/>
      <c r="I51" s="25"/>
      <c r="J51" s="25"/>
      <c r="K51" s="25"/>
      <c r="L51" s="215"/>
    </row>
    <row r="52" spans="1:12" ht="13.2">
      <c r="A52" s="163"/>
      <c r="B52" s="25"/>
      <c r="C52" s="25"/>
      <c r="D52" s="25"/>
      <c r="E52" s="25"/>
      <c r="F52" s="25"/>
      <c r="G52" s="25"/>
      <c r="H52" s="25"/>
      <c r="I52" s="25"/>
      <c r="J52" s="25"/>
      <c r="K52" s="25"/>
      <c r="L52" s="215"/>
    </row>
    <row r="53" spans="1:12" ht="9" customHeight="1">
      <c r="A53" s="163"/>
      <c r="B53" s="25"/>
      <c r="C53" s="25"/>
      <c r="D53" s="25"/>
      <c r="E53" s="25"/>
      <c r="F53" s="25"/>
      <c r="G53" s="25"/>
      <c r="H53" s="25"/>
      <c r="I53" s="25"/>
      <c r="J53" s="25"/>
      <c r="K53" s="25"/>
      <c r="L53" s="215"/>
    </row>
    <row r="54" spans="1:12" ht="22.2" customHeight="1">
      <c r="A54" s="267" t="str">
        <f>"Gráfico N°26: Comparación de la energía interrumpida aproximada por tipo de equipo en "&amp;'1. Resumen'!Q4&amp;" "&amp;'1. Resumen'!Q5</f>
        <v>Gráfico N°26: Comparación de la energía interrumpida aproximada por tipo de equipo en febrero 2023</v>
      </c>
      <c r="B54" s="25"/>
      <c r="C54" s="25"/>
      <c r="D54" s="25"/>
      <c r="E54" s="25"/>
      <c r="F54" s="25"/>
      <c r="G54" s="25"/>
      <c r="H54" s="25"/>
      <c r="I54" s="25"/>
      <c r="J54" s="25"/>
      <c r="K54" s="25"/>
      <c r="L54" s="215"/>
    </row>
    <row r="55" spans="1:12" ht="15" customHeight="1">
      <c r="B55" s="25"/>
      <c r="C55" s="25"/>
      <c r="D55" s="25"/>
      <c r="E55" s="25"/>
      <c r="F55" s="25"/>
      <c r="G55" s="25"/>
      <c r="H55" s="25"/>
      <c r="I55" s="25"/>
      <c r="J55" s="25"/>
      <c r="K55" s="25"/>
      <c r="L55" s="215"/>
    </row>
    <row r="56" spans="1:12" ht="24" customHeight="1">
      <c r="A56" s="923" t="s">
        <v>202</v>
      </c>
      <c r="B56" s="923"/>
      <c r="C56" s="923"/>
      <c r="D56" s="923"/>
      <c r="E56" s="923"/>
      <c r="F56" s="923"/>
      <c r="G56" s="923"/>
      <c r="H56" s="923"/>
      <c r="I56" s="923"/>
      <c r="J56" s="923"/>
      <c r="K56" s="25"/>
      <c r="L56" s="215"/>
    </row>
    <row r="57" spans="1:12" ht="11.25" customHeight="1">
      <c r="A57" s="924" t="s">
        <v>203</v>
      </c>
      <c r="B57" s="924"/>
      <c r="C57" s="924"/>
      <c r="D57" s="924"/>
      <c r="E57" s="924"/>
      <c r="F57" s="924"/>
      <c r="G57" s="924"/>
      <c r="H57" s="924"/>
      <c r="I57" s="924"/>
      <c r="J57" s="924"/>
      <c r="K57" s="25"/>
      <c r="L57" s="215"/>
    </row>
    <row r="58" spans="1:12" ht="13.2">
      <c r="A58" s="163"/>
      <c r="B58" s="25"/>
      <c r="C58" s="25"/>
      <c r="D58" s="25"/>
      <c r="E58" s="25"/>
      <c r="F58" s="25"/>
      <c r="G58" s="25"/>
      <c r="H58" s="25"/>
      <c r="I58" s="25"/>
      <c r="J58" s="25"/>
      <c r="K58" s="25"/>
      <c r="L58" s="215"/>
    </row>
    <row r="59" spans="1:12" ht="13.2">
      <c r="A59" s="163"/>
      <c r="B59" s="25"/>
      <c r="C59" s="25"/>
      <c r="D59" s="25"/>
      <c r="E59" s="25"/>
      <c r="F59" s="25"/>
      <c r="G59" s="25"/>
      <c r="H59" s="25"/>
      <c r="I59" s="25"/>
      <c r="J59" s="25"/>
      <c r="K59" s="25"/>
      <c r="L59" s="215"/>
    </row>
    <row r="60" spans="1:12" ht="13.2">
      <c r="A60" s="163"/>
      <c r="B60" s="25"/>
      <c r="C60" s="25"/>
      <c r="D60" s="25"/>
      <c r="E60" s="25"/>
      <c r="F60" s="25"/>
      <c r="G60" s="25"/>
      <c r="H60" s="25"/>
      <c r="I60" s="25"/>
      <c r="J60" s="25"/>
      <c r="K60" s="25"/>
      <c r="L60" s="215"/>
    </row>
    <row r="61" spans="1:12" ht="13.2">
      <c r="A61" s="163"/>
      <c r="B61" s="25"/>
      <c r="C61" s="25"/>
      <c r="D61" s="25"/>
      <c r="E61" s="25"/>
      <c r="F61" s="25"/>
      <c r="G61" s="25"/>
      <c r="H61" s="25"/>
      <c r="I61" s="25"/>
      <c r="J61" s="25"/>
      <c r="K61" s="25"/>
      <c r="L61" s="215"/>
    </row>
    <row r="62" spans="1:12" ht="13.2">
      <c r="A62" s="163"/>
      <c r="B62" s="25"/>
      <c r="C62" s="25"/>
      <c r="D62" s="25"/>
      <c r="E62" s="25"/>
      <c r="F62" s="25"/>
      <c r="G62" s="25"/>
      <c r="H62" s="25"/>
      <c r="I62" s="25"/>
      <c r="J62" s="25"/>
      <c r="K62" s="25"/>
      <c r="L62" s="215"/>
    </row>
    <row r="63" spans="1:12" ht="13.2">
      <c r="A63" s="163"/>
      <c r="B63" s="25"/>
      <c r="C63" s="25"/>
      <c r="D63" s="25"/>
      <c r="E63" s="25"/>
      <c r="F63" s="25"/>
      <c r="G63" s="25"/>
      <c r="H63" s="25"/>
      <c r="I63" s="25"/>
      <c r="J63" s="25"/>
      <c r="K63" s="25"/>
      <c r="L63" s="215"/>
    </row>
    <row r="64" spans="1:12" ht="13.2">
      <c r="A64" s="163"/>
      <c r="B64" s="25"/>
      <c r="C64" s="25"/>
      <c r="D64" s="25"/>
      <c r="E64" s="25"/>
      <c r="F64" s="25"/>
      <c r="G64" s="25"/>
      <c r="H64" s="25"/>
      <c r="I64" s="25"/>
      <c r="J64" s="25"/>
      <c r="K64" s="25"/>
      <c r="L64" s="215"/>
    </row>
    <row r="65" spans="1:12" ht="13.2">
      <c r="A65" s="163"/>
      <c r="B65" s="25"/>
      <c r="C65" s="25"/>
      <c r="D65" s="25"/>
      <c r="E65" s="25"/>
      <c r="F65" s="25"/>
      <c r="G65" s="25"/>
      <c r="H65" s="25"/>
      <c r="I65" s="25"/>
      <c r="J65" s="25"/>
      <c r="K65" s="25"/>
      <c r="L65" s="215"/>
    </row>
    <row r="66" spans="1:12" ht="13.2">
      <c r="A66" s="163"/>
      <c r="B66" s="25"/>
      <c r="C66" s="25"/>
      <c r="D66" s="25"/>
      <c r="E66" s="25"/>
      <c r="F66" s="25"/>
      <c r="G66" s="25"/>
      <c r="H66" s="25"/>
      <c r="I66" s="25"/>
      <c r="J66" s="25"/>
      <c r="K66" s="25"/>
      <c r="L66" s="215"/>
    </row>
    <row r="67" spans="1:12" ht="13.2">
      <c r="A67" s="163"/>
      <c r="B67" s="25"/>
      <c r="C67" s="25"/>
      <c r="D67" s="25"/>
      <c r="E67" s="25"/>
      <c r="F67" s="25"/>
      <c r="G67" s="25"/>
      <c r="H67" s="25"/>
      <c r="I67" s="25"/>
      <c r="J67" s="25"/>
      <c r="K67" s="25"/>
      <c r="L67" s="215"/>
    </row>
    <row r="68" spans="1:12" ht="13.2">
      <c r="A68" s="163"/>
      <c r="B68" s="25"/>
      <c r="J68" s="25"/>
      <c r="K68" s="25"/>
      <c r="L68" s="215"/>
    </row>
    <row r="69" spans="1:12" ht="13.2">
      <c r="A69" s="163"/>
      <c r="B69" s="25"/>
      <c r="J69" s="25"/>
      <c r="K69" s="25"/>
      <c r="L69" s="215"/>
    </row>
    <row r="70" spans="1:12" ht="13.2">
      <c r="A70" s="163"/>
      <c r="B70" s="25"/>
      <c r="J70" s="25"/>
      <c r="K70" s="25"/>
      <c r="L70" s="215"/>
    </row>
    <row r="71" spans="1:12" ht="13.2">
      <c r="A71" s="163"/>
      <c r="B71" s="25"/>
      <c r="J71" s="25"/>
      <c r="K71" s="25"/>
      <c r="L71" s="215"/>
    </row>
    <row r="72" spans="1:12">
      <c r="B72" s="215"/>
      <c r="C72" s="215"/>
      <c r="D72" s="215"/>
      <c r="E72" s="215"/>
      <c r="F72" s="215"/>
      <c r="G72" s="215"/>
      <c r="H72" s="215"/>
      <c r="I72" s="215"/>
      <c r="J72" s="215"/>
      <c r="K72" s="215"/>
      <c r="L72" s="215"/>
    </row>
    <row r="73" spans="1:12">
      <c r="B73" s="215"/>
      <c r="C73" s="215"/>
      <c r="D73" s="215"/>
      <c r="E73" s="215"/>
      <c r="F73" s="215"/>
      <c r="G73" s="215"/>
      <c r="H73" s="215"/>
      <c r="I73" s="215"/>
      <c r="J73" s="215"/>
      <c r="K73" s="215"/>
      <c r="L73" s="215"/>
    </row>
    <row r="74" spans="1:12">
      <c r="B74" s="215"/>
      <c r="C74" s="215"/>
      <c r="D74" s="215"/>
      <c r="E74" s="215"/>
      <c r="F74" s="215"/>
      <c r="G74" s="215"/>
      <c r="H74" s="215"/>
      <c r="I74" s="215"/>
      <c r="J74" s="215"/>
      <c r="K74" s="215"/>
      <c r="L74" s="215"/>
    </row>
    <row r="75" spans="1:12">
      <c r="B75" s="215"/>
      <c r="C75" s="215"/>
      <c r="D75" s="215"/>
      <c r="E75" s="215"/>
      <c r="F75" s="215"/>
      <c r="G75" s="215"/>
      <c r="H75" s="215"/>
      <c r="I75" s="215"/>
      <c r="J75" s="215"/>
      <c r="K75" s="215"/>
      <c r="L75" s="215"/>
    </row>
    <row r="76" spans="1:12">
      <c r="B76" s="215"/>
      <c r="C76" s="215"/>
      <c r="D76" s="215"/>
      <c r="E76" s="215"/>
      <c r="F76" s="215"/>
      <c r="G76" s="215"/>
      <c r="H76" s="215"/>
      <c r="I76" s="215"/>
      <c r="J76" s="215"/>
      <c r="K76" s="215"/>
      <c r="L76" s="215"/>
    </row>
    <row r="77" spans="1:12">
      <c r="B77" s="215"/>
      <c r="C77" s="215"/>
      <c r="D77" s="215"/>
      <c r="E77" s="215"/>
      <c r="F77" s="215"/>
      <c r="G77" s="215"/>
      <c r="H77" s="215"/>
      <c r="I77" s="215"/>
      <c r="J77" s="215"/>
      <c r="K77" s="215"/>
      <c r="L77" s="215"/>
    </row>
    <row r="78" spans="1:12">
      <c r="B78" s="215"/>
      <c r="C78" s="215"/>
      <c r="D78" s="215"/>
      <c r="E78" s="215"/>
      <c r="F78" s="215"/>
      <c r="G78" s="215"/>
      <c r="H78" s="215"/>
      <c r="I78" s="215"/>
      <c r="J78" s="215"/>
      <c r="K78" s="215"/>
      <c r="L78" s="215"/>
    </row>
    <row r="79" spans="1:12">
      <c r="B79" s="215"/>
      <c r="C79" s="215"/>
      <c r="D79" s="215"/>
      <c r="E79" s="215"/>
      <c r="F79" s="215"/>
      <c r="G79" s="215"/>
      <c r="H79" s="215"/>
      <c r="I79" s="215"/>
      <c r="J79" s="215"/>
      <c r="K79" s="215"/>
      <c r="L79" s="215"/>
    </row>
    <row r="80" spans="1:12">
      <c r="B80" s="215"/>
      <c r="C80" s="215"/>
      <c r="D80" s="215"/>
      <c r="E80" s="215"/>
      <c r="F80" s="215"/>
      <c r="G80" s="215"/>
      <c r="H80" s="215"/>
      <c r="I80" s="215"/>
      <c r="J80" s="215"/>
      <c r="K80" s="215"/>
      <c r="L80" s="215"/>
    </row>
    <row r="81" spans="2:12">
      <c r="B81" s="215"/>
      <c r="C81" s="215"/>
      <c r="D81" s="215"/>
      <c r="E81" s="215"/>
      <c r="F81" s="215"/>
      <c r="G81" s="215"/>
      <c r="H81" s="215"/>
      <c r="I81" s="215"/>
      <c r="J81" s="215"/>
      <c r="K81" s="215"/>
      <c r="L81" s="215"/>
    </row>
    <row r="82" spans="2:12">
      <c r="B82" s="215"/>
      <c r="C82" s="215"/>
      <c r="D82" s="215"/>
      <c r="E82" s="215"/>
      <c r="F82" s="215"/>
      <c r="G82" s="215"/>
      <c r="H82" s="215"/>
      <c r="I82" s="215"/>
      <c r="J82" s="215"/>
      <c r="K82" s="215"/>
      <c r="L82" s="215"/>
    </row>
    <row r="83" spans="2:12">
      <c r="B83" s="215"/>
      <c r="C83" s="215"/>
      <c r="D83" s="215"/>
      <c r="E83" s="215"/>
      <c r="F83" s="215"/>
      <c r="G83" s="215"/>
      <c r="H83" s="215"/>
      <c r="I83" s="215"/>
      <c r="J83" s="215"/>
      <c r="K83" s="215"/>
      <c r="L83" s="215"/>
    </row>
    <row r="84" spans="2:12">
      <c r="B84" s="215"/>
      <c r="C84" s="215"/>
      <c r="D84" s="215"/>
      <c r="E84" s="215"/>
      <c r="F84" s="215"/>
      <c r="G84" s="215"/>
      <c r="H84" s="215"/>
      <c r="I84" s="215"/>
      <c r="J84" s="215"/>
      <c r="K84" s="215"/>
      <c r="L84" s="215"/>
    </row>
    <row r="85" spans="2:12">
      <c r="B85" s="215"/>
      <c r="C85" s="215"/>
      <c r="D85" s="215"/>
      <c r="E85" s="215"/>
      <c r="F85" s="215"/>
      <c r="G85" s="215"/>
      <c r="H85" s="215"/>
      <c r="I85" s="215"/>
      <c r="J85" s="215"/>
      <c r="K85" s="215"/>
      <c r="L85" s="215"/>
    </row>
    <row r="86" spans="2:12">
      <c r="B86" s="215"/>
      <c r="C86" s="215"/>
      <c r="D86" s="215"/>
      <c r="E86" s="215"/>
      <c r="F86" s="215"/>
      <c r="G86" s="215"/>
      <c r="H86" s="215"/>
      <c r="I86" s="215"/>
      <c r="J86" s="215"/>
      <c r="K86" s="215"/>
      <c r="L86" s="215"/>
    </row>
    <row r="87" spans="2:12">
      <c r="B87" s="215"/>
      <c r="C87" s="215"/>
      <c r="D87" s="215"/>
      <c r="E87" s="215"/>
      <c r="F87" s="215"/>
      <c r="G87" s="215"/>
      <c r="H87" s="215"/>
      <c r="I87" s="215"/>
      <c r="J87" s="215"/>
      <c r="K87" s="215"/>
      <c r="L87" s="215"/>
    </row>
    <row r="88" spans="2:12">
      <c r="B88" s="215"/>
      <c r="C88" s="215"/>
      <c r="D88" s="215"/>
      <c r="E88" s="215"/>
      <c r="F88" s="215"/>
      <c r="G88" s="215"/>
      <c r="H88" s="215"/>
      <c r="I88" s="215"/>
      <c r="J88" s="215"/>
      <c r="K88" s="215"/>
      <c r="L88" s="215"/>
    </row>
    <row r="89" spans="2:12">
      <c r="B89" s="215"/>
      <c r="C89" s="215"/>
      <c r="D89" s="215"/>
      <c r="E89" s="215"/>
      <c r="F89" s="215"/>
      <c r="G89" s="215"/>
      <c r="H89" s="215"/>
      <c r="I89" s="215"/>
      <c r="J89" s="215"/>
      <c r="K89" s="215"/>
      <c r="L89" s="215"/>
    </row>
    <row r="90" spans="2:12">
      <c r="B90" s="215"/>
      <c r="C90" s="215"/>
      <c r="D90" s="215"/>
      <c r="E90" s="215"/>
      <c r="F90" s="215"/>
      <c r="G90" s="215"/>
      <c r="H90" s="215"/>
      <c r="I90" s="215"/>
      <c r="J90" s="215"/>
      <c r="K90" s="215"/>
      <c r="L90" s="215"/>
    </row>
    <row r="91" spans="2:12">
      <c r="B91" s="215"/>
      <c r="C91" s="215"/>
      <c r="D91" s="215"/>
      <c r="E91" s="215"/>
      <c r="F91" s="215"/>
      <c r="G91" s="215"/>
      <c r="H91" s="215"/>
      <c r="I91" s="215"/>
      <c r="J91" s="215"/>
      <c r="K91" s="215"/>
      <c r="L91" s="215"/>
    </row>
    <row r="92" spans="2:12">
      <c r="B92" s="215"/>
      <c r="C92" s="215"/>
      <c r="D92" s="215"/>
      <c r="E92" s="215"/>
      <c r="F92" s="215"/>
      <c r="G92" s="215"/>
      <c r="H92" s="215"/>
      <c r="I92" s="215"/>
      <c r="J92" s="215"/>
      <c r="K92" s="215"/>
      <c r="L92" s="215"/>
    </row>
    <row r="93" spans="2:12">
      <c r="B93" s="215"/>
      <c r="C93" s="215"/>
      <c r="D93" s="215"/>
      <c r="E93" s="215"/>
      <c r="F93" s="215"/>
      <c r="G93" s="215"/>
      <c r="H93" s="215"/>
      <c r="I93" s="215"/>
      <c r="J93" s="215"/>
      <c r="K93" s="215"/>
      <c r="L93" s="215"/>
    </row>
    <row r="94" spans="2:12">
      <c r="B94" s="215"/>
      <c r="C94" s="215"/>
      <c r="D94" s="215"/>
      <c r="E94" s="215"/>
      <c r="F94" s="215"/>
      <c r="G94" s="215"/>
      <c r="H94" s="215"/>
      <c r="I94" s="215"/>
      <c r="J94" s="215"/>
      <c r="K94" s="215"/>
      <c r="L94" s="215"/>
    </row>
    <row r="95" spans="2:12">
      <c r="B95" s="215"/>
      <c r="C95" s="215"/>
      <c r="D95" s="215"/>
      <c r="E95" s="215"/>
      <c r="F95" s="215"/>
      <c r="G95" s="215"/>
      <c r="H95" s="215"/>
      <c r="I95" s="215"/>
      <c r="J95" s="215"/>
      <c r="K95" s="215"/>
      <c r="L95" s="215"/>
    </row>
    <row r="96" spans="2:12">
      <c r="B96" s="215"/>
      <c r="C96" s="215"/>
      <c r="D96" s="215"/>
      <c r="E96" s="215"/>
      <c r="F96" s="215"/>
      <c r="G96" s="215"/>
      <c r="H96" s="215"/>
      <c r="I96" s="215"/>
      <c r="J96" s="215"/>
      <c r="K96" s="215"/>
      <c r="L96" s="215"/>
    </row>
    <row r="97" spans="2:12">
      <c r="B97" s="215"/>
      <c r="C97" s="215"/>
      <c r="D97" s="215"/>
      <c r="E97" s="215"/>
      <c r="F97" s="215"/>
      <c r="G97" s="215"/>
      <c r="H97" s="215"/>
      <c r="I97" s="215"/>
      <c r="J97" s="215"/>
      <c r="K97" s="215"/>
      <c r="L97" s="215"/>
    </row>
    <row r="98" spans="2:12">
      <c r="B98" s="215"/>
      <c r="C98" s="215"/>
      <c r="D98" s="215"/>
      <c r="E98" s="215"/>
      <c r="F98" s="215"/>
      <c r="G98" s="215"/>
      <c r="H98" s="215"/>
      <c r="I98" s="215"/>
      <c r="J98" s="215"/>
      <c r="K98" s="215"/>
      <c r="L98" s="215"/>
    </row>
    <row r="99" spans="2:12">
      <c r="B99" s="215"/>
      <c r="C99" s="215"/>
      <c r="D99" s="215"/>
      <c r="E99" s="215"/>
      <c r="F99" s="215"/>
      <c r="G99" s="215"/>
      <c r="H99" s="215"/>
      <c r="I99" s="215"/>
      <c r="J99" s="215"/>
      <c r="K99" s="215"/>
      <c r="L99" s="215"/>
    </row>
    <row r="100" spans="2:12">
      <c r="B100" s="215"/>
      <c r="C100" s="215"/>
      <c r="D100" s="215"/>
      <c r="E100" s="215"/>
      <c r="F100" s="215"/>
      <c r="G100" s="215"/>
      <c r="H100" s="215"/>
      <c r="I100" s="215"/>
      <c r="J100" s="215"/>
      <c r="K100" s="215"/>
      <c r="L100" s="215"/>
    </row>
    <row r="101" spans="2:12">
      <c r="B101" s="215"/>
      <c r="C101" s="215"/>
      <c r="D101" s="215"/>
      <c r="E101" s="215"/>
      <c r="F101" s="215"/>
      <c r="G101" s="215"/>
      <c r="H101" s="215"/>
      <c r="I101" s="215"/>
      <c r="J101" s="215"/>
      <c r="K101" s="215"/>
      <c r="L101" s="215"/>
    </row>
    <row r="102" spans="2:12">
      <c r="B102" s="215"/>
      <c r="C102" s="215"/>
      <c r="D102" s="215"/>
      <c r="E102" s="215"/>
      <c r="F102" s="215"/>
      <c r="G102" s="215"/>
      <c r="H102" s="215"/>
      <c r="I102" s="215"/>
      <c r="J102" s="215"/>
      <c r="K102" s="215"/>
      <c r="L102" s="215"/>
    </row>
    <row r="103" spans="2:12">
      <c r="B103" s="215"/>
      <c r="C103" s="215"/>
      <c r="D103" s="215"/>
      <c r="E103" s="215"/>
      <c r="F103" s="215"/>
      <c r="G103" s="215"/>
      <c r="H103" s="215"/>
      <c r="I103" s="215"/>
      <c r="J103" s="215"/>
      <c r="K103" s="215"/>
      <c r="L103" s="215"/>
    </row>
    <row r="104" spans="2:12">
      <c r="B104" s="215"/>
      <c r="C104" s="215"/>
      <c r="D104" s="215"/>
      <c r="E104" s="215"/>
      <c r="F104" s="215"/>
      <c r="G104" s="215"/>
      <c r="H104" s="215"/>
      <c r="I104" s="215"/>
      <c r="J104" s="215"/>
      <c r="K104" s="215"/>
      <c r="L104" s="215"/>
    </row>
    <row r="105" spans="2:12">
      <c r="B105" s="215"/>
      <c r="C105" s="215"/>
      <c r="D105" s="215"/>
      <c r="E105" s="215"/>
      <c r="F105" s="215"/>
      <c r="G105" s="215"/>
      <c r="H105" s="215"/>
      <c r="I105" s="215"/>
      <c r="J105" s="215"/>
      <c r="K105" s="215"/>
      <c r="L105" s="215"/>
    </row>
    <row r="106" spans="2:12">
      <c r="B106" s="215"/>
      <c r="C106" s="215"/>
      <c r="D106" s="215"/>
      <c r="E106" s="215"/>
      <c r="F106" s="215"/>
      <c r="G106" s="215"/>
      <c r="H106" s="215"/>
      <c r="I106" s="215"/>
      <c r="J106" s="215"/>
      <c r="K106" s="215"/>
      <c r="L106" s="215"/>
    </row>
    <row r="107" spans="2:12">
      <c r="B107" s="215"/>
      <c r="C107" s="215"/>
      <c r="D107" s="215"/>
      <c r="E107" s="215"/>
      <c r="F107" s="215"/>
      <c r="G107" s="215"/>
      <c r="H107" s="215"/>
      <c r="I107" s="215"/>
      <c r="J107" s="215"/>
      <c r="K107" s="215"/>
      <c r="L107" s="215"/>
    </row>
    <row r="108" spans="2:12">
      <c r="B108" s="215"/>
      <c r="C108" s="215"/>
      <c r="D108" s="215"/>
      <c r="E108" s="215"/>
      <c r="F108" s="215"/>
      <c r="G108" s="215"/>
      <c r="H108" s="215"/>
      <c r="I108" s="215"/>
      <c r="J108" s="215"/>
      <c r="K108" s="215"/>
      <c r="L108" s="215"/>
    </row>
    <row r="109" spans="2:12">
      <c r="B109" s="215"/>
      <c r="C109" s="215"/>
      <c r="D109" s="215"/>
      <c r="E109" s="215"/>
      <c r="F109" s="215"/>
      <c r="G109" s="215"/>
      <c r="H109" s="215"/>
      <c r="I109" s="215"/>
      <c r="J109" s="215"/>
      <c r="K109" s="215"/>
      <c r="L109" s="215"/>
    </row>
    <row r="110" spans="2:12">
      <c r="B110" s="215"/>
      <c r="C110" s="215"/>
      <c r="D110" s="215"/>
      <c r="E110" s="215"/>
      <c r="F110" s="215"/>
      <c r="G110" s="215"/>
      <c r="H110" s="215"/>
      <c r="I110" s="215"/>
      <c r="J110" s="215"/>
      <c r="K110" s="215"/>
      <c r="L110" s="215"/>
    </row>
    <row r="111" spans="2:12">
      <c r="B111" s="215"/>
      <c r="C111" s="215"/>
      <c r="D111" s="215"/>
      <c r="E111" s="215"/>
      <c r="F111" s="215"/>
      <c r="G111" s="215"/>
      <c r="H111" s="215"/>
      <c r="I111" s="215"/>
      <c r="J111" s="215"/>
      <c r="K111" s="215"/>
      <c r="L111" s="215"/>
    </row>
    <row r="112" spans="2:12">
      <c r="B112" s="215"/>
      <c r="C112" s="215"/>
      <c r="D112" s="215"/>
      <c r="E112" s="215"/>
      <c r="F112" s="215"/>
      <c r="G112" s="215"/>
      <c r="H112" s="215"/>
      <c r="I112" s="215"/>
      <c r="J112" s="215"/>
      <c r="K112" s="215"/>
      <c r="L112" s="215"/>
    </row>
    <row r="113" spans="2:12">
      <c r="B113" s="215"/>
      <c r="C113" s="215"/>
      <c r="D113" s="215"/>
      <c r="E113" s="215"/>
      <c r="F113" s="215"/>
      <c r="G113" s="215"/>
      <c r="H113" s="215"/>
      <c r="I113" s="215"/>
      <c r="J113" s="215"/>
      <c r="K113" s="215"/>
      <c r="L113" s="215"/>
    </row>
    <row r="114" spans="2:12">
      <c r="B114" s="215"/>
      <c r="C114" s="215"/>
      <c r="D114" s="215"/>
      <c r="E114" s="215"/>
      <c r="F114" s="215"/>
      <c r="G114" s="215"/>
      <c r="H114" s="215"/>
      <c r="I114" s="215"/>
      <c r="J114" s="215"/>
      <c r="K114" s="215"/>
      <c r="L114" s="215"/>
    </row>
    <row r="115" spans="2:12">
      <c r="B115" s="215"/>
      <c r="C115" s="215"/>
      <c r="D115" s="215"/>
      <c r="E115" s="215"/>
      <c r="F115" s="215"/>
      <c r="G115" s="215"/>
      <c r="H115" s="215"/>
      <c r="I115" s="215"/>
      <c r="J115" s="215"/>
      <c r="K115" s="215"/>
      <c r="L115" s="215"/>
    </row>
    <row r="116" spans="2:12">
      <c r="B116" s="215"/>
      <c r="C116" s="215"/>
      <c r="D116" s="215"/>
      <c r="E116" s="215"/>
      <c r="F116" s="215"/>
      <c r="G116" s="215"/>
      <c r="H116" s="215"/>
      <c r="I116" s="215"/>
      <c r="J116" s="215"/>
      <c r="K116" s="215"/>
      <c r="L116" s="215"/>
    </row>
    <row r="117" spans="2:12">
      <c r="B117" s="215"/>
      <c r="C117" s="215"/>
      <c r="D117" s="215"/>
      <c r="E117" s="215"/>
      <c r="F117" s="215"/>
      <c r="G117" s="215"/>
      <c r="H117" s="215"/>
      <c r="I117" s="215"/>
      <c r="J117" s="215"/>
      <c r="K117" s="215"/>
      <c r="L117" s="215"/>
    </row>
    <row r="118" spans="2:12">
      <c r="B118" s="215"/>
      <c r="C118" s="215"/>
      <c r="D118" s="215"/>
      <c r="E118" s="215"/>
      <c r="F118" s="215"/>
      <c r="G118" s="215"/>
      <c r="H118" s="215"/>
      <c r="I118" s="215"/>
      <c r="J118" s="215"/>
      <c r="K118" s="215"/>
      <c r="L118" s="215"/>
    </row>
    <row r="119" spans="2:12">
      <c r="B119" s="215"/>
      <c r="C119" s="215"/>
      <c r="D119" s="215"/>
      <c r="E119" s="215"/>
      <c r="F119" s="215"/>
      <c r="G119" s="215"/>
      <c r="H119" s="215"/>
      <c r="I119" s="215"/>
      <c r="J119" s="215"/>
      <c r="K119" s="215"/>
      <c r="L119" s="215"/>
    </row>
    <row r="120" spans="2:12">
      <c r="B120" s="215"/>
      <c r="C120" s="215"/>
      <c r="D120" s="215"/>
      <c r="E120" s="215"/>
      <c r="F120" s="215"/>
      <c r="G120" s="215"/>
      <c r="H120" s="215"/>
      <c r="I120" s="215"/>
      <c r="J120" s="215"/>
      <c r="K120" s="215"/>
      <c r="L120" s="215"/>
    </row>
    <row r="121" spans="2:12">
      <c r="B121" s="215"/>
      <c r="C121" s="215"/>
      <c r="D121" s="215"/>
      <c r="E121" s="215"/>
      <c r="F121" s="215"/>
      <c r="G121" s="215"/>
      <c r="H121" s="215"/>
      <c r="I121" s="215"/>
      <c r="J121" s="215"/>
      <c r="K121" s="215"/>
      <c r="L121" s="215"/>
    </row>
    <row r="122" spans="2:12">
      <c r="B122" s="215"/>
      <c r="C122" s="215"/>
      <c r="D122" s="215"/>
      <c r="E122" s="215"/>
      <c r="F122" s="215"/>
      <c r="G122" s="215"/>
      <c r="H122" s="215"/>
      <c r="I122" s="215"/>
      <c r="J122" s="215"/>
      <c r="K122" s="215"/>
      <c r="L122" s="215"/>
    </row>
    <row r="123" spans="2:12">
      <c r="B123" s="215"/>
      <c r="C123" s="215"/>
      <c r="D123" s="215"/>
      <c r="E123" s="215"/>
      <c r="F123" s="215"/>
      <c r="G123" s="215"/>
      <c r="H123" s="215"/>
      <c r="I123" s="215"/>
      <c r="J123" s="215"/>
      <c r="K123" s="215"/>
      <c r="L123" s="215"/>
    </row>
    <row r="124" spans="2:12">
      <c r="B124" s="215"/>
      <c r="C124" s="215"/>
      <c r="D124" s="215"/>
      <c r="E124" s="215"/>
      <c r="F124" s="215"/>
      <c r="G124" s="215"/>
      <c r="H124" s="215"/>
      <c r="I124" s="215"/>
      <c r="J124" s="215"/>
      <c r="K124" s="215"/>
      <c r="L124" s="215"/>
    </row>
    <row r="125" spans="2:12">
      <c r="B125" s="215"/>
      <c r="C125" s="215"/>
      <c r="D125" s="215"/>
      <c r="E125" s="215"/>
      <c r="F125" s="215"/>
      <c r="G125" s="215"/>
      <c r="H125" s="215"/>
      <c r="I125" s="215"/>
      <c r="J125" s="215"/>
      <c r="K125" s="215"/>
      <c r="L125" s="215"/>
    </row>
    <row r="126" spans="2:12">
      <c r="B126" s="215"/>
      <c r="C126" s="215"/>
      <c r="D126" s="215"/>
      <c r="E126" s="215"/>
      <c r="F126" s="215"/>
      <c r="G126" s="215"/>
      <c r="H126" s="215"/>
      <c r="I126" s="215"/>
      <c r="J126" s="215"/>
      <c r="K126" s="215"/>
      <c r="L126" s="215"/>
    </row>
    <row r="127" spans="2:12">
      <c r="B127" s="215"/>
      <c r="C127" s="215"/>
      <c r="D127" s="215"/>
      <c r="E127" s="215"/>
      <c r="F127" s="215"/>
      <c r="G127" s="215"/>
      <c r="H127" s="215"/>
      <c r="I127" s="215"/>
      <c r="J127" s="215"/>
      <c r="K127" s="215"/>
      <c r="L127" s="215"/>
    </row>
    <row r="128" spans="2:12">
      <c r="B128" s="215"/>
      <c r="C128" s="215"/>
      <c r="D128" s="215"/>
      <c r="E128" s="215"/>
      <c r="F128" s="215"/>
      <c r="G128" s="215"/>
      <c r="H128" s="215"/>
      <c r="I128" s="215"/>
      <c r="J128" s="215"/>
      <c r="K128" s="215"/>
      <c r="L128" s="215"/>
    </row>
    <row r="129" spans="2:12">
      <c r="B129" s="215"/>
      <c r="C129" s="215"/>
      <c r="D129" s="215"/>
      <c r="E129" s="215"/>
      <c r="F129" s="215"/>
      <c r="G129" s="215"/>
      <c r="H129" s="215"/>
      <c r="I129" s="215"/>
      <c r="J129" s="215"/>
      <c r="K129" s="215"/>
      <c r="L129" s="215"/>
    </row>
    <row r="130" spans="2:12">
      <c r="B130" s="215"/>
      <c r="C130" s="215"/>
      <c r="D130" s="215"/>
      <c r="E130" s="215"/>
      <c r="F130" s="215"/>
      <c r="G130" s="215"/>
      <c r="H130" s="215"/>
      <c r="I130" s="215"/>
      <c r="J130" s="215"/>
      <c r="K130" s="215"/>
      <c r="L130" s="215"/>
    </row>
    <row r="131" spans="2:12">
      <c r="B131" s="215"/>
      <c r="C131" s="215"/>
      <c r="D131" s="215"/>
      <c r="E131" s="215"/>
      <c r="F131" s="215"/>
      <c r="G131" s="215"/>
      <c r="H131" s="215"/>
      <c r="I131" s="215"/>
      <c r="J131" s="215"/>
      <c r="K131" s="215"/>
      <c r="L131" s="215"/>
    </row>
    <row r="132" spans="2:12">
      <c r="B132" s="215"/>
      <c r="C132" s="215"/>
      <c r="D132" s="215"/>
      <c r="E132" s="215"/>
      <c r="F132" s="215"/>
      <c r="G132" s="215"/>
      <c r="H132" s="215"/>
      <c r="I132" s="215"/>
      <c r="J132" s="215"/>
      <c r="K132" s="215"/>
      <c r="L132" s="215"/>
    </row>
    <row r="133" spans="2:12">
      <c r="B133" s="215"/>
      <c r="C133" s="215"/>
      <c r="D133" s="215"/>
      <c r="E133" s="215"/>
      <c r="F133" s="215"/>
      <c r="G133" s="215"/>
      <c r="H133" s="215"/>
      <c r="I133" s="215"/>
      <c r="J133" s="215"/>
      <c r="K133" s="215"/>
      <c r="L133" s="215"/>
    </row>
    <row r="134" spans="2:12">
      <c r="B134" s="215"/>
      <c r="C134" s="215"/>
      <c r="D134" s="215"/>
      <c r="E134" s="215"/>
      <c r="F134" s="215"/>
      <c r="G134" s="215"/>
      <c r="H134" s="215"/>
      <c r="I134" s="215"/>
      <c r="J134" s="215"/>
      <c r="K134" s="215"/>
      <c r="L134" s="215"/>
    </row>
    <row r="135" spans="2:12">
      <c r="B135" s="215"/>
      <c r="C135" s="215"/>
      <c r="D135" s="215"/>
      <c r="E135" s="215"/>
      <c r="F135" s="215"/>
      <c r="G135" s="215"/>
      <c r="H135" s="215"/>
      <c r="I135" s="215"/>
      <c r="J135" s="215"/>
      <c r="K135" s="215"/>
      <c r="L135" s="215"/>
    </row>
    <row r="136" spans="2:12">
      <c r="B136" s="215"/>
      <c r="C136" s="215"/>
      <c r="D136" s="215"/>
      <c r="E136" s="215"/>
      <c r="F136" s="215"/>
      <c r="G136" s="215"/>
      <c r="H136" s="215"/>
      <c r="I136" s="215"/>
      <c r="J136" s="215"/>
      <c r="K136" s="215"/>
      <c r="L136" s="215"/>
    </row>
    <row r="137" spans="2:12">
      <c r="B137" s="215"/>
      <c r="C137" s="215"/>
      <c r="D137" s="215"/>
      <c r="E137" s="215"/>
      <c r="F137" s="215"/>
      <c r="G137" s="215"/>
      <c r="H137" s="215"/>
      <c r="I137" s="215"/>
      <c r="J137" s="215"/>
      <c r="K137" s="215"/>
      <c r="L137" s="215"/>
    </row>
    <row r="138" spans="2:12">
      <c r="B138" s="215"/>
      <c r="C138" s="215"/>
      <c r="D138" s="215"/>
      <c r="E138" s="215"/>
      <c r="F138" s="215"/>
      <c r="G138" s="215"/>
      <c r="H138" s="215"/>
      <c r="I138" s="215"/>
      <c r="J138" s="215"/>
      <c r="K138" s="215"/>
      <c r="L138" s="215"/>
    </row>
    <row r="139" spans="2:12">
      <c r="B139" s="215"/>
      <c r="C139" s="215"/>
      <c r="D139" s="215"/>
      <c r="E139" s="215"/>
      <c r="F139" s="215"/>
      <c r="G139" s="215"/>
      <c r="H139" s="215"/>
      <c r="I139" s="215"/>
      <c r="J139" s="215"/>
      <c r="K139" s="215"/>
      <c r="L139" s="215"/>
    </row>
    <row r="140" spans="2:12">
      <c r="B140" s="215"/>
      <c r="C140" s="215"/>
      <c r="D140" s="215"/>
      <c r="E140" s="215"/>
      <c r="F140" s="215"/>
      <c r="G140" s="215"/>
      <c r="H140" s="215"/>
      <c r="I140" s="215"/>
      <c r="J140" s="215"/>
      <c r="K140" s="215"/>
      <c r="L140" s="215"/>
    </row>
    <row r="141" spans="2:12">
      <c r="B141" s="215"/>
      <c r="C141" s="215"/>
      <c r="D141" s="215"/>
      <c r="E141" s="215"/>
      <c r="F141" s="215"/>
      <c r="G141" s="215"/>
      <c r="H141" s="215"/>
      <c r="I141" s="215"/>
      <c r="J141" s="215"/>
      <c r="K141" s="215"/>
      <c r="L141" s="215"/>
    </row>
    <row r="142" spans="2:12">
      <c r="B142" s="215"/>
      <c r="C142" s="215"/>
      <c r="D142" s="215"/>
      <c r="E142" s="215"/>
      <c r="F142" s="215"/>
      <c r="G142" s="215"/>
      <c r="H142" s="215"/>
      <c r="I142" s="215"/>
      <c r="J142" s="215"/>
      <c r="K142" s="215"/>
      <c r="L142" s="215"/>
    </row>
    <row r="143" spans="2:12">
      <c r="B143" s="215"/>
      <c r="C143" s="215"/>
      <c r="D143" s="215"/>
      <c r="E143" s="215"/>
      <c r="F143" s="215"/>
      <c r="G143" s="215"/>
      <c r="H143" s="215"/>
      <c r="I143" s="215"/>
      <c r="J143" s="215"/>
      <c r="K143" s="215"/>
      <c r="L143" s="215"/>
    </row>
    <row r="144" spans="2:12">
      <c r="B144" s="215"/>
      <c r="C144" s="215"/>
      <c r="D144" s="215"/>
      <c r="E144" s="215"/>
      <c r="F144" s="215"/>
      <c r="G144" s="215"/>
      <c r="H144" s="215"/>
      <c r="I144" s="215"/>
      <c r="J144" s="215"/>
      <c r="K144" s="215"/>
      <c r="L144" s="215"/>
    </row>
    <row r="145" spans="2:12">
      <c r="B145" s="215"/>
      <c r="C145" s="215"/>
      <c r="D145" s="215"/>
      <c r="E145" s="215"/>
      <c r="F145" s="215"/>
      <c r="G145" s="215"/>
      <c r="H145" s="215"/>
      <c r="I145" s="215"/>
      <c r="J145" s="215"/>
      <c r="K145" s="215"/>
      <c r="L145" s="215"/>
    </row>
    <row r="146" spans="2:12">
      <c r="B146" s="215"/>
      <c r="C146" s="215"/>
      <c r="D146" s="215"/>
      <c r="E146" s="215"/>
      <c r="F146" s="215"/>
      <c r="G146" s="215"/>
      <c r="H146" s="215"/>
      <c r="I146" s="215"/>
      <c r="J146" s="215"/>
      <c r="K146" s="215"/>
      <c r="L146" s="215"/>
    </row>
    <row r="147" spans="2:12">
      <c r="B147" s="215"/>
      <c r="C147" s="215"/>
      <c r="D147" s="215"/>
      <c r="E147" s="215"/>
      <c r="F147" s="215"/>
      <c r="G147" s="215"/>
      <c r="H147" s="215"/>
      <c r="I147" s="215"/>
      <c r="J147" s="215"/>
      <c r="K147" s="215"/>
      <c r="L147" s="215"/>
    </row>
    <row r="148" spans="2:12">
      <c r="B148" s="215"/>
      <c r="C148" s="215"/>
      <c r="D148" s="215"/>
      <c r="E148" s="215"/>
      <c r="F148" s="215"/>
      <c r="G148" s="215"/>
      <c r="H148" s="215"/>
      <c r="I148" s="215"/>
      <c r="J148" s="215"/>
      <c r="K148" s="215"/>
      <c r="L148" s="215"/>
    </row>
    <row r="149" spans="2:12">
      <c r="B149" s="215"/>
      <c r="C149" s="215"/>
      <c r="D149" s="215"/>
      <c r="E149" s="215"/>
      <c r="F149" s="215"/>
      <c r="G149" s="215"/>
      <c r="H149" s="215"/>
      <c r="I149" s="215"/>
      <c r="J149" s="215"/>
      <c r="K149" s="215"/>
      <c r="L149" s="215"/>
    </row>
    <row r="150" spans="2:12">
      <c r="B150" s="215"/>
      <c r="C150" s="215"/>
      <c r="D150" s="215"/>
      <c r="E150" s="215"/>
      <c r="F150" s="215"/>
      <c r="G150" s="215"/>
      <c r="H150" s="215"/>
      <c r="I150" s="215"/>
      <c r="J150" s="215"/>
      <c r="K150" s="215"/>
      <c r="L150" s="215"/>
    </row>
    <row r="151" spans="2:12">
      <c r="B151" s="215"/>
      <c r="C151" s="215"/>
      <c r="D151" s="215"/>
      <c r="E151" s="215"/>
      <c r="F151" s="215"/>
      <c r="G151" s="215"/>
      <c r="H151" s="215"/>
      <c r="I151" s="215"/>
      <c r="J151" s="215"/>
      <c r="K151" s="215"/>
      <c r="L151" s="215"/>
    </row>
    <row r="152" spans="2:12">
      <c r="B152" s="215"/>
      <c r="C152" s="215"/>
      <c r="D152" s="215"/>
      <c r="E152" s="215"/>
      <c r="F152" s="215"/>
      <c r="G152" s="215"/>
      <c r="H152" s="215"/>
      <c r="I152" s="215"/>
      <c r="J152" s="215"/>
      <c r="K152" s="215"/>
      <c r="L152" s="215"/>
    </row>
    <row r="153" spans="2:12">
      <c r="B153" s="215"/>
      <c r="C153" s="215"/>
      <c r="D153" s="215"/>
      <c r="E153" s="215"/>
      <c r="F153" s="215"/>
      <c r="G153" s="215"/>
      <c r="H153" s="215"/>
      <c r="I153" s="215"/>
      <c r="J153" s="215"/>
      <c r="K153" s="215"/>
      <c r="L153" s="215"/>
    </row>
    <row r="154" spans="2:12">
      <c r="B154" s="215"/>
      <c r="C154" s="215"/>
      <c r="D154" s="215"/>
      <c r="E154" s="215"/>
      <c r="F154" s="215"/>
      <c r="G154" s="215"/>
      <c r="H154" s="215"/>
      <c r="I154" s="215"/>
      <c r="J154" s="215"/>
      <c r="K154" s="215"/>
      <c r="L154" s="215"/>
    </row>
    <row r="155" spans="2:12">
      <c r="B155" s="215"/>
      <c r="C155" s="215"/>
      <c r="D155" s="215"/>
      <c r="E155" s="215"/>
      <c r="F155" s="215"/>
      <c r="G155" s="215"/>
      <c r="H155" s="215"/>
      <c r="I155" s="215"/>
      <c r="J155" s="215"/>
      <c r="K155" s="215"/>
      <c r="L155" s="215"/>
    </row>
    <row r="156" spans="2:12">
      <c r="B156" s="215"/>
      <c r="C156" s="215"/>
      <c r="D156" s="215"/>
      <c r="E156" s="215"/>
      <c r="F156" s="215"/>
      <c r="G156" s="215"/>
      <c r="H156" s="215"/>
      <c r="I156" s="215"/>
      <c r="J156" s="215"/>
      <c r="K156" s="215"/>
      <c r="L156" s="215"/>
    </row>
    <row r="157" spans="2:12">
      <c r="B157" s="215"/>
      <c r="C157" s="215"/>
      <c r="D157" s="215"/>
      <c r="E157" s="215"/>
      <c r="F157" s="215"/>
      <c r="G157" s="215"/>
      <c r="H157" s="215"/>
      <c r="I157" s="215"/>
      <c r="J157" s="215"/>
      <c r="K157" s="215"/>
      <c r="L157" s="215"/>
    </row>
    <row r="158" spans="2:12">
      <c r="B158" s="215"/>
      <c r="C158" s="215"/>
      <c r="D158" s="215"/>
      <c r="E158" s="215"/>
      <c r="F158" s="215"/>
      <c r="G158" s="215"/>
      <c r="H158" s="215"/>
      <c r="I158" s="215"/>
      <c r="J158" s="215"/>
      <c r="K158" s="215"/>
      <c r="L158" s="215"/>
    </row>
    <row r="159" spans="2:12">
      <c r="B159" s="215"/>
      <c r="C159" s="215"/>
      <c r="D159" s="215"/>
      <c r="E159" s="215"/>
      <c r="F159" s="215"/>
      <c r="G159" s="215"/>
      <c r="H159" s="215"/>
      <c r="I159" s="215"/>
      <c r="J159" s="215"/>
      <c r="K159" s="215"/>
      <c r="L159" s="215"/>
    </row>
    <row r="160" spans="2:12">
      <c r="B160" s="215"/>
      <c r="C160" s="215"/>
      <c r="D160" s="215"/>
      <c r="E160" s="215"/>
      <c r="F160" s="215"/>
      <c r="G160" s="215"/>
      <c r="H160" s="215"/>
      <c r="I160" s="215"/>
      <c r="J160" s="215"/>
      <c r="K160" s="215"/>
      <c r="L160" s="215"/>
    </row>
    <row r="161" spans="2:12">
      <c r="B161" s="215"/>
      <c r="C161" s="215"/>
      <c r="D161" s="215"/>
      <c r="E161" s="215"/>
      <c r="F161" s="215"/>
      <c r="G161" s="215"/>
      <c r="H161" s="215"/>
      <c r="I161" s="215"/>
      <c r="J161" s="215"/>
      <c r="K161" s="215"/>
      <c r="L161" s="215"/>
    </row>
    <row r="162" spans="2:12">
      <c r="B162" s="215"/>
      <c r="C162" s="215"/>
      <c r="D162" s="215"/>
      <c r="E162" s="215"/>
      <c r="F162" s="215"/>
      <c r="G162" s="215"/>
      <c r="H162" s="215"/>
      <c r="I162" s="215"/>
      <c r="J162" s="215"/>
      <c r="K162" s="215"/>
      <c r="L162" s="215"/>
    </row>
    <row r="163" spans="2:12">
      <c r="B163" s="215"/>
      <c r="C163" s="215"/>
      <c r="D163" s="215"/>
      <c r="E163" s="215"/>
      <c r="F163" s="215"/>
      <c r="G163" s="215"/>
      <c r="H163" s="215"/>
      <c r="I163" s="215"/>
      <c r="J163" s="215"/>
      <c r="K163" s="215"/>
      <c r="L163" s="215"/>
    </row>
    <row r="164" spans="2:12">
      <c r="B164" s="215"/>
      <c r="C164" s="215"/>
      <c r="D164" s="215"/>
      <c r="E164" s="215"/>
      <c r="F164" s="215"/>
      <c r="G164" s="215"/>
      <c r="H164" s="215"/>
      <c r="I164" s="215"/>
      <c r="J164" s="215"/>
      <c r="K164" s="215"/>
      <c r="L164" s="215"/>
    </row>
    <row r="165" spans="2:12">
      <c r="B165" s="215"/>
      <c r="C165" s="215"/>
      <c r="D165" s="215"/>
      <c r="E165" s="215"/>
      <c r="F165" s="215"/>
      <c r="G165" s="215"/>
      <c r="H165" s="215"/>
      <c r="I165" s="215"/>
      <c r="J165" s="215"/>
      <c r="K165" s="215"/>
      <c r="L165" s="215"/>
    </row>
    <row r="166" spans="2:12">
      <c r="B166" s="215"/>
      <c r="C166" s="215"/>
      <c r="D166" s="215"/>
      <c r="E166" s="215"/>
      <c r="F166" s="215"/>
      <c r="G166" s="215"/>
      <c r="H166" s="215"/>
      <c r="I166" s="215"/>
      <c r="J166" s="215"/>
      <c r="K166" s="215"/>
      <c r="L166" s="215"/>
    </row>
    <row r="167" spans="2:12">
      <c r="B167" s="215"/>
      <c r="C167" s="215"/>
      <c r="D167" s="215"/>
      <c r="E167" s="215"/>
      <c r="F167" s="215"/>
      <c r="G167" s="215"/>
      <c r="H167" s="215"/>
      <c r="I167" s="215"/>
      <c r="J167" s="215"/>
      <c r="K167" s="215"/>
      <c r="L167" s="215"/>
    </row>
    <row r="168" spans="2:12">
      <c r="B168" s="215"/>
      <c r="C168" s="215"/>
      <c r="D168" s="215"/>
      <c r="E168" s="215"/>
      <c r="F168" s="215"/>
      <c r="G168" s="215"/>
      <c r="H168" s="215"/>
      <c r="I168" s="215"/>
      <c r="J168" s="215"/>
      <c r="K168" s="215"/>
      <c r="L168" s="215"/>
    </row>
    <row r="169" spans="2:12">
      <c r="B169" s="215"/>
      <c r="C169" s="215"/>
      <c r="D169" s="215"/>
      <c r="E169" s="215"/>
      <c r="F169" s="215"/>
      <c r="G169" s="215"/>
      <c r="H169" s="215"/>
      <c r="I169" s="215"/>
      <c r="J169" s="215"/>
      <c r="K169" s="215"/>
      <c r="L169" s="215"/>
    </row>
    <row r="170" spans="2:12">
      <c r="B170" s="215"/>
      <c r="C170" s="215"/>
      <c r="D170" s="215"/>
      <c r="E170" s="215"/>
      <c r="F170" s="215"/>
      <c r="G170" s="215"/>
      <c r="H170" s="215"/>
      <c r="I170" s="215"/>
      <c r="J170" s="215"/>
      <c r="K170" s="215"/>
      <c r="L170" s="215"/>
    </row>
    <row r="171" spans="2:12">
      <c r="B171" s="215"/>
      <c r="C171" s="215"/>
      <c r="D171" s="215"/>
      <c r="E171" s="215"/>
      <c r="F171" s="215"/>
      <c r="G171" s="215"/>
      <c r="H171" s="215"/>
      <c r="I171" s="215"/>
      <c r="J171" s="215"/>
      <c r="K171" s="215"/>
      <c r="L171" s="215"/>
    </row>
    <row r="172" spans="2:12">
      <c r="B172" s="215"/>
      <c r="C172" s="215"/>
      <c r="D172" s="215"/>
      <c r="E172" s="215"/>
      <c r="F172" s="215"/>
      <c r="G172" s="215"/>
      <c r="H172" s="215"/>
      <c r="I172" s="215"/>
      <c r="J172" s="215"/>
      <c r="K172" s="215"/>
      <c r="L172" s="215"/>
    </row>
    <row r="173" spans="2:12">
      <c r="B173" s="215"/>
      <c r="C173" s="215"/>
      <c r="D173" s="215"/>
      <c r="E173" s="215"/>
      <c r="F173" s="215"/>
      <c r="G173" s="215"/>
      <c r="H173" s="215"/>
      <c r="I173" s="215"/>
      <c r="J173" s="215"/>
      <c r="K173" s="215"/>
      <c r="L173" s="215"/>
    </row>
    <row r="174" spans="2:12">
      <c r="B174" s="215"/>
      <c r="C174" s="215"/>
      <c r="D174" s="215"/>
      <c r="E174" s="215"/>
      <c r="F174" s="215"/>
      <c r="G174" s="215"/>
      <c r="H174" s="215"/>
      <c r="I174" s="215"/>
      <c r="J174" s="215"/>
      <c r="K174" s="215"/>
      <c r="L174" s="215"/>
    </row>
    <row r="175" spans="2:12">
      <c r="B175" s="215"/>
      <c r="C175" s="215"/>
      <c r="D175" s="215"/>
      <c r="E175" s="215"/>
      <c r="F175" s="215"/>
      <c r="G175" s="215"/>
      <c r="H175" s="215"/>
      <c r="I175" s="215"/>
      <c r="J175" s="215"/>
      <c r="K175" s="215"/>
      <c r="L175" s="215"/>
    </row>
    <row r="176" spans="2:12">
      <c r="B176" s="215"/>
      <c r="C176" s="215"/>
      <c r="D176" s="215"/>
      <c r="E176" s="215"/>
      <c r="F176" s="215"/>
      <c r="G176" s="215"/>
      <c r="H176" s="215"/>
      <c r="I176" s="215"/>
      <c r="J176" s="215"/>
      <c r="K176" s="215"/>
      <c r="L176" s="215"/>
    </row>
    <row r="177" spans="2:12">
      <c r="B177" s="215"/>
      <c r="C177" s="215"/>
      <c r="D177" s="215"/>
      <c r="E177" s="215"/>
      <c r="F177" s="215"/>
      <c r="G177" s="215"/>
      <c r="H177" s="215"/>
      <c r="I177" s="215"/>
      <c r="J177" s="215"/>
      <c r="K177" s="215"/>
      <c r="L177" s="215"/>
    </row>
    <row r="178" spans="2:12">
      <c r="B178" s="215"/>
      <c r="C178" s="215"/>
      <c r="D178" s="215"/>
      <c r="E178" s="215"/>
      <c r="F178" s="215"/>
      <c r="G178" s="215"/>
      <c r="H178" s="215"/>
      <c r="I178" s="215"/>
      <c r="J178" s="215"/>
      <c r="K178" s="215"/>
      <c r="L178" s="215"/>
    </row>
    <row r="179" spans="2:12">
      <c r="B179" s="215"/>
      <c r="C179" s="215"/>
      <c r="D179" s="215"/>
      <c r="E179" s="215"/>
      <c r="F179" s="215"/>
      <c r="G179" s="215"/>
      <c r="H179" s="215"/>
      <c r="I179" s="215"/>
      <c r="J179" s="215"/>
      <c r="K179" s="215"/>
      <c r="L179" s="215"/>
    </row>
    <row r="180" spans="2:12">
      <c r="B180" s="215"/>
      <c r="C180" s="215"/>
      <c r="D180" s="215"/>
      <c r="E180" s="215"/>
      <c r="F180" s="215"/>
      <c r="G180" s="215"/>
      <c r="H180" s="215"/>
      <c r="I180" s="215"/>
      <c r="J180" s="215"/>
      <c r="K180" s="215"/>
      <c r="L180" s="215"/>
    </row>
    <row r="181" spans="2:12">
      <c r="B181" s="215"/>
      <c r="C181" s="215"/>
      <c r="D181" s="215"/>
      <c r="E181" s="215"/>
      <c r="F181" s="215"/>
      <c r="G181" s="215"/>
      <c r="H181" s="215"/>
      <c r="I181" s="215"/>
      <c r="J181" s="215"/>
      <c r="K181" s="215"/>
      <c r="L181" s="215"/>
    </row>
    <row r="182" spans="2:12">
      <c r="B182" s="215"/>
      <c r="C182" s="215"/>
      <c r="D182" s="215"/>
      <c r="E182" s="215"/>
      <c r="F182" s="215"/>
      <c r="G182" s="215"/>
      <c r="H182" s="215"/>
      <c r="I182" s="215"/>
      <c r="J182" s="215"/>
      <c r="K182" s="215"/>
      <c r="L182" s="215"/>
    </row>
    <row r="183" spans="2:12">
      <c r="B183" s="215"/>
      <c r="C183" s="215"/>
      <c r="D183" s="215"/>
      <c r="E183" s="215"/>
      <c r="F183" s="215"/>
      <c r="G183" s="215"/>
      <c r="H183" s="215"/>
      <c r="I183" s="215"/>
      <c r="J183" s="215"/>
      <c r="K183" s="215"/>
      <c r="L183" s="215"/>
    </row>
    <row r="184" spans="2:12">
      <c r="B184" s="215"/>
      <c r="C184" s="215"/>
      <c r="D184" s="215"/>
      <c r="E184" s="215"/>
      <c r="F184" s="215"/>
      <c r="G184" s="215"/>
      <c r="H184" s="215"/>
      <c r="I184" s="215"/>
      <c r="J184" s="215"/>
      <c r="K184" s="215"/>
      <c r="L184" s="215"/>
    </row>
    <row r="185" spans="2:12">
      <c r="B185" s="215"/>
      <c r="C185" s="215"/>
      <c r="D185" s="215"/>
      <c r="E185" s="215"/>
      <c r="F185" s="215"/>
      <c r="G185" s="215"/>
      <c r="H185" s="215"/>
      <c r="I185" s="215"/>
      <c r="J185" s="215"/>
      <c r="K185" s="215"/>
      <c r="L185" s="215"/>
    </row>
    <row r="186" spans="2:12">
      <c r="B186" s="215"/>
      <c r="C186" s="215"/>
      <c r="D186" s="215"/>
      <c r="E186" s="215"/>
      <c r="F186" s="215"/>
      <c r="G186" s="215"/>
      <c r="H186" s="215"/>
      <c r="I186" s="215"/>
      <c r="J186" s="215"/>
      <c r="K186" s="215"/>
      <c r="L186" s="215"/>
    </row>
    <row r="187" spans="2:12">
      <c r="B187" s="215"/>
      <c r="C187" s="215"/>
      <c r="D187" s="215"/>
      <c r="E187" s="215"/>
      <c r="F187" s="215"/>
      <c r="G187" s="215"/>
      <c r="H187" s="215"/>
      <c r="I187" s="215"/>
      <c r="J187" s="215"/>
      <c r="K187" s="215"/>
      <c r="L187" s="215"/>
    </row>
    <row r="188" spans="2:12">
      <c r="B188" s="215"/>
      <c r="C188" s="215"/>
      <c r="D188" s="215"/>
      <c r="E188" s="215"/>
      <c r="F188" s="215"/>
      <c r="G188" s="215"/>
      <c r="H188" s="215"/>
      <c r="I188" s="215"/>
      <c r="J188" s="215"/>
      <c r="K188" s="215"/>
      <c r="L188" s="215"/>
    </row>
    <row r="189" spans="2:12">
      <c r="B189" s="215"/>
      <c r="C189" s="215"/>
      <c r="D189" s="215"/>
      <c r="E189" s="215"/>
      <c r="F189" s="215"/>
      <c r="G189" s="215"/>
      <c r="H189" s="215"/>
      <c r="I189" s="215"/>
      <c r="J189" s="215"/>
      <c r="K189" s="215"/>
      <c r="L189" s="215"/>
    </row>
    <row r="190" spans="2:12">
      <c r="B190" s="215"/>
      <c r="C190" s="215"/>
      <c r="D190" s="215"/>
      <c r="E190" s="215"/>
      <c r="F190" s="215"/>
      <c r="G190" s="215"/>
      <c r="H190" s="215"/>
      <c r="I190" s="215"/>
      <c r="J190" s="215"/>
      <c r="K190" s="215"/>
      <c r="L190" s="215"/>
    </row>
    <row r="191" spans="2:12">
      <c r="B191" s="215"/>
      <c r="C191" s="215"/>
      <c r="D191" s="215"/>
      <c r="E191" s="215"/>
      <c r="F191" s="215"/>
      <c r="G191" s="215"/>
      <c r="H191" s="215"/>
      <c r="I191" s="215"/>
      <c r="J191" s="215"/>
      <c r="K191" s="215"/>
      <c r="L191" s="215"/>
    </row>
    <row r="192" spans="2:12">
      <c r="B192" s="215"/>
      <c r="C192" s="215"/>
      <c r="D192" s="215"/>
      <c r="E192" s="215"/>
      <c r="F192" s="215"/>
      <c r="G192" s="215"/>
      <c r="H192" s="215"/>
      <c r="I192" s="215"/>
      <c r="J192" s="215"/>
      <c r="K192" s="215"/>
      <c r="L192" s="215"/>
    </row>
    <row r="193" spans="2:12">
      <c r="B193" s="215"/>
      <c r="C193" s="215"/>
      <c r="D193" s="215"/>
      <c r="E193" s="215"/>
      <c r="F193" s="215"/>
      <c r="G193" s="215"/>
      <c r="H193" s="215"/>
      <c r="I193" s="215"/>
      <c r="J193" s="215"/>
      <c r="K193" s="215"/>
      <c r="L193" s="215"/>
    </row>
    <row r="194" spans="2:12">
      <c r="B194" s="215"/>
      <c r="C194" s="215"/>
      <c r="D194" s="215"/>
      <c r="E194" s="215"/>
      <c r="F194" s="215"/>
      <c r="G194" s="215"/>
      <c r="H194" s="215"/>
      <c r="I194" s="215"/>
      <c r="J194" s="215"/>
      <c r="K194" s="215"/>
      <c r="L194" s="215"/>
    </row>
    <row r="195" spans="2:12">
      <c r="B195" s="215"/>
      <c r="C195" s="215"/>
      <c r="D195" s="215"/>
      <c r="E195" s="215"/>
      <c r="F195" s="215"/>
      <c r="G195" s="215"/>
      <c r="H195" s="215"/>
      <c r="I195" s="215"/>
      <c r="J195" s="215"/>
      <c r="K195" s="215"/>
      <c r="L195" s="215"/>
    </row>
    <row r="196" spans="2:12">
      <c r="B196" s="215"/>
      <c r="C196" s="215"/>
      <c r="D196" s="215"/>
      <c r="E196" s="215"/>
      <c r="F196" s="215"/>
      <c r="G196" s="215"/>
      <c r="H196" s="215"/>
      <c r="I196" s="215"/>
      <c r="J196" s="215"/>
      <c r="K196" s="215"/>
      <c r="L196" s="215"/>
    </row>
    <row r="197" spans="2:12">
      <c r="B197" s="215"/>
      <c r="C197" s="215"/>
      <c r="D197" s="215"/>
      <c r="E197" s="215"/>
      <c r="F197" s="215"/>
      <c r="G197" s="215"/>
      <c r="H197" s="215"/>
      <c r="I197" s="215"/>
      <c r="J197" s="215"/>
      <c r="K197" s="215"/>
      <c r="L197" s="215"/>
    </row>
    <row r="198" spans="2:12">
      <c r="B198" s="215"/>
      <c r="C198" s="215"/>
      <c r="D198" s="215"/>
      <c r="E198" s="215"/>
      <c r="F198" s="215"/>
      <c r="G198" s="215"/>
      <c r="H198" s="215"/>
      <c r="I198" s="215"/>
      <c r="J198" s="215"/>
      <c r="K198" s="215"/>
      <c r="L198" s="215"/>
    </row>
    <row r="199" spans="2:12">
      <c r="B199" s="215"/>
      <c r="C199" s="215"/>
      <c r="D199" s="215"/>
      <c r="E199" s="215"/>
      <c r="F199" s="215"/>
      <c r="G199" s="215"/>
      <c r="H199" s="215"/>
      <c r="I199" s="215"/>
      <c r="J199" s="215"/>
      <c r="K199" s="215"/>
      <c r="L199" s="215"/>
    </row>
    <row r="200" spans="2:12">
      <c r="B200" s="215"/>
      <c r="C200" s="215"/>
      <c r="D200" s="215"/>
      <c r="E200" s="215"/>
      <c r="F200" s="215"/>
      <c r="G200" s="215"/>
      <c r="H200" s="215"/>
      <c r="I200" s="215"/>
      <c r="J200" s="215"/>
      <c r="K200" s="215"/>
      <c r="L200" s="215"/>
    </row>
    <row r="201" spans="2:12">
      <c r="B201" s="215"/>
      <c r="C201" s="215"/>
      <c r="D201" s="215"/>
      <c r="E201" s="215"/>
      <c r="F201" s="215"/>
      <c r="G201" s="215"/>
      <c r="H201" s="215"/>
      <c r="I201" s="215"/>
      <c r="J201" s="215"/>
      <c r="K201" s="215"/>
      <c r="L201" s="215"/>
    </row>
    <row r="202" spans="2:12">
      <c r="B202" s="215"/>
      <c r="C202" s="215"/>
      <c r="D202" s="215"/>
      <c r="E202" s="215"/>
      <c r="F202" s="215"/>
      <c r="G202" s="215"/>
      <c r="H202" s="215"/>
      <c r="I202" s="215"/>
      <c r="J202" s="215"/>
      <c r="K202" s="215"/>
      <c r="L202" s="215"/>
    </row>
    <row r="203" spans="2:12">
      <c r="B203" s="215"/>
      <c r="C203" s="215"/>
      <c r="D203" s="215"/>
      <c r="E203" s="215"/>
      <c r="F203" s="215"/>
      <c r="G203" s="215"/>
      <c r="H203" s="215"/>
      <c r="I203" s="215"/>
      <c r="J203" s="215"/>
      <c r="K203" s="215"/>
      <c r="L203" s="215"/>
    </row>
    <row r="204" spans="2:12">
      <c r="B204" s="215"/>
      <c r="C204" s="215"/>
      <c r="D204" s="215"/>
      <c r="E204" s="215"/>
      <c r="F204" s="215"/>
      <c r="G204" s="215"/>
      <c r="H204" s="215"/>
      <c r="I204" s="215"/>
      <c r="J204" s="215"/>
      <c r="K204" s="215"/>
      <c r="L204" s="215"/>
    </row>
    <row r="205" spans="2:12">
      <c r="B205" s="215"/>
      <c r="C205" s="215"/>
      <c r="D205" s="215"/>
      <c r="E205" s="215"/>
      <c r="F205" s="215"/>
      <c r="G205" s="215"/>
      <c r="H205" s="215"/>
      <c r="I205" s="215"/>
      <c r="J205" s="215"/>
      <c r="K205" s="215"/>
      <c r="L205" s="215"/>
    </row>
    <row r="206" spans="2:12">
      <c r="B206" s="215"/>
      <c r="C206" s="215"/>
      <c r="D206" s="215"/>
      <c r="E206" s="215"/>
      <c r="F206" s="215"/>
      <c r="G206" s="215"/>
      <c r="H206" s="215"/>
      <c r="I206" s="215"/>
      <c r="J206" s="215"/>
      <c r="K206" s="215"/>
      <c r="L206" s="215"/>
    </row>
    <row r="207" spans="2:12">
      <c r="B207" s="215"/>
      <c r="C207" s="215"/>
      <c r="D207" s="215"/>
      <c r="E207" s="215"/>
      <c r="F207" s="215"/>
      <c r="G207" s="215"/>
      <c r="H207" s="215"/>
      <c r="I207" s="215"/>
      <c r="J207" s="215"/>
      <c r="K207" s="215"/>
      <c r="L207" s="215"/>
    </row>
    <row r="208" spans="2:12">
      <c r="B208" s="215"/>
      <c r="C208" s="215"/>
      <c r="D208" s="215"/>
      <c r="E208" s="215"/>
      <c r="F208" s="215"/>
      <c r="G208" s="215"/>
      <c r="H208" s="215"/>
      <c r="I208" s="215"/>
      <c r="J208" s="215"/>
      <c r="K208" s="215"/>
      <c r="L208" s="215"/>
    </row>
    <row r="209" spans="2:12">
      <c r="B209" s="215"/>
      <c r="C209" s="215"/>
      <c r="D209" s="215"/>
      <c r="E209" s="215"/>
      <c r="F209" s="215"/>
      <c r="G209" s="215"/>
      <c r="H209" s="215"/>
      <c r="I209" s="215"/>
      <c r="J209" s="215"/>
      <c r="K209" s="215"/>
      <c r="L209" s="215"/>
    </row>
    <row r="210" spans="2:12">
      <c r="B210" s="215"/>
      <c r="C210" s="215"/>
      <c r="D210" s="215"/>
      <c r="E210" s="215"/>
      <c r="F210" s="215"/>
      <c r="G210" s="215"/>
      <c r="H210" s="215"/>
      <c r="I210" s="215"/>
      <c r="J210" s="215"/>
      <c r="K210" s="215"/>
      <c r="L210" s="215"/>
    </row>
    <row r="211" spans="2:12">
      <c r="B211" s="215"/>
      <c r="C211" s="215"/>
      <c r="D211" s="215"/>
      <c r="E211" s="215"/>
      <c r="F211" s="215"/>
      <c r="G211" s="215"/>
      <c r="H211" s="215"/>
      <c r="I211" s="215"/>
      <c r="J211" s="215"/>
      <c r="K211" s="215"/>
      <c r="L211" s="215"/>
    </row>
    <row r="212" spans="2:12">
      <c r="B212" s="215"/>
      <c r="C212" s="215"/>
      <c r="D212" s="215"/>
      <c r="E212" s="215"/>
      <c r="F212" s="215"/>
      <c r="G212" s="215"/>
      <c r="H212" s="215"/>
      <c r="I212" s="215"/>
      <c r="J212" s="215"/>
      <c r="K212" s="215"/>
      <c r="L212" s="215"/>
    </row>
    <row r="213" spans="2:12">
      <c r="B213" s="215"/>
      <c r="C213" s="215"/>
      <c r="D213" s="215"/>
      <c r="E213" s="215"/>
      <c r="F213" s="215"/>
      <c r="G213" s="215"/>
      <c r="H213" s="215"/>
      <c r="I213" s="215"/>
      <c r="J213" s="215"/>
      <c r="K213" s="215"/>
      <c r="L213" s="215"/>
    </row>
    <row r="214" spans="2:12">
      <c r="B214" s="215"/>
      <c r="C214" s="215"/>
      <c r="D214" s="215"/>
      <c r="E214" s="215"/>
      <c r="F214" s="215"/>
      <c r="G214" s="215"/>
      <c r="H214" s="215"/>
      <c r="I214" s="215"/>
      <c r="J214" s="215"/>
      <c r="K214" s="215"/>
      <c r="L214" s="215"/>
    </row>
    <row r="215" spans="2:12">
      <c r="B215" s="215"/>
      <c r="C215" s="215"/>
      <c r="D215" s="215"/>
      <c r="E215" s="215"/>
      <c r="F215" s="215"/>
      <c r="G215" s="215"/>
      <c r="H215" s="215"/>
      <c r="I215" s="215"/>
      <c r="J215" s="215"/>
      <c r="K215" s="215"/>
      <c r="L215" s="215"/>
    </row>
    <row r="216" spans="2:12">
      <c r="B216" s="215"/>
      <c r="C216" s="215"/>
      <c r="D216" s="215"/>
      <c r="E216" s="215"/>
      <c r="F216" s="215"/>
      <c r="G216" s="215"/>
      <c r="H216" s="215"/>
      <c r="I216" s="215"/>
      <c r="J216" s="215"/>
      <c r="K216" s="215"/>
      <c r="L216" s="215"/>
    </row>
    <row r="217" spans="2:12">
      <c r="B217" s="215"/>
      <c r="C217" s="215"/>
      <c r="D217" s="215"/>
      <c r="E217" s="215"/>
      <c r="F217" s="215"/>
      <c r="G217" s="215"/>
      <c r="H217" s="215"/>
      <c r="I217" s="215"/>
      <c r="J217" s="215"/>
      <c r="K217" s="215"/>
      <c r="L217" s="215"/>
    </row>
    <row r="218" spans="2:12">
      <c r="B218" s="215"/>
      <c r="C218" s="215"/>
      <c r="D218" s="215"/>
      <c r="E218" s="215"/>
      <c r="F218" s="215"/>
      <c r="G218" s="215"/>
      <c r="H218" s="215"/>
      <c r="I218" s="215"/>
      <c r="J218" s="215"/>
      <c r="K218" s="215"/>
      <c r="L218" s="215"/>
    </row>
    <row r="219" spans="2:12">
      <c r="B219" s="215"/>
      <c r="C219" s="215"/>
      <c r="D219" s="215"/>
      <c r="E219" s="215"/>
      <c r="F219" s="215"/>
      <c r="G219" s="215"/>
      <c r="H219" s="215"/>
      <c r="I219" s="215"/>
      <c r="J219" s="215"/>
      <c r="K219" s="215"/>
      <c r="L219" s="215"/>
    </row>
    <row r="220" spans="2:12">
      <c r="B220" s="215"/>
      <c r="C220" s="215"/>
      <c r="D220" s="215"/>
      <c r="E220" s="215"/>
      <c r="F220" s="215"/>
      <c r="G220" s="215"/>
      <c r="H220" s="215"/>
      <c r="I220" s="215"/>
      <c r="J220" s="215"/>
      <c r="K220" s="215"/>
      <c r="L220" s="215"/>
    </row>
    <row r="221" spans="2:12">
      <c r="B221" s="215"/>
      <c r="C221" s="215"/>
      <c r="D221" s="215"/>
      <c r="E221" s="215"/>
      <c r="F221" s="215"/>
      <c r="G221" s="215"/>
      <c r="H221" s="215"/>
      <c r="I221" s="215"/>
      <c r="J221" s="215"/>
      <c r="K221" s="215"/>
      <c r="L221" s="215"/>
    </row>
    <row r="222" spans="2:12">
      <c r="B222" s="215"/>
      <c r="C222" s="215"/>
      <c r="D222" s="215"/>
      <c r="E222" s="215"/>
      <c r="F222" s="215"/>
      <c r="G222" s="215"/>
      <c r="H222" s="215"/>
      <c r="I222" s="215"/>
      <c r="J222" s="215"/>
      <c r="K222" s="215"/>
      <c r="L222" s="215"/>
    </row>
    <row r="223" spans="2:12">
      <c r="B223" s="215"/>
      <c r="C223" s="215"/>
      <c r="D223" s="215"/>
      <c r="E223" s="215"/>
      <c r="F223" s="215"/>
      <c r="G223" s="215"/>
      <c r="H223" s="215"/>
      <c r="I223" s="215"/>
      <c r="J223" s="215"/>
      <c r="K223" s="215"/>
      <c r="L223" s="215"/>
    </row>
    <row r="224" spans="2:12">
      <c r="B224" s="215"/>
      <c r="C224" s="215"/>
      <c r="D224" s="215"/>
      <c r="E224" s="215"/>
      <c r="F224" s="215"/>
      <c r="G224" s="215"/>
      <c r="H224" s="215"/>
      <c r="I224" s="215"/>
      <c r="J224" s="215"/>
      <c r="K224" s="215"/>
      <c r="L224" s="215"/>
    </row>
    <row r="225" spans="2:12">
      <c r="B225" s="215"/>
      <c r="C225" s="215"/>
      <c r="D225" s="215"/>
      <c r="E225" s="215"/>
      <c r="F225" s="215"/>
      <c r="G225" s="215"/>
      <c r="H225" s="215"/>
      <c r="I225" s="215"/>
      <c r="J225" s="215"/>
      <c r="K225" s="215"/>
      <c r="L225" s="215"/>
    </row>
    <row r="226" spans="2:12">
      <c r="B226" s="215"/>
      <c r="C226" s="215"/>
      <c r="D226" s="215"/>
      <c r="E226" s="215"/>
      <c r="F226" s="215"/>
      <c r="G226" s="215"/>
      <c r="H226" s="215"/>
      <c r="I226" s="215"/>
      <c r="J226" s="215"/>
      <c r="K226" s="215"/>
      <c r="L226" s="215"/>
    </row>
    <row r="227" spans="2:12">
      <c r="B227" s="215"/>
      <c r="C227" s="215"/>
      <c r="D227" s="215"/>
      <c r="E227" s="215"/>
      <c r="F227" s="215"/>
      <c r="G227" s="215"/>
      <c r="H227" s="215"/>
      <c r="I227" s="215"/>
      <c r="J227" s="215"/>
      <c r="K227" s="215"/>
      <c r="L227" s="215"/>
    </row>
    <row r="228" spans="2:12">
      <c r="B228" s="215"/>
      <c r="C228" s="215"/>
      <c r="D228" s="215"/>
      <c r="E228" s="215"/>
      <c r="F228" s="215"/>
      <c r="G228" s="215"/>
      <c r="H228" s="215"/>
      <c r="I228" s="215"/>
      <c r="J228" s="215"/>
      <c r="K228" s="215"/>
      <c r="L228" s="215"/>
    </row>
    <row r="229" spans="2:12">
      <c r="B229" s="215"/>
      <c r="C229" s="215"/>
      <c r="D229" s="215"/>
      <c r="E229" s="215"/>
      <c r="F229" s="215"/>
      <c r="G229" s="215"/>
      <c r="H229" s="215"/>
      <c r="I229" s="215"/>
      <c r="J229" s="215"/>
      <c r="K229" s="215"/>
      <c r="L229" s="215"/>
    </row>
    <row r="230" spans="2:12">
      <c r="B230" s="215"/>
      <c r="C230" s="215"/>
      <c r="D230" s="215"/>
      <c r="E230" s="215"/>
      <c r="F230" s="215"/>
      <c r="G230" s="215"/>
      <c r="H230" s="215"/>
      <c r="I230" s="215"/>
      <c r="J230" s="215"/>
      <c r="K230" s="215"/>
      <c r="L230" s="215"/>
    </row>
    <row r="231" spans="2:12">
      <c r="B231" s="215"/>
      <c r="C231" s="215"/>
      <c r="D231" s="215"/>
      <c r="E231" s="215"/>
      <c r="F231" s="215"/>
      <c r="G231" s="215"/>
      <c r="H231" s="215"/>
      <c r="I231" s="215"/>
      <c r="J231" s="215"/>
      <c r="K231" s="215"/>
      <c r="L231" s="215"/>
    </row>
    <row r="232" spans="2:12">
      <c r="B232" s="215"/>
      <c r="C232" s="215"/>
      <c r="D232" s="215"/>
      <c r="E232" s="215"/>
      <c r="F232" s="215"/>
      <c r="G232" s="215"/>
      <c r="H232" s="215"/>
      <c r="I232" s="215"/>
      <c r="J232" s="215"/>
      <c r="K232" s="215"/>
      <c r="L232" s="215"/>
    </row>
    <row r="233" spans="2:12">
      <c r="B233" s="215"/>
      <c r="C233" s="215"/>
      <c r="D233" s="215"/>
      <c r="E233" s="215"/>
      <c r="F233" s="215"/>
      <c r="G233" s="215"/>
      <c r="H233" s="215"/>
      <c r="I233" s="215"/>
      <c r="J233" s="215"/>
      <c r="K233" s="215"/>
      <c r="L233" s="215"/>
    </row>
    <row r="234" spans="2:12">
      <c r="B234" s="215"/>
      <c r="C234" s="215"/>
      <c r="D234" s="215"/>
      <c r="E234" s="215"/>
      <c r="F234" s="215"/>
      <c r="G234" s="215"/>
      <c r="H234" s="215"/>
      <c r="I234" s="215"/>
      <c r="J234" s="215"/>
      <c r="K234" s="215"/>
      <c r="L234" s="215"/>
    </row>
    <row r="235" spans="2:12">
      <c r="B235" s="215"/>
      <c r="C235" s="215"/>
      <c r="D235" s="215"/>
      <c r="E235" s="215"/>
      <c r="F235" s="215"/>
      <c r="G235" s="215"/>
      <c r="H235" s="215"/>
      <c r="I235" s="215"/>
      <c r="J235" s="215"/>
      <c r="K235" s="215"/>
      <c r="L235" s="215"/>
    </row>
    <row r="236" spans="2:12">
      <c r="B236" s="215"/>
      <c r="C236" s="215"/>
      <c r="D236" s="215"/>
      <c r="E236" s="215"/>
      <c r="F236" s="215"/>
      <c r="G236" s="215"/>
      <c r="H236" s="215"/>
      <c r="I236" s="215"/>
      <c r="J236" s="215"/>
      <c r="K236" s="215"/>
      <c r="L236" s="215"/>
    </row>
    <row r="237" spans="2:12">
      <c r="B237" s="215"/>
      <c r="C237" s="215"/>
      <c r="D237" s="215"/>
      <c r="E237" s="215"/>
      <c r="F237" s="215"/>
      <c r="G237" s="215"/>
      <c r="H237" s="215"/>
      <c r="I237" s="215"/>
      <c r="J237" s="215"/>
      <c r="K237" s="215"/>
      <c r="L237" s="215"/>
    </row>
    <row r="238" spans="2:12">
      <c r="B238" s="215"/>
      <c r="C238" s="215"/>
      <c r="D238" s="215"/>
      <c r="E238" s="215"/>
      <c r="F238" s="215"/>
      <c r="G238" s="215"/>
      <c r="H238" s="215"/>
      <c r="I238" s="215"/>
      <c r="J238" s="215"/>
      <c r="K238" s="215"/>
      <c r="L238" s="215"/>
    </row>
    <row r="239" spans="2:12">
      <c r="B239" s="215"/>
      <c r="C239" s="215"/>
      <c r="D239" s="215"/>
      <c r="E239" s="215"/>
      <c r="F239" s="215"/>
      <c r="G239" s="215"/>
      <c r="H239" s="215"/>
      <c r="I239" s="215"/>
      <c r="J239" s="215"/>
      <c r="K239" s="215"/>
      <c r="L239" s="215"/>
    </row>
    <row r="240" spans="2:12">
      <c r="B240" s="215"/>
      <c r="C240" s="215"/>
      <c r="D240" s="215"/>
      <c r="E240" s="215"/>
      <c r="F240" s="215"/>
      <c r="G240" s="215"/>
      <c r="H240" s="215"/>
      <c r="I240" s="215"/>
      <c r="J240" s="215"/>
      <c r="K240" s="215"/>
      <c r="L240" s="215"/>
    </row>
    <row r="241" spans="2:12">
      <c r="B241" s="215"/>
      <c r="C241" s="215"/>
      <c r="D241" s="215"/>
      <c r="E241" s="215"/>
      <c r="F241" s="215"/>
      <c r="G241" s="215"/>
      <c r="H241" s="215"/>
      <c r="I241" s="215"/>
      <c r="J241" s="215"/>
      <c r="K241" s="215"/>
      <c r="L241" s="215"/>
    </row>
    <row r="242" spans="2:12">
      <c r="B242" s="215"/>
      <c r="C242" s="215"/>
      <c r="D242" s="215"/>
      <c r="E242" s="215"/>
      <c r="F242" s="215"/>
      <c r="G242" s="215"/>
      <c r="H242" s="215"/>
      <c r="I242" s="215"/>
      <c r="J242" s="215"/>
      <c r="K242" s="215"/>
      <c r="L242" s="215"/>
    </row>
    <row r="243" spans="2:12">
      <c r="B243" s="215"/>
      <c r="C243" s="215"/>
      <c r="D243" s="215"/>
      <c r="E243" s="215"/>
      <c r="F243" s="215"/>
      <c r="G243" s="215"/>
      <c r="H243" s="215"/>
      <c r="I243" s="215"/>
      <c r="J243" s="215"/>
      <c r="K243" s="215"/>
      <c r="L243" s="215"/>
    </row>
    <row r="244" spans="2:12">
      <c r="B244" s="215"/>
      <c r="C244" s="215"/>
      <c r="D244" s="215"/>
      <c r="E244" s="215"/>
      <c r="F244" s="215"/>
      <c r="G244" s="215"/>
      <c r="H244" s="215"/>
      <c r="I244" s="215"/>
      <c r="J244" s="215"/>
      <c r="K244" s="215"/>
      <c r="L244" s="215"/>
    </row>
    <row r="245" spans="2:12">
      <c r="B245" s="215"/>
      <c r="C245" s="215"/>
      <c r="D245" s="215"/>
      <c r="E245" s="215"/>
      <c r="F245" s="215"/>
      <c r="G245" s="215"/>
      <c r="H245" s="215"/>
      <c r="I245" s="215"/>
      <c r="J245" s="215"/>
      <c r="K245" s="215"/>
      <c r="L245" s="215"/>
    </row>
    <row r="246" spans="2:12">
      <c r="B246" s="215"/>
      <c r="C246" s="215"/>
      <c r="D246" s="215"/>
      <c r="E246" s="215"/>
      <c r="F246" s="215"/>
      <c r="G246" s="215"/>
      <c r="H246" s="215"/>
      <c r="I246" s="215"/>
      <c r="J246" s="215"/>
      <c r="K246" s="215"/>
      <c r="L246" s="215"/>
    </row>
    <row r="247" spans="2:12">
      <c r="B247" s="215"/>
      <c r="C247" s="215"/>
      <c r="D247" s="215"/>
      <c r="E247" s="215"/>
      <c r="F247" s="215"/>
      <c r="G247" s="215"/>
      <c r="H247" s="215"/>
      <c r="I247" s="215"/>
      <c r="J247" s="215"/>
      <c r="K247" s="215"/>
      <c r="L247" s="215"/>
    </row>
    <row r="248" spans="2:12">
      <c r="B248" s="215"/>
      <c r="C248" s="215"/>
      <c r="D248" s="215"/>
      <c r="E248" s="215"/>
      <c r="F248" s="215"/>
      <c r="G248" s="215"/>
      <c r="H248" s="215"/>
      <c r="I248" s="215"/>
      <c r="J248" s="215"/>
      <c r="K248" s="215"/>
      <c r="L248" s="215"/>
    </row>
    <row r="249" spans="2:12">
      <c r="B249" s="215"/>
      <c r="C249" s="215"/>
      <c r="D249" s="215"/>
      <c r="E249" s="215"/>
      <c r="F249" s="215"/>
      <c r="G249" s="215"/>
      <c r="H249" s="215"/>
      <c r="I249" s="215"/>
      <c r="J249" s="215"/>
      <c r="K249" s="215"/>
      <c r="L249" s="215"/>
    </row>
    <row r="250" spans="2:12">
      <c r="B250" s="215"/>
      <c r="C250" s="215"/>
      <c r="D250" s="215"/>
      <c r="E250" s="215"/>
      <c r="F250" s="215"/>
      <c r="G250" s="215"/>
      <c r="H250" s="215"/>
      <c r="I250" s="215"/>
      <c r="J250" s="215"/>
      <c r="K250" s="215"/>
      <c r="L250" s="215"/>
    </row>
    <row r="251" spans="2:12">
      <c r="B251" s="215"/>
      <c r="C251" s="215"/>
      <c r="D251" s="215"/>
      <c r="E251" s="215"/>
      <c r="F251" s="215"/>
      <c r="G251" s="215"/>
      <c r="H251" s="215"/>
      <c r="I251" s="215"/>
      <c r="J251" s="215"/>
      <c r="K251" s="215"/>
      <c r="L251" s="215"/>
    </row>
  </sheetData>
  <mergeCells count="11">
    <mergeCell ref="A57:J57"/>
    <mergeCell ref="A36:C36"/>
    <mergeCell ref="A18:D18"/>
    <mergeCell ref="E18:J18"/>
    <mergeCell ref="A39:J39"/>
    <mergeCell ref="E36:J36"/>
    <mergeCell ref="A5:A6"/>
    <mergeCell ref="A2:J2"/>
    <mergeCell ref="A4:J4"/>
    <mergeCell ref="A15:J15"/>
    <mergeCell ref="A56:J56"/>
  </mergeCells>
  <pageMargins left="0.4365" right="0.33950000000000002" top="0.94512820512820517" bottom="0.5098717948717949"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sheetPr>
  <dimension ref="A3:L56"/>
  <sheetViews>
    <sheetView showGridLines="0" view="pageBreakPreview" zoomScaleNormal="130" zoomScaleSheetLayoutView="100" workbookViewId="0">
      <selection activeCell="D14" sqref="D14"/>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34" t="s">
        <v>0</v>
      </c>
      <c r="B3" s="834"/>
      <c r="C3" s="834"/>
      <c r="D3" s="834"/>
      <c r="E3" s="834"/>
      <c r="F3" s="834"/>
      <c r="G3" s="834"/>
      <c r="H3" s="834"/>
      <c r="I3" s="834"/>
      <c r="J3" s="834"/>
      <c r="K3" s="834"/>
      <c r="L3" s="834"/>
    </row>
    <row r="4" spans="1:12">
      <c r="A4" s="834"/>
      <c r="B4" s="834"/>
      <c r="C4" s="834"/>
      <c r="D4" s="834"/>
      <c r="E4" s="834"/>
      <c r="F4" s="834"/>
      <c r="G4" s="834"/>
      <c r="H4" s="834"/>
      <c r="I4" s="834"/>
      <c r="J4" s="834"/>
      <c r="K4" s="834"/>
      <c r="L4" s="834"/>
    </row>
    <row r="5" spans="1:12" ht="11.4">
      <c r="A5" s="3"/>
      <c r="B5" s="216"/>
      <c r="C5" s="2"/>
      <c r="D5" s="2"/>
      <c r="E5" s="37"/>
      <c r="F5" s="2"/>
      <c r="G5" s="2"/>
      <c r="H5" s="2"/>
      <c r="I5" s="2"/>
      <c r="J5" s="2"/>
      <c r="K5" s="2"/>
      <c r="L5" s="8" t="s">
        <v>1</v>
      </c>
    </row>
    <row r="6" spans="1:12" ht="11.4">
      <c r="A6" s="3"/>
      <c r="B6" s="216"/>
      <c r="C6" s="2"/>
      <c r="D6" s="2"/>
      <c r="E6" s="37"/>
      <c r="F6" s="2"/>
      <c r="G6" s="2"/>
      <c r="H6" s="2"/>
      <c r="I6" s="2"/>
      <c r="J6" s="2"/>
      <c r="K6" s="2"/>
      <c r="L6" s="5"/>
    </row>
    <row r="7" spans="1:12" ht="19.5" customHeight="1">
      <c r="A7" s="20" t="s">
        <v>383</v>
      </c>
      <c r="B7" s="217"/>
      <c r="C7" s="25"/>
      <c r="D7" s="25"/>
      <c r="E7" s="25"/>
      <c r="F7" s="25"/>
      <c r="G7" s="25"/>
      <c r="H7" s="25"/>
      <c r="I7" s="25"/>
      <c r="J7" s="25"/>
      <c r="K7" s="25"/>
      <c r="L7" s="25"/>
    </row>
    <row r="8" spans="1:12" ht="17.25" customHeight="1">
      <c r="A8" s="25"/>
      <c r="B8" s="25" t="s">
        <v>610</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528</v>
      </c>
      <c r="B10" s="217"/>
      <c r="C10" s="25"/>
      <c r="D10" s="25"/>
      <c r="E10" s="25"/>
      <c r="F10" s="25"/>
      <c r="G10" s="25"/>
      <c r="H10" s="25"/>
      <c r="I10" s="25"/>
      <c r="J10" s="25"/>
      <c r="K10" s="25"/>
      <c r="L10" s="22"/>
    </row>
    <row r="11" spans="1:12" ht="19.5" customHeight="1">
      <c r="A11" s="27"/>
      <c r="B11" s="25" t="s">
        <v>425</v>
      </c>
      <c r="C11" s="25"/>
      <c r="D11" s="25"/>
      <c r="E11" s="25"/>
      <c r="F11" s="21"/>
      <c r="G11" s="21"/>
      <c r="H11" s="21"/>
      <c r="I11" s="21"/>
      <c r="J11" s="21"/>
      <c r="K11" s="21"/>
      <c r="L11" s="22" t="s">
        <v>2</v>
      </c>
    </row>
    <row r="12" spans="1:12" ht="19.5" customHeight="1">
      <c r="A12" s="27"/>
      <c r="B12" s="25" t="s">
        <v>364</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376</v>
      </c>
      <c r="B14" s="25"/>
      <c r="C14" s="25"/>
      <c r="D14" s="25"/>
      <c r="E14" s="25"/>
      <c r="F14" s="25"/>
      <c r="G14" s="25"/>
      <c r="H14" s="25"/>
      <c r="I14" s="25"/>
      <c r="J14" s="25"/>
      <c r="K14" s="25"/>
      <c r="L14" s="22"/>
    </row>
    <row r="15" spans="1:12" ht="19.5" customHeight="1">
      <c r="A15" s="27"/>
      <c r="B15" s="25" t="s">
        <v>353</v>
      </c>
      <c r="C15" s="25"/>
      <c r="D15" s="25"/>
      <c r="E15" s="25"/>
      <c r="F15" s="21"/>
      <c r="G15" s="21"/>
      <c r="H15" s="21"/>
      <c r="I15" s="21"/>
      <c r="J15" s="21"/>
      <c r="K15" s="21"/>
      <c r="L15" s="22" t="s">
        <v>3</v>
      </c>
    </row>
    <row r="16" spans="1:12" ht="19.5" customHeight="1">
      <c r="A16" s="27"/>
      <c r="B16" s="25" t="s">
        <v>362</v>
      </c>
      <c r="C16" s="25"/>
      <c r="D16" s="25"/>
      <c r="E16" s="25"/>
      <c r="F16" s="25"/>
      <c r="G16" s="21"/>
      <c r="H16" s="21"/>
      <c r="I16" s="21"/>
      <c r="J16" s="21"/>
      <c r="K16" s="21"/>
      <c r="L16" s="22" t="s">
        <v>4</v>
      </c>
    </row>
    <row r="17" spans="1:12" ht="19.5" customHeight="1">
      <c r="A17" s="27"/>
      <c r="B17" s="25" t="s">
        <v>354</v>
      </c>
      <c r="C17" s="25"/>
      <c r="D17" s="25"/>
      <c r="E17" s="25"/>
      <c r="F17" s="25"/>
      <c r="G17" s="21"/>
      <c r="H17" s="21"/>
      <c r="I17" s="21"/>
      <c r="J17" s="21"/>
      <c r="K17" s="21"/>
      <c r="L17" s="22" t="s">
        <v>5</v>
      </c>
    </row>
    <row r="18" spans="1:12" ht="19.5" customHeight="1">
      <c r="A18" s="27"/>
      <c r="B18" s="25" t="s">
        <v>355</v>
      </c>
      <c r="C18" s="25"/>
      <c r="D18" s="25"/>
      <c r="E18" s="25"/>
      <c r="F18" s="21"/>
      <c r="G18" s="21"/>
      <c r="H18" s="21"/>
      <c r="I18" s="21"/>
      <c r="J18" s="21"/>
      <c r="K18" s="21"/>
      <c r="L18" s="22" t="s">
        <v>6</v>
      </c>
    </row>
    <row r="19" spans="1:12" ht="19.5" customHeight="1">
      <c r="A19" s="27"/>
      <c r="B19" s="25" t="s">
        <v>356</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375</v>
      </c>
      <c r="B21" s="25"/>
      <c r="C21" s="25"/>
      <c r="D21" s="25"/>
      <c r="E21" s="25"/>
      <c r="F21" s="25"/>
      <c r="G21" s="25"/>
      <c r="H21" s="25"/>
      <c r="I21" s="25"/>
      <c r="J21" s="25"/>
      <c r="K21" s="25"/>
      <c r="L21" s="30"/>
    </row>
    <row r="22" spans="1:12" ht="19.5" customHeight="1">
      <c r="A22" s="25"/>
      <c r="B22" s="25" t="s">
        <v>377</v>
      </c>
      <c r="C22" s="25"/>
      <c r="D22" s="25"/>
      <c r="E22" s="25"/>
      <c r="F22" s="25"/>
      <c r="G22" s="21"/>
      <c r="H22" s="21"/>
      <c r="I22" s="21"/>
      <c r="J22" s="21"/>
      <c r="K22" s="21"/>
      <c r="L22" s="22" t="s">
        <v>9</v>
      </c>
    </row>
    <row r="23" spans="1:12" ht="19.5" customHeight="1">
      <c r="A23" s="31"/>
      <c r="B23" s="25" t="s">
        <v>415</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245</v>
      </c>
      <c r="B25" s="25"/>
      <c r="C25" s="25"/>
      <c r="D25" s="25"/>
      <c r="E25" s="25"/>
      <c r="F25" s="25"/>
      <c r="G25" s="25"/>
      <c r="H25" s="25"/>
      <c r="I25" s="25"/>
      <c r="J25" s="25"/>
      <c r="K25" s="25"/>
      <c r="L25" s="30"/>
    </row>
    <row r="26" spans="1:12" ht="19.5" customHeight="1">
      <c r="A26" s="25"/>
      <c r="B26" s="25" t="s">
        <v>379</v>
      </c>
      <c r="C26" s="25"/>
      <c r="D26" s="25"/>
      <c r="E26" s="25"/>
      <c r="F26" s="21"/>
      <c r="G26" s="21"/>
      <c r="H26" s="21"/>
      <c r="I26" s="21"/>
      <c r="J26" s="21"/>
      <c r="K26" s="33"/>
      <c r="L26" s="22" t="s">
        <v>11</v>
      </c>
    </row>
    <row r="27" spans="1:12" ht="19.5" customHeight="1">
      <c r="A27" s="25"/>
      <c r="B27" s="25" t="s">
        <v>357</v>
      </c>
      <c r="C27" s="25"/>
      <c r="D27" s="25"/>
      <c r="E27" s="25"/>
      <c r="F27" s="25"/>
      <c r="G27" s="21"/>
      <c r="H27" s="21"/>
      <c r="I27" s="21"/>
      <c r="J27" s="21"/>
      <c r="K27" s="33"/>
      <c r="L27" s="22" t="s">
        <v>11</v>
      </c>
    </row>
    <row r="28" spans="1:12" ht="19.5" customHeight="1">
      <c r="A28" s="31"/>
      <c r="B28" s="25" t="s">
        <v>378</v>
      </c>
      <c r="C28" s="25"/>
      <c r="D28" s="25"/>
      <c r="E28" s="25"/>
      <c r="F28" s="21"/>
      <c r="G28" s="21"/>
      <c r="H28" s="33"/>
      <c r="I28" s="33"/>
      <c r="J28" s="33"/>
      <c r="K28" s="33"/>
      <c r="L28" s="22" t="s">
        <v>12</v>
      </c>
    </row>
    <row r="29" spans="1:12" ht="19.5" customHeight="1">
      <c r="A29" s="31"/>
      <c r="B29" s="25" t="s">
        <v>363</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368</v>
      </c>
      <c r="B31" s="25"/>
      <c r="C31" s="25"/>
      <c r="D31" s="25"/>
      <c r="E31" s="25"/>
      <c r="F31" s="25"/>
      <c r="G31" s="25"/>
      <c r="H31" s="25"/>
      <c r="I31" s="25"/>
      <c r="J31" s="25"/>
      <c r="K31" s="25"/>
      <c r="L31" s="22"/>
    </row>
    <row r="32" spans="1:12" ht="19.5" customHeight="1">
      <c r="A32" s="31"/>
      <c r="B32" s="25" t="s">
        <v>380</v>
      </c>
      <c r="C32" s="25"/>
      <c r="D32" s="25"/>
      <c r="E32" s="25"/>
      <c r="F32" s="25"/>
      <c r="G32" s="21"/>
      <c r="H32" s="21"/>
      <c r="I32" s="21"/>
      <c r="J32" s="21"/>
      <c r="K32" s="21"/>
      <c r="L32" s="22" t="s">
        <v>13</v>
      </c>
    </row>
    <row r="33" spans="1:12" ht="19.5" customHeight="1">
      <c r="A33" s="31"/>
      <c r="B33" s="25" t="s">
        <v>358</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359</v>
      </c>
      <c r="B35" s="26"/>
      <c r="C35" s="32"/>
      <c r="D35" s="26"/>
      <c r="E35" s="26"/>
      <c r="F35" s="26"/>
      <c r="G35" s="26"/>
      <c r="H35" s="26"/>
      <c r="I35" s="26"/>
      <c r="J35" s="26"/>
      <c r="K35" s="26"/>
      <c r="L35" s="22"/>
    </row>
    <row r="36" spans="1:12" ht="19.5" customHeight="1">
      <c r="A36" s="27"/>
      <c r="B36" s="25" t="s">
        <v>381</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360</v>
      </c>
      <c r="B38" s="35"/>
      <c r="C38" s="25"/>
      <c r="D38" s="25"/>
      <c r="E38" s="25"/>
      <c r="F38" s="25"/>
      <c r="G38" s="25"/>
      <c r="H38" s="25"/>
      <c r="I38" s="25"/>
      <c r="J38" s="25"/>
      <c r="K38" s="25"/>
      <c r="L38" s="38"/>
    </row>
    <row r="39" spans="1:12" ht="19.5" customHeight="1">
      <c r="A39" s="27"/>
      <c r="B39" s="25" t="s">
        <v>361</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204</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382</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6"/>
  <sheetViews>
    <sheetView showGridLines="0" view="pageBreakPreview" zoomScaleNormal="100" zoomScaleSheetLayoutView="100" zoomScalePageLayoutView="130" workbookViewId="0">
      <selection activeCell="E19" sqref="E19"/>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69" t="s">
        <v>263</v>
      </c>
      <c r="B1" s="268"/>
      <c r="C1" s="268"/>
      <c r="D1" s="268"/>
      <c r="E1" s="268"/>
      <c r="F1" s="268"/>
      <c r="G1" s="268"/>
    </row>
    <row r="2" spans="1:8" ht="14.25" customHeight="1">
      <c r="A2" s="929" t="s">
        <v>243</v>
      </c>
      <c r="B2" s="932" t="s">
        <v>52</v>
      </c>
      <c r="C2" s="935" t="str">
        <f>"ENERGÍA PRODUCIDA "&amp;UPPER('1. Resumen'!Q4)&amp;" "&amp;'1. Resumen'!Q5</f>
        <v>ENERGÍA PRODUCIDA FEBRERO 2023</v>
      </c>
      <c r="D2" s="935"/>
      <c r="E2" s="935"/>
      <c r="F2" s="935"/>
      <c r="G2" s="494" t="s">
        <v>264</v>
      </c>
      <c r="H2" s="203"/>
    </row>
    <row r="3" spans="1:8" ht="11.25" customHeight="1">
      <c r="A3" s="930"/>
      <c r="B3" s="933"/>
      <c r="C3" s="936" t="s">
        <v>265</v>
      </c>
      <c r="D3" s="936"/>
      <c r="E3" s="936"/>
      <c r="F3" s="937" t="str">
        <f>"TOTAL 
"&amp;UPPER('1. Resumen'!Q4)</f>
        <v>TOTAL 
FEBRERO</v>
      </c>
      <c r="G3" s="495" t="s">
        <v>266</v>
      </c>
      <c r="H3" s="194"/>
    </row>
    <row r="4" spans="1:8" ht="12.75" customHeight="1">
      <c r="A4" s="930"/>
      <c r="B4" s="933"/>
      <c r="C4" s="490" t="s">
        <v>208</v>
      </c>
      <c r="D4" s="490" t="s">
        <v>209</v>
      </c>
      <c r="E4" s="490" t="s">
        <v>267</v>
      </c>
      <c r="F4" s="938"/>
      <c r="G4" s="495">
        <v>2023</v>
      </c>
      <c r="H4" s="196"/>
    </row>
    <row r="5" spans="1:8" ht="11.25" customHeight="1">
      <c r="A5" s="931"/>
      <c r="B5" s="934"/>
      <c r="C5" s="491" t="s">
        <v>268</v>
      </c>
      <c r="D5" s="491" t="s">
        <v>268</v>
      </c>
      <c r="E5" s="491" t="s">
        <v>268</v>
      </c>
      <c r="F5" s="491" t="s">
        <v>268</v>
      </c>
      <c r="G5" s="496" t="s">
        <v>201</v>
      </c>
      <c r="H5" s="196"/>
    </row>
    <row r="6" spans="1:8" ht="8.4" customHeight="1">
      <c r="A6" s="525" t="s">
        <v>117</v>
      </c>
      <c r="B6" s="335" t="s">
        <v>84</v>
      </c>
      <c r="C6" s="336"/>
      <c r="D6" s="336"/>
      <c r="E6" s="336">
        <v>0</v>
      </c>
      <c r="F6" s="336">
        <v>0</v>
      </c>
      <c r="G6" s="524">
        <v>1754.6121424999999</v>
      </c>
      <c r="H6" s="196"/>
    </row>
    <row r="7" spans="1:8" ht="8.4" customHeight="1">
      <c r="A7" s="521" t="s">
        <v>457</v>
      </c>
      <c r="B7" s="400"/>
      <c r="C7" s="401"/>
      <c r="D7" s="401"/>
      <c r="E7" s="401">
        <v>0</v>
      </c>
      <c r="F7" s="401">
        <v>0</v>
      </c>
      <c r="G7" s="523">
        <v>1754.6121424999999</v>
      </c>
      <c r="H7" s="196"/>
    </row>
    <row r="8" spans="1:8" ht="8.4" customHeight="1">
      <c r="A8" s="525" t="s">
        <v>116</v>
      </c>
      <c r="B8" s="335" t="s">
        <v>61</v>
      </c>
      <c r="C8" s="336"/>
      <c r="D8" s="336"/>
      <c r="E8" s="336">
        <v>13146.740900000001</v>
      </c>
      <c r="F8" s="336">
        <v>13146.740900000001</v>
      </c>
      <c r="G8" s="524">
        <v>26994.994400000003</v>
      </c>
      <c r="H8" s="196"/>
    </row>
    <row r="9" spans="1:8" ht="8.4" customHeight="1">
      <c r="A9" s="521" t="s">
        <v>458</v>
      </c>
      <c r="B9" s="400"/>
      <c r="C9" s="401"/>
      <c r="D9" s="401"/>
      <c r="E9" s="401">
        <v>13146.740900000001</v>
      </c>
      <c r="F9" s="401">
        <v>13146.740900000001</v>
      </c>
      <c r="G9" s="523">
        <v>26994.994400000003</v>
      </c>
      <c r="H9" s="196"/>
    </row>
    <row r="10" spans="1:8" ht="8.4" customHeight="1">
      <c r="A10" s="520" t="s">
        <v>104</v>
      </c>
      <c r="B10" s="299" t="s">
        <v>81</v>
      </c>
      <c r="C10" s="493"/>
      <c r="D10" s="493"/>
      <c r="E10" s="493">
        <v>3794.405585</v>
      </c>
      <c r="F10" s="493">
        <v>3794.405585</v>
      </c>
      <c r="G10" s="522">
        <v>12559.6798125</v>
      </c>
      <c r="H10" s="196"/>
    </row>
    <row r="11" spans="1:8" ht="8.4" customHeight="1">
      <c r="A11" s="521" t="s">
        <v>459</v>
      </c>
      <c r="B11" s="400"/>
      <c r="C11" s="401"/>
      <c r="D11" s="401"/>
      <c r="E11" s="401">
        <v>3794.405585</v>
      </c>
      <c r="F11" s="401">
        <v>3794.405585</v>
      </c>
      <c r="G11" s="523">
        <v>12559.6798125</v>
      </c>
      <c r="H11" s="196"/>
    </row>
    <row r="12" spans="1:8" ht="8.4" customHeight="1">
      <c r="A12" s="520" t="s">
        <v>400</v>
      </c>
      <c r="B12" s="299" t="s">
        <v>402</v>
      </c>
      <c r="C12" s="493"/>
      <c r="D12" s="493"/>
      <c r="E12" s="493">
        <v>11038.627085</v>
      </c>
      <c r="F12" s="493">
        <v>11038.627085</v>
      </c>
      <c r="G12" s="522">
        <v>17928.984377500001</v>
      </c>
      <c r="H12" s="196"/>
    </row>
    <row r="13" spans="1:8" ht="8.4" customHeight="1">
      <c r="A13" s="521" t="s">
        <v>460</v>
      </c>
      <c r="B13" s="400"/>
      <c r="C13" s="401"/>
      <c r="D13" s="401"/>
      <c r="E13" s="401">
        <v>11038.627085</v>
      </c>
      <c r="F13" s="401">
        <v>11038.627085</v>
      </c>
      <c r="G13" s="523">
        <v>17928.984377500001</v>
      </c>
      <c r="H13" s="196"/>
    </row>
    <row r="14" spans="1:8" ht="8.4" customHeight="1">
      <c r="A14" s="520" t="s">
        <v>449</v>
      </c>
      <c r="B14" s="299" t="s">
        <v>73</v>
      </c>
      <c r="C14" s="493"/>
      <c r="D14" s="493"/>
      <c r="E14" s="493">
        <v>560.25199999999995</v>
      </c>
      <c r="F14" s="493">
        <v>560.25199999999995</v>
      </c>
      <c r="G14" s="522">
        <v>1039.0093649999999</v>
      </c>
      <c r="H14" s="196"/>
    </row>
    <row r="15" spans="1:8" ht="8.4" customHeight="1">
      <c r="A15" s="521" t="s">
        <v>461</v>
      </c>
      <c r="B15" s="400"/>
      <c r="C15" s="401"/>
      <c r="D15" s="401"/>
      <c r="E15" s="401">
        <v>560.25199999999995</v>
      </c>
      <c r="F15" s="401">
        <v>560.25199999999995</v>
      </c>
      <c r="G15" s="523">
        <v>1039.0093649999999</v>
      </c>
      <c r="H15" s="196"/>
    </row>
    <row r="16" spans="1:8" ht="8.4" customHeight="1">
      <c r="A16" s="520" t="s">
        <v>430</v>
      </c>
      <c r="B16" s="299" t="s">
        <v>436</v>
      </c>
      <c r="C16" s="493"/>
      <c r="D16" s="493"/>
      <c r="E16" s="493">
        <v>5093.9247500000001</v>
      </c>
      <c r="F16" s="493">
        <v>5093.9247500000001</v>
      </c>
      <c r="G16" s="522">
        <v>10411.216</v>
      </c>
      <c r="H16" s="196"/>
    </row>
    <row r="17" spans="1:8" ht="8.4" customHeight="1">
      <c r="A17" s="521" t="s">
        <v>462</v>
      </c>
      <c r="B17" s="400"/>
      <c r="C17" s="401"/>
      <c r="D17" s="401"/>
      <c r="E17" s="401">
        <v>5093.9247500000001</v>
      </c>
      <c r="F17" s="401">
        <v>5093.9247500000001</v>
      </c>
      <c r="G17" s="523">
        <v>10411.216</v>
      </c>
      <c r="H17" s="196"/>
    </row>
    <row r="18" spans="1:8" ht="8.4" customHeight="1">
      <c r="A18" s="520" t="s">
        <v>92</v>
      </c>
      <c r="B18" s="299" t="s">
        <v>269</v>
      </c>
      <c r="C18" s="493">
        <v>133759.07329999999</v>
      </c>
      <c r="D18" s="493"/>
      <c r="E18" s="493"/>
      <c r="F18" s="493">
        <v>133759.07329999999</v>
      </c>
      <c r="G18" s="522">
        <v>265204.7144</v>
      </c>
      <c r="H18" s="196"/>
    </row>
    <row r="19" spans="1:8" ht="8.4" customHeight="1">
      <c r="A19" s="521" t="s">
        <v>463</v>
      </c>
      <c r="B19" s="400"/>
      <c r="C19" s="401">
        <v>133759.07329999999</v>
      </c>
      <c r="D19" s="401"/>
      <c r="E19" s="401"/>
      <c r="F19" s="401">
        <v>133759.07329999999</v>
      </c>
      <c r="G19" s="523">
        <v>265204.7144</v>
      </c>
      <c r="H19" s="196"/>
    </row>
    <row r="20" spans="1:8" ht="8.4" customHeight="1">
      <c r="A20" s="520" t="s">
        <v>451</v>
      </c>
      <c r="B20" s="299" t="s">
        <v>308</v>
      </c>
      <c r="C20" s="493">
        <v>12449.366347500001</v>
      </c>
      <c r="D20" s="493"/>
      <c r="E20" s="493"/>
      <c r="F20" s="493">
        <v>12449.366347500001</v>
      </c>
      <c r="G20" s="522">
        <v>27096.066455</v>
      </c>
      <c r="H20" s="196"/>
    </row>
    <row r="21" spans="1:8" ht="8.4" customHeight="1">
      <c r="A21" s="521" t="s">
        <v>464</v>
      </c>
      <c r="B21" s="400"/>
      <c r="C21" s="401">
        <v>12449.366347500001</v>
      </c>
      <c r="D21" s="401"/>
      <c r="E21" s="401"/>
      <c r="F21" s="401">
        <v>12449.366347500001</v>
      </c>
      <c r="G21" s="523">
        <v>27096.066455</v>
      </c>
      <c r="H21" s="196"/>
    </row>
    <row r="22" spans="1:8" ht="8.4" customHeight="1">
      <c r="A22" s="520" t="s">
        <v>521</v>
      </c>
      <c r="B22" s="299" t="s">
        <v>529</v>
      </c>
      <c r="C22" s="493">
        <v>518.65357500000005</v>
      </c>
      <c r="D22" s="493"/>
      <c r="E22" s="493"/>
      <c r="F22" s="493">
        <v>518.65357500000005</v>
      </c>
      <c r="G22" s="522">
        <v>997.32582500000012</v>
      </c>
      <c r="H22" s="196"/>
    </row>
    <row r="23" spans="1:8" ht="8.4" customHeight="1">
      <c r="A23" s="520"/>
      <c r="B23" s="299" t="s">
        <v>530</v>
      </c>
      <c r="C23" s="493">
        <v>532.57996500000002</v>
      </c>
      <c r="D23" s="493"/>
      <c r="E23" s="493"/>
      <c r="F23" s="493">
        <v>532.57996500000002</v>
      </c>
      <c r="G23" s="522">
        <v>1338.4291000000001</v>
      </c>
      <c r="H23" s="196"/>
    </row>
    <row r="24" spans="1:8" ht="8.4" customHeight="1">
      <c r="A24" s="521" t="s">
        <v>523</v>
      </c>
      <c r="B24" s="400"/>
      <c r="C24" s="401">
        <v>1051.2335400000002</v>
      </c>
      <c r="D24" s="401"/>
      <c r="E24" s="401"/>
      <c r="F24" s="401">
        <v>1051.2335400000002</v>
      </c>
      <c r="G24" s="523">
        <v>2335.7549250000002</v>
      </c>
      <c r="H24" s="196"/>
    </row>
    <row r="25" spans="1:8" ht="8.4" customHeight="1">
      <c r="A25" s="520" t="s">
        <v>229</v>
      </c>
      <c r="B25" s="299" t="s">
        <v>270</v>
      </c>
      <c r="C25" s="493"/>
      <c r="D25" s="493">
        <v>2334.4347499999999</v>
      </c>
      <c r="E25" s="493"/>
      <c r="F25" s="493">
        <v>2334.4347499999999</v>
      </c>
      <c r="G25" s="522">
        <v>3171.4519999999998</v>
      </c>
      <c r="H25" s="196"/>
    </row>
    <row r="26" spans="1:8" ht="8.4" customHeight="1">
      <c r="A26" s="521" t="s">
        <v>465</v>
      </c>
      <c r="B26" s="400"/>
      <c r="C26" s="401"/>
      <c r="D26" s="401">
        <v>2334.4347499999999</v>
      </c>
      <c r="E26" s="401"/>
      <c r="F26" s="401">
        <v>2334.4347499999999</v>
      </c>
      <c r="G26" s="523">
        <v>3171.4519999999998</v>
      </c>
      <c r="H26" s="196"/>
    </row>
    <row r="27" spans="1:8" ht="8.4" customHeight="1">
      <c r="A27" s="520" t="s">
        <v>91</v>
      </c>
      <c r="B27" s="299" t="s">
        <v>271</v>
      </c>
      <c r="C27" s="493">
        <v>87462.83</v>
      </c>
      <c r="D27" s="493"/>
      <c r="E27" s="493"/>
      <c r="F27" s="493">
        <v>87462.83</v>
      </c>
      <c r="G27" s="522">
        <v>172224.12875</v>
      </c>
      <c r="H27" s="196"/>
    </row>
    <row r="28" spans="1:8" ht="8.4" customHeight="1">
      <c r="A28" s="520"/>
      <c r="B28" s="299" t="s">
        <v>272</v>
      </c>
      <c r="C28" s="493">
        <v>25576.62</v>
      </c>
      <c r="D28" s="493"/>
      <c r="E28" s="493"/>
      <c r="F28" s="493">
        <v>25576.62</v>
      </c>
      <c r="G28" s="522">
        <v>42240.017250000004</v>
      </c>
      <c r="H28" s="196"/>
    </row>
    <row r="29" spans="1:8" ht="8.4" customHeight="1">
      <c r="A29" s="521" t="s">
        <v>466</v>
      </c>
      <c r="B29" s="400"/>
      <c r="C29" s="401">
        <v>113039.45</v>
      </c>
      <c r="D29" s="401"/>
      <c r="E29" s="401"/>
      <c r="F29" s="401">
        <v>113039.45</v>
      </c>
      <c r="G29" s="523">
        <v>214464.14600000001</v>
      </c>
      <c r="H29" s="196"/>
    </row>
    <row r="30" spans="1:8" ht="8.4" customHeight="1">
      <c r="A30" s="520" t="s">
        <v>522</v>
      </c>
      <c r="B30" s="299" t="s">
        <v>531</v>
      </c>
      <c r="C30" s="493"/>
      <c r="D30" s="493"/>
      <c r="E30" s="493">
        <v>156.65475000000001</v>
      </c>
      <c r="F30" s="493">
        <v>156.65475000000001</v>
      </c>
      <c r="G30" s="522">
        <v>346.20299999999997</v>
      </c>
      <c r="H30" s="196"/>
    </row>
    <row r="31" spans="1:8" ht="8.4" customHeight="1">
      <c r="A31" s="521" t="s">
        <v>524</v>
      </c>
      <c r="B31" s="400"/>
      <c r="C31" s="401"/>
      <c r="D31" s="401"/>
      <c r="E31" s="401">
        <v>156.65475000000001</v>
      </c>
      <c r="F31" s="401">
        <v>156.65475000000001</v>
      </c>
      <c r="G31" s="523">
        <v>346.20299999999997</v>
      </c>
      <c r="H31" s="196"/>
    </row>
    <row r="32" spans="1:8" ht="8.4" customHeight="1">
      <c r="A32" s="520" t="s">
        <v>89</v>
      </c>
      <c r="B32" s="299" t="s">
        <v>273</v>
      </c>
      <c r="C32" s="493">
        <v>1075.65698</v>
      </c>
      <c r="D32" s="493"/>
      <c r="E32" s="493"/>
      <c r="F32" s="493">
        <v>1075.65698</v>
      </c>
      <c r="G32" s="522">
        <v>2270.1038399999998</v>
      </c>
      <c r="H32" s="196"/>
    </row>
    <row r="33" spans="1:8" ht="8.4" customHeight="1">
      <c r="A33" s="520"/>
      <c r="B33" s="299" t="s">
        <v>274</v>
      </c>
      <c r="C33" s="493">
        <v>295.43535000000003</v>
      </c>
      <c r="D33" s="493"/>
      <c r="E33" s="493"/>
      <c r="F33" s="493">
        <v>295.43535000000003</v>
      </c>
      <c r="G33" s="522">
        <v>701.29697749999991</v>
      </c>
      <c r="H33" s="196"/>
    </row>
    <row r="34" spans="1:8" ht="8.4" customHeight="1">
      <c r="A34" s="520"/>
      <c r="B34" s="299" t="s">
        <v>275</v>
      </c>
      <c r="C34" s="493">
        <v>3115.7803400000003</v>
      </c>
      <c r="D34" s="493"/>
      <c r="E34" s="493"/>
      <c r="F34" s="493">
        <v>3115.7803400000003</v>
      </c>
      <c r="G34" s="522">
        <v>6505.5503225000002</v>
      </c>
      <c r="H34" s="196"/>
    </row>
    <row r="35" spans="1:8" ht="8.4" customHeight="1">
      <c r="A35" s="520"/>
      <c r="B35" s="299" t="s">
        <v>276</v>
      </c>
      <c r="C35" s="493">
        <v>8517.5072174999987</v>
      </c>
      <c r="D35" s="493"/>
      <c r="E35" s="493"/>
      <c r="F35" s="493">
        <v>8517.5072174999987</v>
      </c>
      <c r="G35" s="522">
        <v>16349.089809999998</v>
      </c>
      <c r="H35" s="196"/>
    </row>
    <row r="36" spans="1:8" ht="8.4" customHeight="1">
      <c r="A36" s="520"/>
      <c r="B36" s="299" t="s">
        <v>277</v>
      </c>
      <c r="C36" s="493">
        <v>72665.762622499999</v>
      </c>
      <c r="D36" s="493"/>
      <c r="E36" s="493"/>
      <c r="F36" s="493">
        <v>72665.762622499999</v>
      </c>
      <c r="G36" s="522">
        <v>120253.8829775</v>
      </c>
      <c r="H36" s="196"/>
    </row>
    <row r="37" spans="1:8" ht="8.4" customHeight="1">
      <c r="A37" s="520"/>
      <c r="B37" s="299" t="s">
        <v>278</v>
      </c>
      <c r="C37" s="493">
        <v>5117.8096374999996</v>
      </c>
      <c r="D37" s="493"/>
      <c r="E37" s="493"/>
      <c r="F37" s="493">
        <v>5117.8096374999996</v>
      </c>
      <c r="G37" s="522">
        <v>9828.6567374999995</v>
      </c>
      <c r="H37" s="196"/>
    </row>
    <row r="38" spans="1:8" ht="8.4" customHeight="1">
      <c r="A38" s="520"/>
      <c r="B38" s="299" t="s">
        <v>279</v>
      </c>
      <c r="C38" s="493"/>
      <c r="D38" s="493">
        <v>38.126040000000003</v>
      </c>
      <c r="E38" s="493"/>
      <c r="F38" s="493">
        <v>38.126040000000003</v>
      </c>
      <c r="G38" s="522">
        <v>38.126040000000003</v>
      </c>
      <c r="H38" s="196"/>
    </row>
    <row r="39" spans="1:8" ht="8.4" customHeight="1">
      <c r="A39" s="520"/>
      <c r="B39" s="299" t="s">
        <v>280</v>
      </c>
      <c r="C39" s="493"/>
      <c r="D39" s="493">
        <v>0</v>
      </c>
      <c r="E39" s="493"/>
      <c r="F39" s="493">
        <v>0</v>
      </c>
      <c r="G39" s="522">
        <v>6.8827149999999993</v>
      </c>
      <c r="H39" s="196"/>
    </row>
    <row r="40" spans="1:8" ht="8.4" customHeight="1">
      <c r="A40" s="521" t="s">
        <v>467</v>
      </c>
      <c r="B40" s="400"/>
      <c r="C40" s="401">
        <v>90787.952147500007</v>
      </c>
      <c r="D40" s="401">
        <v>38.126040000000003</v>
      </c>
      <c r="E40" s="401"/>
      <c r="F40" s="401">
        <v>90826.07818750001</v>
      </c>
      <c r="G40" s="523">
        <v>155953.58942</v>
      </c>
      <c r="H40" s="196"/>
    </row>
    <row r="41" spans="1:8" ht="8.4" customHeight="1">
      <c r="A41" s="520" t="s">
        <v>110</v>
      </c>
      <c r="B41" s="299" t="s">
        <v>68</v>
      </c>
      <c r="C41" s="493"/>
      <c r="D41" s="493"/>
      <c r="E41" s="493">
        <v>3302.5711824999998</v>
      </c>
      <c r="F41" s="493">
        <v>3302.5711824999998</v>
      </c>
      <c r="G41" s="522">
        <v>5408.8173274999999</v>
      </c>
      <c r="H41" s="196"/>
    </row>
    <row r="42" spans="1:8" ht="8.4" customHeight="1">
      <c r="A42" s="521" t="s">
        <v>468</v>
      </c>
      <c r="B42" s="400"/>
      <c r="C42" s="401"/>
      <c r="D42" s="401"/>
      <c r="E42" s="401">
        <v>3302.5711824999998</v>
      </c>
      <c r="F42" s="401">
        <v>3302.5711824999998</v>
      </c>
      <c r="G42" s="523">
        <v>5408.8173274999999</v>
      </c>
      <c r="H42" s="196"/>
    </row>
    <row r="43" spans="1:8" ht="8.4" customHeight="1">
      <c r="A43" s="520" t="s">
        <v>90</v>
      </c>
      <c r="B43" s="299" t="s">
        <v>281</v>
      </c>
      <c r="C43" s="493">
        <v>111742.41649999999</v>
      </c>
      <c r="D43" s="493"/>
      <c r="E43" s="493"/>
      <c r="F43" s="493">
        <v>111742.41649999999</v>
      </c>
      <c r="G43" s="522">
        <v>225083.68649999998</v>
      </c>
      <c r="H43" s="196"/>
    </row>
    <row r="44" spans="1:8" ht="8.4" customHeight="1">
      <c r="A44" s="521" t="s">
        <v>469</v>
      </c>
      <c r="B44" s="400"/>
      <c r="C44" s="401">
        <v>111742.41649999999</v>
      </c>
      <c r="D44" s="401"/>
      <c r="E44" s="401"/>
      <c r="F44" s="401">
        <v>111742.41649999999</v>
      </c>
      <c r="G44" s="523">
        <v>225083.68649999998</v>
      </c>
      <c r="H44" s="196"/>
    </row>
    <row r="45" spans="1:8" ht="8.4" customHeight="1">
      <c r="A45" s="520" t="s">
        <v>99</v>
      </c>
      <c r="B45" s="299" t="s">
        <v>282</v>
      </c>
      <c r="C45" s="493">
        <v>2990.2693575000003</v>
      </c>
      <c r="D45" s="493"/>
      <c r="E45" s="493"/>
      <c r="F45" s="493">
        <v>2990.2693575000003</v>
      </c>
      <c r="G45" s="522">
        <v>6140.8860425000003</v>
      </c>
      <c r="H45" s="196"/>
    </row>
    <row r="46" spans="1:8" ht="8.4" customHeight="1">
      <c r="A46" s="520"/>
      <c r="B46" s="299" t="s">
        <v>283</v>
      </c>
      <c r="C46" s="493">
        <v>0</v>
      </c>
      <c r="D46" s="493"/>
      <c r="E46" s="493"/>
      <c r="F46" s="493">
        <v>0</v>
      </c>
      <c r="G46" s="522">
        <v>0</v>
      </c>
      <c r="H46" s="196"/>
    </row>
    <row r="47" spans="1:8" ht="8.4" customHeight="1">
      <c r="A47" s="520"/>
      <c r="B47" s="299" t="s">
        <v>284</v>
      </c>
      <c r="C47" s="493"/>
      <c r="D47" s="493">
        <v>6749.8162325000003</v>
      </c>
      <c r="E47" s="493"/>
      <c r="F47" s="493">
        <v>6749.8162325000003</v>
      </c>
      <c r="G47" s="522">
        <v>15491.557157499999</v>
      </c>
      <c r="H47" s="196"/>
    </row>
    <row r="48" spans="1:8" ht="8.4" customHeight="1">
      <c r="A48" s="521" t="s">
        <v>470</v>
      </c>
      <c r="B48" s="400"/>
      <c r="C48" s="401">
        <v>2990.2693575000003</v>
      </c>
      <c r="D48" s="401">
        <v>6749.8162325000003</v>
      </c>
      <c r="E48" s="401"/>
      <c r="F48" s="401">
        <v>9740.0855900000006</v>
      </c>
      <c r="G48" s="523">
        <v>21632.443200000002</v>
      </c>
      <c r="H48" s="196"/>
    </row>
    <row r="49" spans="1:8" ht="8.4" customHeight="1">
      <c r="A49" s="520" t="s">
        <v>111</v>
      </c>
      <c r="B49" s="299" t="s">
        <v>71</v>
      </c>
      <c r="C49" s="493"/>
      <c r="D49" s="493"/>
      <c r="E49" s="493">
        <v>2257.5873499999998</v>
      </c>
      <c r="F49" s="493">
        <v>2257.5873499999998</v>
      </c>
      <c r="G49" s="522">
        <v>4836.2801249999993</v>
      </c>
      <c r="H49" s="196"/>
    </row>
    <row r="50" spans="1:8" ht="8.4" customHeight="1">
      <c r="A50" s="521" t="s">
        <v>471</v>
      </c>
      <c r="B50" s="400"/>
      <c r="C50" s="401"/>
      <c r="D50" s="401"/>
      <c r="E50" s="401">
        <v>2257.5873499999998</v>
      </c>
      <c r="F50" s="401">
        <v>2257.5873499999998</v>
      </c>
      <c r="G50" s="523">
        <v>4836.2801249999993</v>
      </c>
      <c r="H50" s="196"/>
    </row>
    <row r="51" spans="1:8" ht="8.4" customHeight="1">
      <c r="A51" s="520" t="s">
        <v>87</v>
      </c>
      <c r="B51" s="299" t="s">
        <v>285</v>
      </c>
      <c r="C51" s="493">
        <v>407140.9584</v>
      </c>
      <c r="D51" s="493"/>
      <c r="E51" s="493"/>
      <c r="F51" s="493">
        <v>407140.9584</v>
      </c>
      <c r="G51" s="522">
        <v>852255.79080000008</v>
      </c>
      <c r="H51" s="196"/>
    </row>
    <row r="52" spans="1:8" ht="8.4" customHeight="1">
      <c r="A52" s="520"/>
      <c r="B52" s="299" t="s">
        <v>286</v>
      </c>
      <c r="C52" s="493">
        <v>130056.95183999999</v>
      </c>
      <c r="D52" s="493"/>
      <c r="E52" s="493"/>
      <c r="F52" s="493">
        <v>130056.95183999999</v>
      </c>
      <c r="G52" s="522">
        <v>275910.58704000001</v>
      </c>
      <c r="H52" s="196"/>
    </row>
    <row r="53" spans="1:8" ht="8.4" customHeight="1">
      <c r="A53" s="521" t="s">
        <v>472</v>
      </c>
      <c r="B53" s="400"/>
      <c r="C53" s="401">
        <v>537197.91024</v>
      </c>
      <c r="D53" s="401"/>
      <c r="E53" s="401"/>
      <c r="F53" s="401">
        <v>537197.91024</v>
      </c>
      <c r="G53" s="523">
        <v>1128166.3778400002</v>
      </c>
      <c r="H53" s="196"/>
    </row>
    <row r="54" spans="1:8" ht="8.4" customHeight="1">
      <c r="A54" s="520" t="s">
        <v>230</v>
      </c>
      <c r="B54" s="299" t="s">
        <v>287</v>
      </c>
      <c r="C54" s="493">
        <v>230717.88318</v>
      </c>
      <c r="D54" s="493"/>
      <c r="E54" s="493"/>
      <c r="F54" s="493">
        <v>230717.88318</v>
      </c>
      <c r="G54" s="522">
        <v>438917.30275999999</v>
      </c>
      <c r="H54" s="196"/>
    </row>
    <row r="55" spans="1:8" ht="8.4" customHeight="1">
      <c r="A55" s="520"/>
      <c r="B55" s="299" t="s">
        <v>288</v>
      </c>
      <c r="C55" s="493">
        <v>4151.5128224999999</v>
      </c>
      <c r="D55" s="493"/>
      <c r="E55" s="493"/>
      <c r="F55" s="493">
        <v>4151.5128224999999</v>
      </c>
      <c r="G55" s="522">
        <v>8605.8092550000001</v>
      </c>
      <c r="H55" s="111"/>
    </row>
    <row r="56" spans="1:8" ht="8.4" customHeight="1">
      <c r="A56" s="521" t="s">
        <v>473</v>
      </c>
      <c r="B56" s="400"/>
      <c r="C56" s="401">
        <v>234869.3960025</v>
      </c>
      <c r="D56" s="401"/>
      <c r="E56" s="401"/>
      <c r="F56" s="401">
        <v>234869.3960025</v>
      </c>
      <c r="G56" s="523">
        <v>447523.11201499996</v>
      </c>
      <c r="H56" s="111"/>
    </row>
    <row r="57" spans="1:8" ht="8.4" customHeight="1">
      <c r="A57" s="520" t="s">
        <v>231</v>
      </c>
      <c r="B57" s="299" t="s">
        <v>289</v>
      </c>
      <c r="C57" s="493">
        <v>30032.857674999999</v>
      </c>
      <c r="D57" s="493"/>
      <c r="E57" s="493"/>
      <c r="F57" s="493">
        <v>30032.857674999999</v>
      </c>
      <c r="G57" s="522">
        <v>49185.619602499995</v>
      </c>
      <c r="H57" s="111"/>
    </row>
    <row r="58" spans="1:8" ht="8.4" customHeight="1">
      <c r="A58" s="521" t="s">
        <v>474</v>
      </c>
      <c r="B58" s="400"/>
      <c r="C58" s="401">
        <v>30032.857674999999</v>
      </c>
      <c r="D58" s="401"/>
      <c r="E58" s="401"/>
      <c r="F58" s="401">
        <v>30032.857674999999</v>
      </c>
      <c r="G58" s="523">
        <v>49185.619602499995</v>
      </c>
      <c r="H58" s="111"/>
    </row>
    <row r="59" spans="1:8" ht="8.4" customHeight="1">
      <c r="A59" s="520" t="s">
        <v>450</v>
      </c>
      <c r="B59" s="299" t="s">
        <v>63</v>
      </c>
      <c r="C59" s="493"/>
      <c r="D59" s="493"/>
      <c r="E59" s="493">
        <v>6427.3545475000001</v>
      </c>
      <c r="F59" s="493">
        <v>6427.3545475000001</v>
      </c>
      <c r="G59" s="522">
        <v>10097.7905625</v>
      </c>
      <c r="H59" s="111"/>
    </row>
    <row r="60" spans="1:8" ht="8.4" customHeight="1">
      <c r="A60" s="520"/>
      <c r="B60" s="299" t="s">
        <v>62</v>
      </c>
      <c r="C60" s="493"/>
      <c r="D60" s="493"/>
      <c r="E60" s="493">
        <v>6524.3567400000002</v>
      </c>
      <c r="F60" s="493">
        <v>6524.3567400000002</v>
      </c>
      <c r="G60" s="522">
        <v>10475.802094999999</v>
      </c>
      <c r="H60" s="111"/>
    </row>
    <row r="61" spans="1:8" ht="8.4" customHeight="1">
      <c r="A61" s="520"/>
      <c r="B61" s="299" t="s">
        <v>58</v>
      </c>
      <c r="C61" s="493"/>
      <c r="D61" s="493"/>
      <c r="E61" s="493">
        <v>12622.8275275</v>
      </c>
      <c r="F61" s="493">
        <v>12622.8275275</v>
      </c>
      <c r="G61" s="522">
        <v>24785.762125000001</v>
      </c>
      <c r="H61" s="111"/>
    </row>
    <row r="62" spans="1:8" ht="8.4" customHeight="1">
      <c r="A62" s="520"/>
      <c r="B62" s="299" t="s">
        <v>55</v>
      </c>
      <c r="C62" s="493"/>
      <c r="D62" s="493"/>
      <c r="E62" s="493">
        <v>13557.959385</v>
      </c>
      <c r="F62" s="493">
        <v>13557.959385</v>
      </c>
      <c r="G62" s="522">
        <v>27517.400665000001</v>
      </c>
      <c r="H62" s="111"/>
    </row>
    <row r="63" spans="1:8" ht="8.4" customHeight="1">
      <c r="A63" s="520"/>
      <c r="B63" s="299" t="s">
        <v>66</v>
      </c>
      <c r="C63" s="493"/>
      <c r="D63" s="493"/>
      <c r="E63" s="493">
        <v>3768.7534424999999</v>
      </c>
      <c r="F63" s="493">
        <v>3768.7534424999999</v>
      </c>
      <c r="G63" s="522">
        <v>7842.3861474999994</v>
      </c>
      <c r="H63" s="111"/>
    </row>
    <row r="64" spans="1:8" ht="8.4" customHeight="1">
      <c r="A64" s="520"/>
      <c r="B64" s="299" t="s">
        <v>65</v>
      </c>
      <c r="C64" s="493"/>
      <c r="D64" s="493"/>
      <c r="E64" s="493">
        <v>4287.2024149999997</v>
      </c>
      <c r="F64" s="493">
        <v>4287.2024149999997</v>
      </c>
      <c r="G64" s="522">
        <v>8963.5552124999995</v>
      </c>
      <c r="H64" s="197"/>
    </row>
    <row r="65" spans="1:8" ht="8.4" customHeight="1">
      <c r="A65" s="521" t="s">
        <v>475</v>
      </c>
      <c r="B65" s="400"/>
      <c r="C65" s="401"/>
      <c r="D65" s="401"/>
      <c r="E65" s="401">
        <v>47188.454057499999</v>
      </c>
      <c r="F65" s="401">
        <v>47188.454057499999</v>
      </c>
      <c r="G65" s="523">
        <v>89682.696807500004</v>
      </c>
      <c r="H65" s="197"/>
    </row>
    <row r="66" spans="1:8" ht="8.4" customHeight="1">
      <c r="A66" s="520" t="s">
        <v>86</v>
      </c>
      <c r="B66" s="299" t="s">
        <v>437</v>
      </c>
      <c r="C66" s="493">
        <v>50497.840250000001</v>
      </c>
      <c r="D66" s="493"/>
      <c r="E66" s="493"/>
      <c r="F66" s="493">
        <v>50497.840250000001</v>
      </c>
      <c r="G66" s="522">
        <v>105390.33725000001</v>
      </c>
      <c r="H66" s="197"/>
    </row>
    <row r="67" spans="1:8" ht="8.4" customHeight="1">
      <c r="A67" s="520"/>
      <c r="B67" s="299" t="s">
        <v>290</v>
      </c>
      <c r="C67" s="493">
        <v>12550.991249999999</v>
      </c>
      <c r="D67" s="493"/>
      <c r="E67" s="493"/>
      <c r="F67" s="493">
        <v>12550.991249999999</v>
      </c>
      <c r="G67" s="522">
        <v>24376.179749999999</v>
      </c>
      <c r="H67" s="197"/>
    </row>
    <row r="68" spans="1:8" ht="8.4" customHeight="1">
      <c r="A68" s="520"/>
      <c r="B68" s="299" t="s">
        <v>291</v>
      </c>
      <c r="C68" s="493">
        <v>119217.55224999999</v>
      </c>
      <c r="D68" s="493"/>
      <c r="E68" s="493"/>
      <c r="F68" s="493">
        <v>119217.55224999999</v>
      </c>
      <c r="G68" s="522">
        <v>193697.12849999999</v>
      </c>
      <c r="H68" s="197"/>
    </row>
    <row r="69" spans="1:8" ht="8.4" customHeight="1">
      <c r="A69" s="520"/>
      <c r="B69" s="299" t="s">
        <v>292</v>
      </c>
      <c r="C69" s="493">
        <v>84138.510750000001</v>
      </c>
      <c r="D69" s="493"/>
      <c r="E69" s="493"/>
      <c r="F69" s="493">
        <v>84138.510750000001</v>
      </c>
      <c r="G69" s="522">
        <v>169080.31300000002</v>
      </c>
      <c r="H69" s="197"/>
    </row>
    <row r="70" spans="1:8" ht="8.4" customHeight="1">
      <c r="A70" s="520"/>
      <c r="B70" s="299" t="s">
        <v>293</v>
      </c>
      <c r="C70" s="493">
        <v>28487.901999999998</v>
      </c>
      <c r="D70" s="493"/>
      <c r="E70" s="493"/>
      <c r="F70" s="493">
        <v>28487.901999999998</v>
      </c>
      <c r="G70" s="522">
        <v>75667.286250000005</v>
      </c>
    </row>
    <row r="71" spans="1:8" ht="8.4" customHeight="1">
      <c r="A71" s="520"/>
      <c r="B71" s="299" t="s">
        <v>294</v>
      </c>
      <c r="C71" s="493"/>
      <c r="D71" s="493">
        <v>16556.19975</v>
      </c>
      <c r="E71" s="493"/>
      <c r="F71" s="493">
        <v>16556.19975</v>
      </c>
      <c r="G71" s="522">
        <v>38891.093000000001</v>
      </c>
    </row>
    <row r="72" spans="1:8" ht="8.4" customHeight="1">
      <c r="A72" s="520"/>
      <c r="B72" s="299" t="s">
        <v>295</v>
      </c>
      <c r="C72" s="493"/>
      <c r="D72" s="493">
        <v>5514.759</v>
      </c>
      <c r="E72" s="493"/>
      <c r="F72" s="493">
        <v>5514.759</v>
      </c>
      <c r="G72" s="522">
        <v>5514.759</v>
      </c>
    </row>
    <row r="73" spans="1:8" ht="8.4" customHeight="1">
      <c r="A73" s="520"/>
      <c r="B73" s="299" t="s">
        <v>296</v>
      </c>
      <c r="C73" s="493"/>
      <c r="D73" s="493">
        <v>150172.35324999999</v>
      </c>
      <c r="E73" s="493"/>
      <c r="F73" s="493">
        <v>150172.35324999999</v>
      </c>
      <c r="G73" s="522">
        <v>432079.38574999996</v>
      </c>
    </row>
    <row r="74" spans="1:8" ht="8.4" customHeight="1">
      <c r="A74" s="520"/>
      <c r="B74" s="299" t="s">
        <v>398</v>
      </c>
      <c r="C74" s="493"/>
      <c r="D74" s="493"/>
      <c r="E74" s="493">
        <v>229.04150000000001</v>
      </c>
      <c r="F74" s="493">
        <v>229.04150000000001</v>
      </c>
      <c r="G74" s="522">
        <v>362.74650000000003</v>
      </c>
    </row>
    <row r="75" spans="1:8" ht="8.4" customHeight="1">
      <c r="A75" s="521" t="s">
        <v>476</v>
      </c>
      <c r="B75" s="400"/>
      <c r="C75" s="401">
        <v>294892.7965</v>
      </c>
      <c r="D75" s="401">
        <v>172243.31199999998</v>
      </c>
      <c r="E75" s="401">
        <v>229.04150000000001</v>
      </c>
      <c r="F75" s="401">
        <v>467365.14999999997</v>
      </c>
      <c r="G75" s="523">
        <v>1045059.2289999999</v>
      </c>
    </row>
    <row r="76" spans="1:8" ht="8.4" customHeight="1">
      <c r="A76" s="520" t="s">
        <v>94</v>
      </c>
      <c r="B76" s="299" t="s">
        <v>297</v>
      </c>
      <c r="C76" s="493"/>
      <c r="D76" s="493">
        <v>0</v>
      </c>
      <c r="E76" s="493"/>
      <c r="F76" s="493">
        <v>0</v>
      </c>
      <c r="G76" s="522">
        <v>2316.4270000000001</v>
      </c>
    </row>
    <row r="77" spans="1:8" ht="8.4" customHeight="1">
      <c r="A77" s="520"/>
      <c r="B77" s="299" t="s">
        <v>298</v>
      </c>
      <c r="C77" s="493"/>
      <c r="D77" s="493">
        <v>51595.743999999999</v>
      </c>
      <c r="E77" s="493"/>
      <c r="F77" s="493">
        <v>51595.743999999999</v>
      </c>
      <c r="G77" s="522">
        <v>68995.203500000003</v>
      </c>
    </row>
    <row r="78" spans="1:8" ht="8.4" customHeight="1">
      <c r="A78" s="520"/>
      <c r="B78" s="299" t="s">
        <v>299</v>
      </c>
      <c r="C78" s="493"/>
      <c r="D78" s="493">
        <v>1446.6614999999999</v>
      </c>
      <c r="E78" s="493"/>
      <c r="F78" s="493">
        <v>1446.6614999999999</v>
      </c>
      <c r="G78" s="522">
        <v>43883.774000000005</v>
      </c>
    </row>
    <row r="79" spans="1:8" ht="8.4" customHeight="1">
      <c r="A79" s="521" t="s">
        <v>477</v>
      </c>
      <c r="B79" s="400"/>
      <c r="C79" s="401"/>
      <c r="D79" s="401">
        <v>53042.405500000001</v>
      </c>
      <c r="E79" s="401"/>
      <c r="F79" s="401">
        <v>53042.405500000001</v>
      </c>
      <c r="G79" s="523">
        <v>115195.4045</v>
      </c>
    </row>
    <row r="80" spans="1:8" ht="8.4" customHeight="1">
      <c r="A80" s="520" t="s">
        <v>96</v>
      </c>
      <c r="B80" s="299" t="s">
        <v>405</v>
      </c>
      <c r="C80" s="493"/>
      <c r="D80" s="493"/>
      <c r="E80" s="493">
        <v>28258.392249999997</v>
      </c>
      <c r="F80" s="493">
        <v>28258.392249999997</v>
      </c>
      <c r="G80" s="522">
        <v>68461.908750000002</v>
      </c>
    </row>
    <row r="81" spans="1:7" ht="8.4" customHeight="1">
      <c r="A81" s="520"/>
      <c r="B81" s="299" t="s">
        <v>404</v>
      </c>
      <c r="C81" s="493"/>
      <c r="D81" s="493"/>
      <c r="E81" s="493">
        <v>11464.7495</v>
      </c>
      <c r="F81" s="493">
        <v>11464.7495</v>
      </c>
      <c r="G81" s="522">
        <v>55646.716499999995</v>
      </c>
    </row>
    <row r="82" spans="1:7" ht="8.4" customHeight="1">
      <c r="A82" s="521" t="s">
        <v>478</v>
      </c>
      <c r="B82" s="400"/>
      <c r="C82" s="401"/>
      <c r="D82" s="401"/>
      <c r="E82" s="401">
        <v>39723.141749999995</v>
      </c>
      <c r="F82" s="401">
        <v>39723.141749999995</v>
      </c>
      <c r="G82" s="523">
        <v>124108.62525</v>
      </c>
    </row>
    <row r="83" spans="1:7" ht="8.4" customHeight="1">
      <c r="A83" s="520" t="s">
        <v>95</v>
      </c>
      <c r="B83" s="299" t="s">
        <v>75</v>
      </c>
      <c r="C83" s="493"/>
      <c r="D83" s="493"/>
      <c r="E83" s="493">
        <v>14041.859515</v>
      </c>
      <c r="F83" s="493">
        <v>14041.859515</v>
      </c>
      <c r="G83" s="522">
        <v>38743.964015000005</v>
      </c>
    </row>
    <row r="84" spans="1:7" ht="8.4" customHeight="1">
      <c r="A84" s="520"/>
      <c r="B84" s="299" t="s">
        <v>77</v>
      </c>
      <c r="C84" s="493"/>
      <c r="D84" s="493"/>
      <c r="E84" s="493">
        <v>3650.5583175000002</v>
      </c>
      <c r="F84" s="493">
        <v>3650.5583175000002</v>
      </c>
      <c r="G84" s="522">
        <v>13269.401817500002</v>
      </c>
    </row>
    <row r="85" spans="1:7" ht="8.4" customHeight="1">
      <c r="A85" s="521" t="s">
        <v>479</v>
      </c>
      <c r="B85" s="400"/>
      <c r="C85" s="401"/>
      <c r="D85" s="401"/>
      <c r="E85" s="401">
        <v>17692.417832499999</v>
      </c>
      <c r="F85" s="401">
        <v>17692.417832499999</v>
      </c>
      <c r="G85" s="523">
        <v>52013.365832500007</v>
      </c>
    </row>
    <row r="86" spans="1:7" ht="8.4" customHeight="1"/>
  </sheetData>
  <mergeCells count="5">
    <mergeCell ref="A2:A5"/>
    <mergeCell ref="B2:B5"/>
    <mergeCell ref="C2:F2"/>
    <mergeCell ref="C3:E3"/>
    <mergeCell ref="F3:F4"/>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8"/>
  <sheetViews>
    <sheetView showGridLines="0" view="pageBreakPreview" zoomScaleNormal="100" zoomScaleSheetLayoutView="100" workbookViewId="0">
      <selection activeCell="E13" sqref="E13"/>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3.8" customHeight="1">
      <c r="A1" s="929" t="s">
        <v>243</v>
      </c>
      <c r="B1" s="932" t="s">
        <v>52</v>
      </c>
      <c r="C1" s="935" t="str">
        <f>+'18. ANEXOI-1'!C2:F2</f>
        <v>ENERGÍA PRODUCIDA FEBRERO 2023</v>
      </c>
      <c r="D1" s="935"/>
      <c r="E1" s="935"/>
      <c r="F1" s="935"/>
      <c r="G1" s="494" t="s">
        <v>264</v>
      </c>
      <c r="H1" s="203"/>
    </row>
    <row r="2" spans="1:8" ht="11.25" customHeight="1">
      <c r="A2" s="930"/>
      <c r="B2" s="933"/>
      <c r="C2" s="936" t="s">
        <v>265</v>
      </c>
      <c r="D2" s="936"/>
      <c r="E2" s="936"/>
      <c r="F2" s="937" t="str">
        <f>"TOTAL 
"&amp;UPPER('1. Resumen'!Q4)</f>
        <v>TOTAL 
FEBRERO</v>
      </c>
      <c r="G2" s="495" t="s">
        <v>266</v>
      </c>
      <c r="H2" s="194"/>
    </row>
    <row r="3" spans="1:8" ht="11.25" customHeight="1">
      <c r="A3" s="930"/>
      <c r="B3" s="933"/>
      <c r="C3" s="490" t="s">
        <v>208</v>
      </c>
      <c r="D3" s="490" t="s">
        <v>209</v>
      </c>
      <c r="E3" s="490" t="s">
        <v>267</v>
      </c>
      <c r="F3" s="938"/>
      <c r="G3" s="495">
        <v>2023</v>
      </c>
      <c r="H3" s="196"/>
    </row>
    <row r="4" spans="1:8" ht="11.25" customHeight="1">
      <c r="A4" s="939"/>
      <c r="B4" s="940"/>
      <c r="C4" s="491" t="s">
        <v>268</v>
      </c>
      <c r="D4" s="491" t="s">
        <v>268</v>
      </c>
      <c r="E4" s="491" t="s">
        <v>268</v>
      </c>
      <c r="F4" s="491" t="s">
        <v>268</v>
      </c>
      <c r="G4" s="496" t="s">
        <v>201</v>
      </c>
      <c r="H4" s="196"/>
    </row>
    <row r="5" spans="1:8" ht="9" customHeight="1">
      <c r="A5" s="520" t="s">
        <v>85</v>
      </c>
      <c r="B5" s="299" t="s">
        <v>300</v>
      </c>
      <c r="C5" s="493">
        <v>36646.89933</v>
      </c>
      <c r="D5" s="493"/>
      <c r="E5" s="493"/>
      <c r="F5" s="493">
        <v>36646.89933</v>
      </c>
      <c r="G5" s="522">
        <v>95255.600934999995</v>
      </c>
    </row>
    <row r="6" spans="1:8" ht="9" customHeight="1">
      <c r="A6" s="520"/>
      <c r="B6" s="299" t="s">
        <v>301</v>
      </c>
      <c r="C6" s="493">
        <v>86494.925967499992</v>
      </c>
      <c r="D6" s="493"/>
      <c r="E6" s="493"/>
      <c r="F6" s="493">
        <v>86494.925967499992</v>
      </c>
      <c r="G6" s="522">
        <v>162904.52803250001</v>
      </c>
    </row>
    <row r="7" spans="1:8" ht="9" customHeight="1">
      <c r="A7" s="520"/>
      <c r="B7" s="299" t="s">
        <v>302</v>
      </c>
      <c r="C7" s="493"/>
      <c r="D7" s="493">
        <v>274324.9586975</v>
      </c>
      <c r="E7" s="493"/>
      <c r="F7" s="493">
        <v>274324.9586975</v>
      </c>
      <c r="G7" s="522">
        <v>684097.79930000007</v>
      </c>
    </row>
    <row r="8" spans="1:8" ht="9" customHeight="1">
      <c r="A8" s="520"/>
      <c r="B8" s="299" t="s">
        <v>303</v>
      </c>
      <c r="C8" s="493"/>
      <c r="D8" s="493">
        <v>28109.407042500003</v>
      </c>
      <c r="E8" s="493"/>
      <c r="F8" s="493">
        <v>28109.407042500003</v>
      </c>
      <c r="G8" s="522">
        <v>64139.246725000005</v>
      </c>
    </row>
    <row r="9" spans="1:8" ht="9" customHeight="1">
      <c r="A9" s="520"/>
      <c r="B9" s="299" t="s">
        <v>304</v>
      </c>
      <c r="C9" s="493"/>
      <c r="D9" s="493">
        <v>0</v>
      </c>
      <c r="E9" s="493"/>
      <c r="F9" s="493">
        <v>0</v>
      </c>
      <c r="G9" s="522">
        <v>0</v>
      </c>
    </row>
    <row r="10" spans="1:8" ht="9" customHeight="1">
      <c r="A10" s="520"/>
      <c r="B10" s="299" t="s">
        <v>305</v>
      </c>
      <c r="C10" s="493"/>
      <c r="D10" s="493">
        <v>1545.4163599999999</v>
      </c>
      <c r="E10" s="493"/>
      <c r="F10" s="493">
        <v>1545.4163599999999</v>
      </c>
      <c r="G10" s="522">
        <v>2081.4449299999997</v>
      </c>
    </row>
    <row r="11" spans="1:8" ht="9" customHeight="1">
      <c r="A11" s="520"/>
      <c r="B11" s="299" t="s">
        <v>406</v>
      </c>
      <c r="C11" s="493"/>
      <c r="D11" s="493"/>
      <c r="E11" s="493">
        <v>6497.5991599999998</v>
      </c>
      <c r="F11" s="493">
        <v>6497.5991599999998</v>
      </c>
      <c r="G11" s="522">
        <v>15646.976795</v>
      </c>
    </row>
    <row r="12" spans="1:8" ht="9" customHeight="1">
      <c r="A12" s="520"/>
      <c r="B12" s="299" t="s">
        <v>584</v>
      </c>
      <c r="C12" s="493"/>
      <c r="D12" s="493"/>
      <c r="E12" s="493">
        <v>27250.964919999999</v>
      </c>
      <c r="F12" s="493">
        <v>27250.964919999999</v>
      </c>
      <c r="G12" s="522">
        <v>34561.466</v>
      </c>
    </row>
    <row r="13" spans="1:8" ht="9" customHeight="1">
      <c r="A13" s="521" t="s">
        <v>480</v>
      </c>
      <c r="B13" s="400"/>
      <c r="C13" s="401">
        <v>123141.82529749999</v>
      </c>
      <c r="D13" s="401">
        <v>303979.78209999995</v>
      </c>
      <c r="E13" s="401">
        <v>33748.564079999996</v>
      </c>
      <c r="F13" s="401">
        <v>460870.17147749994</v>
      </c>
      <c r="G13" s="523">
        <v>1058687.0627175001</v>
      </c>
    </row>
    <row r="14" spans="1:8" ht="9" customHeight="1">
      <c r="A14" s="520" t="s">
        <v>232</v>
      </c>
      <c r="B14" s="299" t="s">
        <v>306</v>
      </c>
      <c r="C14" s="493"/>
      <c r="D14" s="493">
        <v>310013.01704250003</v>
      </c>
      <c r="E14" s="493"/>
      <c r="F14" s="493">
        <v>310013.01704250003</v>
      </c>
      <c r="G14" s="522">
        <v>655922.12786999997</v>
      </c>
    </row>
    <row r="15" spans="1:8" ht="9" customHeight="1">
      <c r="A15" s="521" t="s">
        <v>481</v>
      </c>
      <c r="B15" s="400"/>
      <c r="C15" s="401"/>
      <c r="D15" s="401">
        <v>310013.01704250003</v>
      </c>
      <c r="E15" s="401"/>
      <c r="F15" s="401">
        <v>310013.01704250003</v>
      </c>
      <c r="G15" s="523">
        <v>655922.12786999997</v>
      </c>
    </row>
    <row r="16" spans="1:8" ht="9" customHeight="1">
      <c r="A16" s="520" t="s">
        <v>431</v>
      </c>
      <c r="B16" s="299" t="s">
        <v>435</v>
      </c>
      <c r="C16" s="493"/>
      <c r="D16" s="493"/>
      <c r="E16" s="493">
        <v>13905.483072499999</v>
      </c>
      <c r="F16" s="493">
        <v>13905.483072499999</v>
      </c>
      <c r="G16" s="522">
        <v>27813.1428275</v>
      </c>
    </row>
    <row r="17" spans="1:7" ht="9" customHeight="1">
      <c r="A17" s="520"/>
      <c r="B17" s="299" t="s">
        <v>432</v>
      </c>
      <c r="C17" s="493"/>
      <c r="D17" s="493"/>
      <c r="E17" s="493">
        <v>5095.0051874999999</v>
      </c>
      <c r="F17" s="493">
        <v>5095.0051874999999</v>
      </c>
      <c r="G17" s="522">
        <v>9517.9336399999993</v>
      </c>
    </row>
    <row r="18" spans="1:7" ht="9" customHeight="1">
      <c r="A18" s="521" t="s">
        <v>482</v>
      </c>
      <c r="B18" s="400"/>
      <c r="C18" s="401"/>
      <c r="D18" s="401"/>
      <c r="E18" s="401">
        <v>19000.488259999998</v>
      </c>
      <c r="F18" s="401">
        <v>19000.488259999998</v>
      </c>
      <c r="G18" s="523">
        <v>37331.076467499995</v>
      </c>
    </row>
    <row r="19" spans="1:7" ht="9" customHeight="1">
      <c r="A19" s="520" t="s">
        <v>106</v>
      </c>
      <c r="B19" s="299" t="s">
        <v>64</v>
      </c>
      <c r="C19" s="493"/>
      <c r="D19" s="493"/>
      <c r="E19" s="493">
        <v>2775.1872924999998</v>
      </c>
      <c r="F19" s="493">
        <v>2775.1872924999998</v>
      </c>
      <c r="G19" s="522">
        <v>6589.3514249999998</v>
      </c>
    </row>
    <row r="20" spans="1:7" ht="9" customHeight="1">
      <c r="A20" s="520"/>
      <c r="B20" s="299" t="s">
        <v>397</v>
      </c>
      <c r="C20" s="493"/>
      <c r="D20" s="493"/>
      <c r="E20" s="493">
        <v>11422.650917499999</v>
      </c>
      <c r="F20" s="493">
        <v>11422.650917499999</v>
      </c>
      <c r="G20" s="522">
        <v>21168.126082499999</v>
      </c>
    </row>
    <row r="21" spans="1:7" ht="9" customHeight="1">
      <c r="A21" s="520"/>
      <c r="B21" s="299" t="s">
        <v>395</v>
      </c>
      <c r="C21" s="493"/>
      <c r="D21" s="493"/>
      <c r="E21" s="493">
        <v>13489.627195000001</v>
      </c>
      <c r="F21" s="493">
        <v>13489.627195000001</v>
      </c>
      <c r="G21" s="522">
        <v>26118.140467500001</v>
      </c>
    </row>
    <row r="22" spans="1:7" ht="9" customHeight="1">
      <c r="A22" s="520"/>
      <c r="B22" s="299" t="s">
        <v>396</v>
      </c>
      <c r="C22" s="493"/>
      <c r="D22" s="493"/>
      <c r="E22" s="493">
        <v>13378.580287500001</v>
      </c>
      <c r="F22" s="493">
        <v>13378.580287500001</v>
      </c>
      <c r="G22" s="522">
        <v>25309.242614999999</v>
      </c>
    </row>
    <row r="23" spans="1:7" ht="9" customHeight="1">
      <c r="A23" s="729" t="s">
        <v>483</v>
      </c>
      <c r="B23" s="730"/>
      <c r="C23" s="731"/>
      <c r="D23" s="731"/>
      <c r="E23" s="731">
        <v>41066.045692500003</v>
      </c>
      <c r="F23" s="731">
        <v>41066.045692500003</v>
      </c>
      <c r="G23" s="732">
        <v>79184.860589999997</v>
      </c>
    </row>
    <row r="24" spans="1:7" ht="9" customHeight="1">
      <c r="A24" s="520" t="s">
        <v>447</v>
      </c>
      <c r="B24" s="299" t="s">
        <v>453</v>
      </c>
      <c r="C24" s="493"/>
      <c r="D24" s="493"/>
      <c r="E24" s="493">
        <v>4477.3826724999999</v>
      </c>
      <c r="F24" s="493">
        <v>4477.3826724999999</v>
      </c>
      <c r="G24" s="522">
        <v>7599.4158774999996</v>
      </c>
    </row>
    <row r="25" spans="1:7" ht="9" customHeight="1">
      <c r="A25" s="521" t="s">
        <v>484</v>
      </c>
      <c r="B25" s="400"/>
      <c r="C25" s="401"/>
      <c r="D25" s="401"/>
      <c r="E25" s="401">
        <v>4477.3826724999999</v>
      </c>
      <c r="F25" s="401">
        <v>4477.3826724999999</v>
      </c>
      <c r="G25" s="523">
        <v>7599.4158774999996</v>
      </c>
    </row>
    <row r="26" spans="1:7" ht="9" customHeight="1">
      <c r="A26" s="520" t="s">
        <v>448</v>
      </c>
      <c r="B26" s="299" t="s">
        <v>454</v>
      </c>
      <c r="C26" s="493"/>
      <c r="D26" s="493"/>
      <c r="E26" s="493">
        <v>5803.1445725000003</v>
      </c>
      <c r="F26" s="493">
        <v>5803.1445725000003</v>
      </c>
      <c r="G26" s="522">
        <v>9428.3633274999993</v>
      </c>
    </row>
    <row r="27" spans="1:7" ht="9" customHeight="1">
      <c r="A27" s="521" t="s">
        <v>485</v>
      </c>
      <c r="B27" s="400"/>
      <c r="C27" s="401"/>
      <c r="D27" s="401"/>
      <c r="E27" s="401">
        <v>5803.1445725000003</v>
      </c>
      <c r="F27" s="401">
        <v>5803.1445725000003</v>
      </c>
      <c r="G27" s="523">
        <v>9428.3633274999993</v>
      </c>
    </row>
    <row r="28" spans="1:7" ht="9" customHeight="1">
      <c r="A28" s="520" t="s">
        <v>112</v>
      </c>
      <c r="B28" s="299" t="s">
        <v>72</v>
      </c>
      <c r="C28" s="493"/>
      <c r="D28" s="493"/>
      <c r="E28" s="493">
        <v>2229.1999999999998</v>
      </c>
      <c r="F28" s="493">
        <v>2229.1999999999998</v>
      </c>
      <c r="G28" s="522">
        <v>4815.3999999999996</v>
      </c>
    </row>
    <row r="29" spans="1:7" ht="9" customHeight="1">
      <c r="A29" s="521" t="s">
        <v>486</v>
      </c>
      <c r="B29" s="400"/>
      <c r="C29" s="401"/>
      <c r="D29" s="401"/>
      <c r="E29" s="401">
        <v>2229.1999999999998</v>
      </c>
      <c r="F29" s="401">
        <v>2229.1999999999998</v>
      </c>
      <c r="G29" s="523">
        <v>4815.3999999999996</v>
      </c>
    </row>
    <row r="30" spans="1:7" ht="9" customHeight="1">
      <c r="A30" s="520" t="s">
        <v>101</v>
      </c>
      <c r="B30" s="299" t="s">
        <v>307</v>
      </c>
      <c r="C30" s="493">
        <v>12669.6263175</v>
      </c>
      <c r="D30" s="493"/>
      <c r="E30" s="493"/>
      <c r="F30" s="493">
        <v>12669.6263175</v>
      </c>
      <c r="G30" s="522">
        <v>26166.657982500001</v>
      </c>
    </row>
    <row r="31" spans="1:7" ht="9" customHeight="1">
      <c r="A31" s="521" t="s">
        <v>487</v>
      </c>
      <c r="B31" s="400"/>
      <c r="C31" s="401">
        <v>12669.6263175</v>
      </c>
      <c r="D31" s="401"/>
      <c r="E31" s="401"/>
      <c r="F31" s="401">
        <v>12669.6263175</v>
      </c>
      <c r="G31" s="523">
        <v>26166.657982500001</v>
      </c>
    </row>
    <row r="32" spans="1:7" ht="9" customHeight="1">
      <c r="A32" s="520" t="s">
        <v>233</v>
      </c>
      <c r="B32" s="299" t="s">
        <v>57</v>
      </c>
      <c r="C32" s="493"/>
      <c r="D32" s="493"/>
      <c r="E32" s="493">
        <v>10524.519250000001</v>
      </c>
      <c r="F32" s="493">
        <v>10524.519250000001</v>
      </c>
      <c r="G32" s="522">
        <v>23679.804750000003</v>
      </c>
    </row>
    <row r="33" spans="1:7" ht="9" customHeight="1">
      <c r="A33" s="521" t="s">
        <v>488</v>
      </c>
      <c r="B33" s="400"/>
      <c r="C33" s="401"/>
      <c r="D33" s="401"/>
      <c r="E33" s="401">
        <v>10524.519250000001</v>
      </c>
      <c r="F33" s="401">
        <v>10524.519250000001</v>
      </c>
      <c r="G33" s="523">
        <v>23679.804750000003</v>
      </c>
    </row>
    <row r="34" spans="1:7" ht="9" customHeight="1">
      <c r="A34" s="520" t="s">
        <v>408</v>
      </c>
      <c r="B34" s="299" t="s">
        <v>412</v>
      </c>
      <c r="C34" s="493">
        <v>60478.934682499996</v>
      </c>
      <c r="D34" s="493"/>
      <c r="E34" s="493"/>
      <c r="F34" s="493">
        <v>60478.934682499996</v>
      </c>
      <c r="G34" s="522">
        <v>120866.0962225</v>
      </c>
    </row>
    <row r="35" spans="1:7" ht="9" customHeight="1">
      <c r="A35" s="521" t="s">
        <v>490</v>
      </c>
      <c r="B35" s="400"/>
      <c r="C35" s="401">
        <v>60478.934682499996</v>
      </c>
      <c r="D35" s="401"/>
      <c r="E35" s="401"/>
      <c r="F35" s="401">
        <v>60478.934682499996</v>
      </c>
      <c r="G35" s="523">
        <v>120866.0962225</v>
      </c>
    </row>
    <row r="36" spans="1:7" ht="9" customHeight="1">
      <c r="A36" s="520" t="s">
        <v>439</v>
      </c>
      <c r="B36" s="299" t="s">
        <v>443</v>
      </c>
      <c r="C36" s="493"/>
      <c r="D36" s="493"/>
      <c r="E36" s="493">
        <v>12488.798999999999</v>
      </c>
      <c r="F36" s="493">
        <v>12488.798999999999</v>
      </c>
      <c r="G36" s="522">
        <v>25578.9964325</v>
      </c>
    </row>
    <row r="37" spans="1:7" ht="9" customHeight="1">
      <c r="A37" s="521" t="s">
        <v>491</v>
      </c>
      <c r="B37" s="400"/>
      <c r="C37" s="401"/>
      <c r="D37" s="401"/>
      <c r="E37" s="401">
        <v>12488.798999999999</v>
      </c>
      <c r="F37" s="401">
        <v>12488.798999999999</v>
      </c>
      <c r="G37" s="523">
        <v>25578.9964325</v>
      </c>
    </row>
    <row r="38" spans="1:7" s="46" customFormat="1" ht="9" customHeight="1">
      <c r="A38" s="520" t="s">
        <v>114</v>
      </c>
      <c r="B38" s="299" t="s">
        <v>309</v>
      </c>
      <c r="C38" s="493"/>
      <c r="D38" s="493">
        <v>105.5032775</v>
      </c>
      <c r="E38" s="493"/>
      <c r="F38" s="493">
        <v>105.5032775</v>
      </c>
      <c r="G38" s="522">
        <v>105.5032775</v>
      </c>
    </row>
    <row r="39" spans="1:7" ht="9" customHeight="1">
      <c r="A39" s="520"/>
      <c r="B39" s="299" t="s">
        <v>310</v>
      </c>
      <c r="C39" s="493"/>
      <c r="D39" s="493">
        <v>78.113425000000007</v>
      </c>
      <c r="E39" s="493"/>
      <c r="F39" s="493">
        <v>78.113425000000007</v>
      </c>
      <c r="G39" s="522">
        <v>476.67476750000003</v>
      </c>
    </row>
    <row r="40" spans="1:7" ht="9" customHeight="1">
      <c r="A40" s="521" t="s">
        <v>492</v>
      </c>
      <c r="B40" s="400"/>
      <c r="C40" s="401"/>
      <c r="D40" s="401">
        <v>183.6167025</v>
      </c>
      <c r="E40" s="401"/>
      <c r="F40" s="401">
        <v>183.6167025</v>
      </c>
      <c r="G40" s="523">
        <v>582.178045</v>
      </c>
    </row>
    <row r="41" spans="1:7" ht="9" customHeight="1">
      <c r="A41" s="520" t="s">
        <v>392</v>
      </c>
      <c r="B41" s="299" t="s">
        <v>311</v>
      </c>
      <c r="C41" s="493"/>
      <c r="D41" s="493">
        <v>319667.73467500001</v>
      </c>
      <c r="E41" s="493"/>
      <c r="F41" s="493">
        <v>319667.73467500001</v>
      </c>
      <c r="G41" s="522">
        <v>840302.00467499997</v>
      </c>
    </row>
    <row r="42" spans="1:7" ht="9" customHeight="1">
      <c r="A42" s="520"/>
      <c r="B42" s="299" t="s">
        <v>588</v>
      </c>
      <c r="C42" s="493"/>
      <c r="D42" s="493">
        <v>167192.65963000001</v>
      </c>
      <c r="E42" s="493"/>
      <c r="F42" s="493">
        <v>167192.65963000001</v>
      </c>
      <c r="G42" s="522">
        <v>290460.51212999999</v>
      </c>
    </row>
    <row r="43" spans="1:7" ht="9" customHeight="1">
      <c r="A43" s="520"/>
      <c r="B43" s="299" t="s">
        <v>410</v>
      </c>
      <c r="C43" s="493">
        <v>379172.39861500001</v>
      </c>
      <c r="D43" s="493"/>
      <c r="E43" s="493"/>
      <c r="F43" s="493">
        <v>379172.39861500001</v>
      </c>
      <c r="G43" s="522">
        <v>654906.07361500012</v>
      </c>
    </row>
    <row r="44" spans="1:7" ht="9" customHeight="1">
      <c r="A44" s="520"/>
      <c r="B44" s="299" t="s">
        <v>312</v>
      </c>
      <c r="C44" s="493">
        <v>6896.4792225000001</v>
      </c>
      <c r="D44" s="493"/>
      <c r="E44" s="493"/>
      <c r="F44" s="493">
        <v>6896.4792225000001</v>
      </c>
      <c r="G44" s="522">
        <v>14327.644222499999</v>
      </c>
    </row>
    <row r="45" spans="1:7" ht="9" customHeight="1">
      <c r="A45" s="521" t="s">
        <v>493</v>
      </c>
      <c r="B45" s="400"/>
      <c r="C45" s="401">
        <v>386068.87783750001</v>
      </c>
      <c r="D45" s="401">
        <v>486860.39430500002</v>
      </c>
      <c r="E45" s="401"/>
      <c r="F45" s="401">
        <v>872929.27214250003</v>
      </c>
      <c r="G45" s="523">
        <v>1799996.2346425001</v>
      </c>
    </row>
    <row r="46" spans="1:7" ht="9" customHeight="1">
      <c r="A46" s="520" t="s">
        <v>455</v>
      </c>
      <c r="B46" s="299" t="s">
        <v>532</v>
      </c>
      <c r="C46" s="493">
        <v>47923.402017500004</v>
      </c>
      <c r="D46" s="493"/>
      <c r="E46" s="493"/>
      <c r="F46" s="493">
        <v>47923.402017500004</v>
      </c>
      <c r="G46" s="522">
        <v>75556.266644999996</v>
      </c>
    </row>
    <row r="47" spans="1:7" ht="9" customHeight="1">
      <c r="A47" s="521" t="s">
        <v>494</v>
      </c>
      <c r="B47" s="400"/>
      <c r="C47" s="401">
        <v>47923.402017500004</v>
      </c>
      <c r="D47" s="401"/>
      <c r="E47" s="401"/>
      <c r="F47" s="401">
        <v>47923.402017500004</v>
      </c>
      <c r="G47" s="523">
        <v>75556.266644999996</v>
      </c>
    </row>
    <row r="48" spans="1:7" ht="9" customHeight="1">
      <c r="A48" s="520" t="s">
        <v>113</v>
      </c>
      <c r="B48" s="299" t="s">
        <v>70</v>
      </c>
      <c r="C48" s="493"/>
      <c r="D48" s="493"/>
      <c r="E48" s="493">
        <v>2235.3242500000001</v>
      </c>
      <c r="F48" s="493">
        <v>2235.3242500000001</v>
      </c>
      <c r="G48" s="522">
        <v>4751.5300000000007</v>
      </c>
    </row>
    <row r="49" spans="1:8" ht="9" customHeight="1">
      <c r="A49" s="521" t="s">
        <v>495</v>
      </c>
      <c r="B49" s="400"/>
      <c r="C49" s="401"/>
      <c r="D49" s="401"/>
      <c r="E49" s="401">
        <v>2235.3242500000001</v>
      </c>
      <c r="F49" s="401">
        <v>2235.3242500000001</v>
      </c>
      <c r="G49" s="523">
        <v>4751.5300000000007</v>
      </c>
      <c r="H49" s="319"/>
    </row>
    <row r="50" spans="1:8" ht="9" customHeight="1">
      <c r="A50" s="520" t="s">
        <v>445</v>
      </c>
      <c r="B50" s="299" t="s">
        <v>226</v>
      </c>
      <c r="C50" s="493"/>
      <c r="D50" s="493"/>
      <c r="E50" s="493">
        <v>3350.1379999999999</v>
      </c>
      <c r="F50" s="493">
        <v>3350.1379999999999</v>
      </c>
      <c r="G50" s="522">
        <v>7248.2564999999995</v>
      </c>
    </row>
    <row r="51" spans="1:8" ht="9" customHeight="1">
      <c r="A51" s="521" t="s">
        <v>496</v>
      </c>
      <c r="B51" s="400"/>
      <c r="C51" s="401"/>
      <c r="D51" s="401"/>
      <c r="E51" s="401">
        <v>3350.1379999999999</v>
      </c>
      <c r="F51" s="401">
        <v>3350.1379999999999</v>
      </c>
      <c r="G51" s="523">
        <v>7248.2564999999995</v>
      </c>
    </row>
    <row r="52" spans="1:8" ht="9" customHeight="1">
      <c r="A52" s="520" t="s">
        <v>108</v>
      </c>
      <c r="B52" s="299" t="s">
        <v>79</v>
      </c>
      <c r="C52" s="493"/>
      <c r="D52" s="493"/>
      <c r="E52" s="493">
        <v>3528.9202</v>
      </c>
      <c r="F52" s="493">
        <v>3528.9202</v>
      </c>
      <c r="G52" s="522">
        <v>7925.3922899999998</v>
      </c>
    </row>
    <row r="53" spans="1:8" ht="9" customHeight="1">
      <c r="A53" s="521" t="s">
        <v>497</v>
      </c>
      <c r="B53" s="400"/>
      <c r="C53" s="401"/>
      <c r="D53" s="401"/>
      <c r="E53" s="401">
        <v>3528.9202</v>
      </c>
      <c r="F53" s="401">
        <v>3528.9202</v>
      </c>
      <c r="G53" s="523">
        <v>7925.3922899999998</v>
      </c>
    </row>
    <row r="54" spans="1:8" ht="9" customHeight="1">
      <c r="A54" s="520" t="s">
        <v>234</v>
      </c>
      <c r="B54" s="299" t="s">
        <v>69</v>
      </c>
      <c r="C54" s="493"/>
      <c r="D54" s="493"/>
      <c r="E54" s="493">
        <v>3423.6093099999998</v>
      </c>
      <c r="F54" s="493">
        <v>3423.6093099999998</v>
      </c>
      <c r="G54" s="522">
        <v>7066.5780599999998</v>
      </c>
    </row>
    <row r="55" spans="1:8" ht="9" customHeight="1">
      <c r="A55" s="520"/>
      <c r="B55" s="299" t="s">
        <v>313</v>
      </c>
      <c r="C55" s="493">
        <v>147910.16571500001</v>
      </c>
      <c r="D55" s="493"/>
      <c r="E55" s="493"/>
      <c r="F55" s="493">
        <v>147910.16571500001</v>
      </c>
      <c r="G55" s="522">
        <v>326323.71446500003</v>
      </c>
    </row>
    <row r="56" spans="1:8" ht="9" customHeight="1">
      <c r="A56" s="520"/>
      <c r="B56" s="299" t="s">
        <v>314</v>
      </c>
      <c r="C56" s="493">
        <v>56950.412077499997</v>
      </c>
      <c r="D56" s="493"/>
      <c r="E56" s="493"/>
      <c r="F56" s="493">
        <v>56950.412077499997</v>
      </c>
      <c r="G56" s="522">
        <v>116012.32082749999</v>
      </c>
    </row>
    <row r="57" spans="1:8" ht="9" customHeight="1">
      <c r="A57" s="520"/>
      <c r="B57" s="299" t="s">
        <v>60</v>
      </c>
      <c r="C57" s="493"/>
      <c r="D57" s="493"/>
      <c r="E57" s="493">
        <v>6344.2528174999998</v>
      </c>
      <c r="F57" s="493">
        <v>6344.2528174999998</v>
      </c>
      <c r="G57" s="522">
        <v>13504.2603175</v>
      </c>
    </row>
    <row r="58" spans="1:8" ht="9" customHeight="1">
      <c r="A58" s="521" t="s">
        <v>498</v>
      </c>
      <c r="B58" s="400"/>
      <c r="C58" s="401">
        <v>204860.5777925</v>
      </c>
      <c r="D58" s="401"/>
      <c r="E58" s="401">
        <v>9767.8621275000005</v>
      </c>
      <c r="F58" s="401">
        <v>214628.43992</v>
      </c>
      <c r="G58" s="523">
        <v>462906.87367</v>
      </c>
    </row>
    <row r="59" spans="1:8" ht="9" customHeight="1">
      <c r="A59" s="520" t="s">
        <v>235</v>
      </c>
      <c r="B59" s="299" t="s">
        <v>76</v>
      </c>
      <c r="C59" s="493"/>
      <c r="D59" s="493"/>
      <c r="E59" s="493">
        <v>9941.4852749999991</v>
      </c>
      <c r="F59" s="493">
        <v>9941.4852749999991</v>
      </c>
      <c r="G59" s="522">
        <v>24542.879532499999</v>
      </c>
    </row>
    <row r="60" spans="1:8" ht="9" customHeight="1">
      <c r="A60" s="521" t="s">
        <v>499</v>
      </c>
      <c r="B60" s="400"/>
      <c r="C60" s="401"/>
      <c r="D60" s="401"/>
      <c r="E60" s="401">
        <v>9941.4852749999991</v>
      </c>
      <c r="F60" s="401">
        <v>9941.4852749999991</v>
      </c>
      <c r="G60" s="523">
        <v>24542.879532499999</v>
      </c>
    </row>
    <row r="61" spans="1:8" ht="9" customHeight="1">
      <c r="A61" s="520" t="s">
        <v>97</v>
      </c>
      <c r="B61" s="299" t="s">
        <v>74</v>
      </c>
      <c r="C61" s="493"/>
      <c r="D61" s="493"/>
      <c r="E61" s="493">
        <v>29202.7009</v>
      </c>
      <c r="F61" s="493">
        <v>29202.7009</v>
      </c>
      <c r="G61" s="522">
        <v>69526.500072499999</v>
      </c>
    </row>
    <row r="62" spans="1:8" ht="9" customHeight="1">
      <c r="A62" s="521" t="s">
        <v>500</v>
      </c>
      <c r="B62" s="400"/>
      <c r="C62" s="401"/>
      <c r="D62" s="401"/>
      <c r="E62" s="401">
        <v>29202.7009</v>
      </c>
      <c r="F62" s="401">
        <v>29202.7009</v>
      </c>
      <c r="G62" s="523">
        <v>69526.500072499999</v>
      </c>
    </row>
    <row r="63" spans="1:8" ht="9" customHeight="1">
      <c r="A63" s="520" t="s">
        <v>105</v>
      </c>
      <c r="B63" s="299" t="s">
        <v>225</v>
      </c>
      <c r="C63" s="493"/>
      <c r="D63" s="493"/>
      <c r="E63" s="493">
        <v>4428.3024475000002</v>
      </c>
      <c r="F63" s="493">
        <v>4428.3024475000002</v>
      </c>
      <c r="G63" s="522">
        <v>9828.5347350000011</v>
      </c>
    </row>
    <row r="64" spans="1:8" ht="9" customHeight="1">
      <c r="A64" s="521" t="s">
        <v>501</v>
      </c>
      <c r="B64" s="400"/>
      <c r="C64" s="401"/>
      <c r="D64" s="401"/>
      <c r="E64" s="401">
        <v>4428.3024475000002</v>
      </c>
      <c r="F64" s="401">
        <v>4428.3024475000002</v>
      </c>
      <c r="G64" s="523">
        <v>9828.5347350000011</v>
      </c>
    </row>
    <row r="65" spans="1:7" ht="9" customHeight="1">
      <c r="A65" s="520" t="s">
        <v>393</v>
      </c>
      <c r="B65" s="299" t="s">
        <v>83</v>
      </c>
      <c r="C65" s="493"/>
      <c r="D65" s="493"/>
      <c r="E65" s="493">
        <v>756.101675</v>
      </c>
      <c r="F65" s="493">
        <v>756.101675</v>
      </c>
      <c r="G65" s="522">
        <v>1579.7206249999999</v>
      </c>
    </row>
    <row r="66" spans="1:7" ht="9" customHeight="1">
      <c r="A66" s="520"/>
      <c r="B66" s="299" t="s">
        <v>82</v>
      </c>
      <c r="C66" s="493"/>
      <c r="D66" s="493"/>
      <c r="E66" s="493">
        <v>2759.9692249999998</v>
      </c>
      <c r="F66" s="493">
        <v>2759.9692249999998</v>
      </c>
      <c r="G66" s="522">
        <v>5782.3480499999996</v>
      </c>
    </row>
    <row r="67" spans="1:7" ht="9" customHeight="1">
      <c r="A67" s="520"/>
      <c r="B67" s="299" t="s">
        <v>407</v>
      </c>
      <c r="C67" s="493"/>
      <c r="D67" s="493"/>
      <c r="E67" s="493">
        <v>1468.3715750000001</v>
      </c>
      <c r="F67" s="493">
        <v>1468.3715750000001</v>
      </c>
      <c r="G67" s="522">
        <v>3126.4538499999999</v>
      </c>
    </row>
    <row r="68" spans="1:7" ht="9" customHeight="1">
      <c r="A68" s="520"/>
      <c r="B68" s="299" t="s">
        <v>442</v>
      </c>
      <c r="C68" s="493"/>
      <c r="D68" s="493"/>
      <c r="E68" s="493">
        <v>1259.322725</v>
      </c>
      <c r="F68" s="493">
        <v>1259.322725</v>
      </c>
      <c r="G68" s="522">
        <v>2567.2103999999999</v>
      </c>
    </row>
    <row r="69" spans="1:7" ht="10.199999999999999" customHeight="1">
      <c r="A69" s="521" t="s">
        <v>502</v>
      </c>
      <c r="B69" s="400"/>
      <c r="C69" s="401"/>
      <c r="D69" s="401"/>
      <c r="E69" s="401">
        <v>6243.7651999999998</v>
      </c>
      <c r="F69" s="401">
        <v>6243.7651999999998</v>
      </c>
      <c r="G69" s="523">
        <v>13055.732925</v>
      </c>
    </row>
    <row r="70" spans="1:7" ht="9" customHeight="1">
      <c r="A70" s="520" t="s">
        <v>236</v>
      </c>
      <c r="B70" s="299" t="s">
        <v>315</v>
      </c>
      <c r="C70" s="493"/>
      <c r="D70" s="493">
        <v>1042.1827925</v>
      </c>
      <c r="E70" s="493"/>
      <c r="F70" s="493">
        <v>1042.1827925</v>
      </c>
      <c r="G70" s="522">
        <v>1059.8863349999999</v>
      </c>
    </row>
    <row r="71" spans="1:7" ht="9" customHeight="1">
      <c r="A71" s="521" t="s">
        <v>503</v>
      </c>
      <c r="B71" s="400"/>
      <c r="C71" s="401"/>
      <c r="D71" s="401">
        <v>1042.1827925</v>
      </c>
      <c r="E71" s="401"/>
      <c r="F71" s="401">
        <v>1042.1827925</v>
      </c>
      <c r="G71" s="523">
        <v>1059.8863349999999</v>
      </c>
    </row>
    <row r="72" spans="1:7" ht="9" customHeight="1">
      <c r="A72" s="520" t="s">
        <v>446</v>
      </c>
      <c r="B72" s="299" t="s">
        <v>80</v>
      </c>
      <c r="C72" s="493"/>
      <c r="D72" s="493"/>
      <c r="E72" s="493">
        <v>3092.9252499999998</v>
      </c>
      <c r="F72" s="493">
        <v>3092.9252499999998</v>
      </c>
      <c r="G72" s="522">
        <v>6940.3187500000004</v>
      </c>
    </row>
    <row r="73" spans="1:7" ht="9" customHeight="1">
      <c r="A73" s="521" t="s">
        <v>504</v>
      </c>
      <c r="B73" s="400"/>
      <c r="C73" s="401"/>
      <c r="D73" s="401"/>
      <c r="E73" s="401">
        <v>3092.9252499999998</v>
      </c>
      <c r="F73" s="401">
        <v>3092.9252499999998</v>
      </c>
      <c r="G73" s="523">
        <v>6940.3187500000004</v>
      </c>
    </row>
    <row r="74" spans="1:7" ht="9" customHeight="1">
      <c r="A74" s="520" t="s">
        <v>422</v>
      </c>
      <c r="B74" s="299" t="s">
        <v>433</v>
      </c>
      <c r="C74" s="493"/>
      <c r="D74" s="493"/>
      <c r="E74" s="493">
        <v>13107.826415</v>
      </c>
      <c r="F74" s="493">
        <v>13107.826415</v>
      </c>
      <c r="G74" s="522">
        <v>27640.221409999998</v>
      </c>
    </row>
    <row r="75" spans="1:7" ht="9" customHeight="1">
      <c r="A75" s="521" t="s">
        <v>505</v>
      </c>
      <c r="B75" s="400"/>
      <c r="C75" s="401"/>
      <c r="D75" s="401"/>
      <c r="E75" s="401">
        <v>13107.826415</v>
      </c>
      <c r="F75" s="401">
        <v>13107.826415</v>
      </c>
      <c r="G75" s="523">
        <v>27640.221409999998</v>
      </c>
    </row>
    <row r="76" spans="1:7" ht="9" customHeight="1">
      <c r="A76" s="520" t="s">
        <v>102</v>
      </c>
      <c r="B76" s="299" t="s">
        <v>59</v>
      </c>
      <c r="C76" s="493"/>
      <c r="D76" s="493"/>
      <c r="E76" s="493">
        <v>12070.8682075</v>
      </c>
      <c r="F76" s="493">
        <v>12070.8682075</v>
      </c>
      <c r="G76" s="522">
        <v>23634.931114999999</v>
      </c>
    </row>
    <row r="77" spans="1:7" ht="9" customHeight="1">
      <c r="A77" s="521" t="s">
        <v>506</v>
      </c>
      <c r="B77" s="400"/>
      <c r="C77" s="401"/>
      <c r="D77" s="401"/>
      <c r="E77" s="401">
        <v>12070.8682075</v>
      </c>
      <c r="F77" s="401">
        <v>12070.8682075</v>
      </c>
      <c r="G77" s="523">
        <v>23634.931114999999</v>
      </c>
    </row>
    <row r="78" spans="1:7" ht="12" customHeight="1"/>
  </sheetData>
  <mergeCells count="5">
    <mergeCell ref="A1:A4"/>
    <mergeCell ref="B1:B4"/>
    <mergeCell ref="C1:F1"/>
    <mergeCell ref="C2:E2"/>
    <mergeCell ref="F2:F3"/>
  </mergeCells>
  <pageMargins left="0.4365" right="0.33950000000000002" top="0.91341666666666665" bottom="0.51733333333333331"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57"/>
  <sheetViews>
    <sheetView showGridLines="0" view="pageBreakPreview" zoomScaleNormal="100" zoomScaleSheetLayoutView="100" zoomScalePageLayoutView="115" workbookViewId="0">
      <selection activeCell="C22" sqref="C22"/>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29" t="s">
        <v>243</v>
      </c>
      <c r="B1" s="932" t="s">
        <v>52</v>
      </c>
      <c r="C1" s="935" t="str">
        <f>+'19. ANEXOI-2'!C1:F1</f>
        <v>ENERGÍA PRODUCIDA FEBRERO 2023</v>
      </c>
      <c r="D1" s="935"/>
      <c r="E1" s="935"/>
      <c r="F1" s="935"/>
      <c r="G1" s="494" t="s">
        <v>264</v>
      </c>
      <c r="H1" s="203"/>
    </row>
    <row r="2" spans="1:8" ht="11.25" customHeight="1">
      <c r="A2" s="930"/>
      <c r="B2" s="933"/>
      <c r="C2" s="936" t="s">
        <v>265</v>
      </c>
      <c r="D2" s="936"/>
      <c r="E2" s="936"/>
      <c r="F2" s="937" t="str">
        <f>"TOTAL 
"&amp;UPPER('1. Resumen'!Q4)</f>
        <v>TOTAL 
FEBRERO</v>
      </c>
      <c r="G2" s="495" t="s">
        <v>266</v>
      </c>
      <c r="H2" s="194"/>
    </row>
    <row r="3" spans="1:8" ht="11.25" customHeight="1">
      <c r="A3" s="930"/>
      <c r="B3" s="933"/>
      <c r="C3" s="490" t="s">
        <v>208</v>
      </c>
      <c r="D3" s="490" t="s">
        <v>209</v>
      </c>
      <c r="E3" s="490" t="s">
        <v>267</v>
      </c>
      <c r="F3" s="938"/>
      <c r="G3" s="495">
        <v>2023</v>
      </c>
      <c r="H3" s="196"/>
    </row>
    <row r="4" spans="1:8" ht="11.25" customHeight="1">
      <c r="A4" s="939"/>
      <c r="B4" s="940"/>
      <c r="C4" s="491" t="s">
        <v>268</v>
      </c>
      <c r="D4" s="491" t="s">
        <v>268</v>
      </c>
      <c r="E4" s="491" t="s">
        <v>268</v>
      </c>
      <c r="F4" s="491" t="s">
        <v>268</v>
      </c>
      <c r="G4" s="496" t="s">
        <v>201</v>
      </c>
      <c r="H4" s="196"/>
    </row>
    <row r="5" spans="1:8" s="299" customFormat="1" ht="9" customHeight="1">
      <c r="A5" s="520" t="s">
        <v>237</v>
      </c>
      <c r="B5" s="299" t="s">
        <v>316</v>
      </c>
      <c r="C5" s="493"/>
      <c r="D5" s="493">
        <v>458.7125825</v>
      </c>
      <c r="E5" s="493"/>
      <c r="F5" s="493">
        <v>458.7125825</v>
      </c>
      <c r="G5" s="522">
        <v>458.7125825</v>
      </c>
    </row>
    <row r="6" spans="1:8" s="299" customFormat="1" ht="9" customHeight="1">
      <c r="A6" s="521" t="s">
        <v>507</v>
      </c>
      <c r="B6" s="400"/>
      <c r="C6" s="401"/>
      <c r="D6" s="401">
        <v>458.7125825</v>
      </c>
      <c r="E6" s="401"/>
      <c r="F6" s="401">
        <v>458.7125825</v>
      </c>
      <c r="G6" s="523">
        <v>458.7125825</v>
      </c>
    </row>
    <row r="7" spans="1:8" s="299" customFormat="1" ht="9" customHeight="1">
      <c r="A7" s="520" t="s">
        <v>93</v>
      </c>
      <c r="B7" s="299" t="s">
        <v>317</v>
      </c>
      <c r="C7" s="493">
        <v>73889.684007500007</v>
      </c>
      <c r="D7" s="493"/>
      <c r="E7" s="493"/>
      <c r="F7" s="493">
        <v>73889.684007500007</v>
      </c>
      <c r="G7" s="522">
        <v>144434.52317250002</v>
      </c>
    </row>
    <row r="8" spans="1:8" s="299" customFormat="1" ht="9" customHeight="1">
      <c r="A8" s="520"/>
      <c r="B8" s="299" t="s">
        <v>585</v>
      </c>
      <c r="C8" s="493">
        <v>0</v>
      </c>
      <c r="D8" s="493"/>
      <c r="E8" s="493"/>
      <c r="F8" s="493">
        <v>0</v>
      </c>
      <c r="G8" s="522">
        <v>0</v>
      </c>
    </row>
    <row r="9" spans="1:8" s="299" customFormat="1" ht="9" customHeight="1">
      <c r="A9" s="521" t="s">
        <v>508</v>
      </c>
      <c r="B9" s="400"/>
      <c r="C9" s="401">
        <v>73889.684007500007</v>
      </c>
      <c r="D9" s="401"/>
      <c r="E9" s="401"/>
      <c r="F9" s="401">
        <v>73889.684007500007</v>
      </c>
      <c r="G9" s="523">
        <v>144434.52317250002</v>
      </c>
    </row>
    <row r="10" spans="1:8" s="299" customFormat="1" ht="9" customHeight="1">
      <c r="A10" s="520" t="s">
        <v>409</v>
      </c>
      <c r="B10" s="299" t="s">
        <v>438</v>
      </c>
      <c r="C10" s="493"/>
      <c r="D10" s="493"/>
      <c r="E10" s="493">
        <v>1952.6254274999999</v>
      </c>
      <c r="F10" s="493">
        <v>1952.6254274999999</v>
      </c>
      <c r="G10" s="522">
        <v>4590.2786225</v>
      </c>
    </row>
    <row r="11" spans="1:8" s="299" customFormat="1" ht="9" customHeight="1">
      <c r="A11" s="521" t="s">
        <v>509</v>
      </c>
      <c r="B11" s="400"/>
      <c r="C11" s="401"/>
      <c r="D11" s="401"/>
      <c r="E11" s="401">
        <v>1952.6254274999999</v>
      </c>
      <c r="F11" s="401">
        <v>1952.6254274999999</v>
      </c>
      <c r="G11" s="523">
        <v>4590.2786225</v>
      </c>
    </row>
    <row r="12" spans="1:8" s="299" customFormat="1" ht="9" customHeight="1">
      <c r="A12" s="520" t="s">
        <v>384</v>
      </c>
      <c r="B12" s="299" t="s">
        <v>388</v>
      </c>
      <c r="C12" s="493"/>
      <c r="D12" s="493"/>
      <c r="E12" s="493">
        <v>12987.30697</v>
      </c>
      <c r="F12" s="493">
        <v>12987.30697</v>
      </c>
      <c r="G12" s="522">
        <v>28243.624337499998</v>
      </c>
    </row>
    <row r="13" spans="1:8" s="299" customFormat="1" ht="9" customHeight="1">
      <c r="A13" s="521" t="s">
        <v>510</v>
      </c>
      <c r="B13" s="400"/>
      <c r="C13" s="401"/>
      <c r="D13" s="401"/>
      <c r="E13" s="401">
        <v>12987.30697</v>
      </c>
      <c r="F13" s="401">
        <v>12987.30697</v>
      </c>
      <c r="G13" s="523">
        <v>28243.624337499998</v>
      </c>
    </row>
    <row r="14" spans="1:8" s="299" customFormat="1" ht="9" customHeight="1">
      <c r="A14" s="520" t="s">
        <v>100</v>
      </c>
      <c r="B14" s="299" t="s">
        <v>630</v>
      </c>
      <c r="C14" s="493"/>
      <c r="D14" s="493">
        <v>684.96994749999999</v>
      </c>
      <c r="E14" s="493"/>
      <c r="F14" s="493">
        <v>684.96994749999999</v>
      </c>
      <c r="G14" s="522">
        <v>684.96994749999999</v>
      </c>
    </row>
    <row r="15" spans="1:8" s="299" customFormat="1" ht="9" customHeight="1">
      <c r="A15" s="521" t="s">
        <v>511</v>
      </c>
      <c r="B15" s="400"/>
      <c r="C15" s="401"/>
      <c r="D15" s="401">
        <v>684.96994749999999</v>
      </c>
      <c r="E15" s="401"/>
      <c r="F15" s="401">
        <v>684.96994749999999</v>
      </c>
      <c r="G15" s="523">
        <v>684.96994749999999</v>
      </c>
    </row>
    <row r="16" spans="1:8" s="299" customFormat="1" ht="9" customHeight="1">
      <c r="A16" s="520" t="s">
        <v>115</v>
      </c>
      <c r="B16" s="299" t="s">
        <v>318</v>
      </c>
      <c r="C16" s="493"/>
      <c r="D16" s="493">
        <v>441.4590025</v>
      </c>
      <c r="E16" s="493"/>
      <c r="F16" s="493">
        <v>441.4590025</v>
      </c>
      <c r="G16" s="522">
        <v>656.36402249999992</v>
      </c>
    </row>
    <row r="17" spans="1:7" s="299" customFormat="1" ht="9" customHeight="1">
      <c r="A17" s="521" t="s">
        <v>512</v>
      </c>
      <c r="B17" s="400"/>
      <c r="C17" s="401"/>
      <c r="D17" s="401">
        <v>441.4590025</v>
      </c>
      <c r="E17" s="401"/>
      <c r="F17" s="401">
        <v>441.4590025</v>
      </c>
      <c r="G17" s="523">
        <v>656.36402249999992</v>
      </c>
    </row>
    <row r="18" spans="1:7" s="299" customFormat="1" ht="9" customHeight="1">
      <c r="A18" s="520" t="s">
        <v>109</v>
      </c>
      <c r="B18" s="299" t="s">
        <v>434</v>
      </c>
      <c r="C18" s="493"/>
      <c r="D18" s="493"/>
      <c r="E18" s="493">
        <v>13405.171147500001</v>
      </c>
      <c r="F18" s="493">
        <v>13405.171147500001</v>
      </c>
      <c r="G18" s="522">
        <v>28183.205845</v>
      </c>
    </row>
    <row r="19" spans="1:7" s="299" customFormat="1" ht="9" customHeight="1">
      <c r="A19" s="520"/>
      <c r="B19" s="299" t="s">
        <v>67</v>
      </c>
      <c r="C19" s="493"/>
      <c r="D19" s="493"/>
      <c r="E19" s="493">
        <v>3426.9490875000001</v>
      </c>
      <c r="F19" s="493">
        <v>3426.9490875000001</v>
      </c>
      <c r="G19" s="522">
        <v>5201.0030999999999</v>
      </c>
    </row>
    <row r="20" spans="1:7" s="299" customFormat="1" ht="9" customHeight="1">
      <c r="A20" s="521" t="s">
        <v>513</v>
      </c>
      <c r="B20" s="400"/>
      <c r="C20" s="401"/>
      <c r="D20" s="401"/>
      <c r="E20" s="401">
        <v>16832.120235000002</v>
      </c>
      <c r="F20" s="401">
        <v>16832.120235000002</v>
      </c>
      <c r="G20" s="523">
        <v>33384.208944999998</v>
      </c>
    </row>
    <row r="21" spans="1:7" s="299" customFormat="1" ht="9" customHeight="1">
      <c r="A21" s="520" t="s">
        <v>88</v>
      </c>
      <c r="B21" s="299" t="s">
        <v>319</v>
      </c>
      <c r="C21" s="493">
        <v>21165.603682499997</v>
      </c>
      <c r="D21" s="493"/>
      <c r="E21" s="493"/>
      <c r="F21" s="493">
        <v>21165.603682499997</v>
      </c>
      <c r="G21" s="522">
        <v>52202.706287499997</v>
      </c>
    </row>
    <row r="22" spans="1:7" s="299" customFormat="1" ht="9" customHeight="1">
      <c r="A22" s="520"/>
      <c r="B22" s="299" t="s">
        <v>320</v>
      </c>
      <c r="C22" s="493">
        <v>91850.985110000009</v>
      </c>
      <c r="D22" s="493"/>
      <c r="E22" s="493"/>
      <c r="F22" s="493">
        <v>91850.985110000009</v>
      </c>
      <c r="G22" s="522">
        <v>171792.91614250001</v>
      </c>
    </row>
    <row r="23" spans="1:7" s="299" customFormat="1" ht="9" customHeight="1">
      <c r="A23" s="520"/>
      <c r="B23" s="299" t="s">
        <v>321</v>
      </c>
      <c r="C23" s="493">
        <v>11774.122565</v>
      </c>
      <c r="D23" s="493"/>
      <c r="E23" s="493"/>
      <c r="F23" s="493">
        <v>11774.122565</v>
      </c>
      <c r="G23" s="522">
        <v>27053.406922499998</v>
      </c>
    </row>
    <row r="24" spans="1:7" s="299" customFormat="1" ht="9" customHeight="1">
      <c r="A24" s="520"/>
      <c r="B24" s="299" t="s">
        <v>322</v>
      </c>
      <c r="C24" s="493">
        <v>25.942240000000002</v>
      </c>
      <c r="D24" s="493"/>
      <c r="E24" s="493"/>
      <c r="F24" s="493">
        <v>25.942240000000002</v>
      </c>
      <c r="G24" s="522">
        <v>42.427239999999998</v>
      </c>
    </row>
    <row r="25" spans="1:7" s="299" customFormat="1" ht="9" customHeight="1">
      <c r="A25" s="520"/>
      <c r="B25" s="299" t="s">
        <v>323</v>
      </c>
      <c r="C25" s="493">
        <v>24326.0275425</v>
      </c>
      <c r="D25" s="493"/>
      <c r="E25" s="493"/>
      <c r="F25" s="493">
        <v>24326.0275425</v>
      </c>
      <c r="G25" s="522">
        <v>33448.064147500001</v>
      </c>
    </row>
    <row r="26" spans="1:7" s="299" customFormat="1" ht="9" customHeight="1">
      <c r="A26" s="520"/>
      <c r="B26" s="299" t="s">
        <v>324</v>
      </c>
      <c r="C26" s="493">
        <v>1776.3273799999999</v>
      </c>
      <c r="D26" s="493"/>
      <c r="E26" s="493"/>
      <c r="F26" s="493">
        <v>1776.3273799999999</v>
      </c>
      <c r="G26" s="522">
        <v>3560.8490499999998</v>
      </c>
    </row>
    <row r="27" spans="1:7" s="299" customFormat="1" ht="9" customHeight="1">
      <c r="A27" s="520"/>
      <c r="B27" s="299" t="s">
        <v>325</v>
      </c>
      <c r="C27" s="493">
        <v>5021.9826300000004</v>
      </c>
      <c r="D27" s="493"/>
      <c r="E27" s="493"/>
      <c r="F27" s="493">
        <v>5021.9826300000004</v>
      </c>
      <c r="G27" s="522">
        <v>9469.2734099999998</v>
      </c>
    </row>
    <row r="28" spans="1:7" s="299" customFormat="1" ht="9" customHeight="1">
      <c r="A28" s="520"/>
      <c r="B28" s="299" t="s">
        <v>326</v>
      </c>
      <c r="C28" s="493">
        <v>125.468385</v>
      </c>
      <c r="D28" s="493"/>
      <c r="E28" s="493"/>
      <c r="F28" s="493">
        <v>125.468385</v>
      </c>
      <c r="G28" s="522">
        <v>1003.9601425</v>
      </c>
    </row>
    <row r="29" spans="1:7" s="299" customFormat="1" ht="9" customHeight="1">
      <c r="A29" s="520"/>
      <c r="B29" s="299" t="s">
        <v>327</v>
      </c>
      <c r="C29" s="493">
        <v>2328.79106</v>
      </c>
      <c r="D29" s="493"/>
      <c r="E29" s="493"/>
      <c r="F29" s="493">
        <v>2328.79106</v>
      </c>
      <c r="G29" s="522">
        <v>5241.7774124999996</v>
      </c>
    </row>
    <row r="30" spans="1:7" s="299" customFormat="1" ht="9" customHeight="1">
      <c r="A30" s="520"/>
      <c r="B30" s="299" t="s">
        <v>328</v>
      </c>
      <c r="C30" s="493">
        <v>315.37274000000002</v>
      </c>
      <c r="D30" s="493"/>
      <c r="E30" s="493"/>
      <c r="F30" s="493">
        <v>315.37274000000002</v>
      </c>
      <c r="G30" s="522">
        <v>422.50924750000001</v>
      </c>
    </row>
    <row r="31" spans="1:7" s="299" customFormat="1" ht="9" customHeight="1">
      <c r="A31" s="520"/>
      <c r="B31" s="299" t="s">
        <v>329</v>
      </c>
      <c r="C31" s="493">
        <v>235.546605</v>
      </c>
      <c r="D31" s="493"/>
      <c r="E31" s="493"/>
      <c r="F31" s="493">
        <v>235.546605</v>
      </c>
      <c r="G31" s="522">
        <v>314.20829249999997</v>
      </c>
    </row>
    <row r="32" spans="1:7" s="299" customFormat="1" ht="9" customHeight="1">
      <c r="A32" s="520"/>
      <c r="B32" s="299" t="s">
        <v>330</v>
      </c>
      <c r="C32" s="493">
        <v>69605.048665000009</v>
      </c>
      <c r="D32" s="493"/>
      <c r="E32" s="493"/>
      <c r="F32" s="493">
        <v>69605.048665000009</v>
      </c>
      <c r="G32" s="522">
        <v>144133.88609000001</v>
      </c>
    </row>
    <row r="33" spans="1:8" s="299" customFormat="1" ht="9" customHeight="1">
      <c r="A33" s="521" t="s">
        <v>514</v>
      </c>
      <c r="B33" s="400"/>
      <c r="C33" s="401">
        <v>228551.218605</v>
      </c>
      <c r="D33" s="401"/>
      <c r="E33" s="401"/>
      <c r="F33" s="401">
        <v>228551.218605</v>
      </c>
      <c r="G33" s="523">
        <v>448685.98438499996</v>
      </c>
    </row>
    <row r="34" spans="1:8" s="299" customFormat="1" ht="9" customHeight="1">
      <c r="A34" s="520" t="s">
        <v>107</v>
      </c>
      <c r="B34" s="299" t="s">
        <v>224</v>
      </c>
      <c r="C34" s="493"/>
      <c r="D34" s="493"/>
      <c r="E34" s="493">
        <v>4998.3784599999999</v>
      </c>
      <c r="F34" s="493">
        <v>4998.3784599999999</v>
      </c>
      <c r="G34" s="522">
        <v>10664.6195575</v>
      </c>
    </row>
    <row r="35" spans="1:8" s="299" customFormat="1" ht="9" customHeight="1">
      <c r="A35" s="521" t="s">
        <v>515</v>
      </c>
      <c r="B35" s="400"/>
      <c r="C35" s="401"/>
      <c r="D35" s="401"/>
      <c r="E35" s="401">
        <v>4998.3784599999999</v>
      </c>
      <c r="F35" s="401">
        <v>4998.3784599999999</v>
      </c>
      <c r="G35" s="523">
        <v>10664.6195575</v>
      </c>
    </row>
    <row r="36" spans="1:8" s="299" customFormat="1" ht="9" customHeight="1">
      <c r="A36" s="520" t="s">
        <v>98</v>
      </c>
      <c r="B36" s="299" t="s">
        <v>411</v>
      </c>
      <c r="C36" s="493"/>
      <c r="D36" s="493">
        <v>78771.005127500001</v>
      </c>
      <c r="E36" s="493"/>
      <c r="F36" s="493">
        <v>78771.005127500001</v>
      </c>
      <c r="G36" s="522">
        <v>94458.654452499992</v>
      </c>
    </row>
    <row r="37" spans="1:8" s="299" customFormat="1" ht="9" customHeight="1">
      <c r="A37" s="521" t="s">
        <v>516</v>
      </c>
      <c r="B37" s="400"/>
      <c r="C37" s="401"/>
      <c r="D37" s="401">
        <v>78771.005127500001</v>
      </c>
      <c r="E37" s="401"/>
      <c r="F37" s="401">
        <v>78771.005127500001</v>
      </c>
      <c r="G37" s="523">
        <v>94458.654452499992</v>
      </c>
    </row>
    <row r="38" spans="1:8" s="299" customFormat="1" ht="9" customHeight="1">
      <c r="A38" s="520" t="s">
        <v>103</v>
      </c>
      <c r="B38" s="299" t="s">
        <v>331</v>
      </c>
      <c r="C38" s="493"/>
      <c r="D38" s="493">
        <v>1941.3706299999999</v>
      </c>
      <c r="E38" s="493"/>
      <c r="F38" s="493">
        <v>1941.3706299999999</v>
      </c>
      <c r="G38" s="522">
        <v>19239.359425000002</v>
      </c>
    </row>
    <row r="39" spans="1:8" s="299" customFormat="1" ht="9" customHeight="1">
      <c r="A39" s="521" t="s">
        <v>517</v>
      </c>
      <c r="B39" s="400"/>
      <c r="C39" s="401"/>
      <c r="D39" s="401">
        <v>1941.3706299999999</v>
      </c>
      <c r="E39" s="401"/>
      <c r="F39" s="401">
        <v>1941.3706299999999</v>
      </c>
      <c r="G39" s="523">
        <v>19239.359425000002</v>
      </c>
    </row>
    <row r="40" spans="1:8">
      <c r="A40" s="386" t="s">
        <v>403</v>
      </c>
      <c r="B40" s="386"/>
      <c r="C40" s="385">
        <v>2700396.8681674991</v>
      </c>
      <c r="D40" s="385">
        <v>1418784.604755</v>
      </c>
      <c r="E40" s="385">
        <v>407262.51163499989</v>
      </c>
      <c r="F40" s="385">
        <v>4526443.9845575001</v>
      </c>
      <c r="G40" s="497">
        <v>9417112.9786525071</v>
      </c>
    </row>
    <row r="41" spans="1:8">
      <c r="A41" s="386" t="s">
        <v>332</v>
      </c>
      <c r="B41" s="386"/>
      <c r="C41" s="387"/>
      <c r="D41" s="387"/>
      <c r="E41" s="412"/>
      <c r="F41" s="388">
        <f>+'3. Tipo Generación'!D14*1000</f>
        <v>0</v>
      </c>
      <c r="G41" s="498">
        <f>+'4. Tipo Recurso'!$G$20*1000</f>
        <v>0</v>
      </c>
    </row>
    <row r="42" spans="1:8">
      <c r="A42" s="499" t="s">
        <v>333</v>
      </c>
      <c r="B42" s="386"/>
      <c r="C42" s="387"/>
      <c r="D42" s="387"/>
      <c r="E42" s="412"/>
      <c r="F42" s="388">
        <f>+'3. Tipo Generación'!D15*1000</f>
        <v>0</v>
      </c>
      <c r="G42" s="498">
        <f>+'4. Tipo Recurso'!$G$21*1000</f>
        <v>254.42452999999998</v>
      </c>
    </row>
    <row r="43" spans="1:8" ht="6.75" customHeight="1">
      <c r="A43" s="500"/>
      <c r="B43" s="500"/>
      <c r="C43" s="500"/>
      <c r="D43" s="500"/>
      <c r="E43" s="500"/>
      <c r="F43" s="500"/>
      <c r="G43" s="500"/>
    </row>
    <row r="44" spans="1:8" ht="23.25" customHeight="1">
      <c r="A44" s="941" t="s">
        <v>525</v>
      </c>
      <c r="B44" s="941"/>
      <c r="C44" s="941"/>
      <c r="D44" s="941"/>
      <c r="E44" s="941"/>
      <c r="F44" s="941"/>
      <c r="G44" s="941"/>
    </row>
    <row r="45" spans="1:8" ht="17.25" customHeight="1">
      <c r="A45" s="533"/>
      <c r="B45" s="533"/>
      <c r="C45" s="533"/>
      <c r="D45" s="533"/>
      <c r="E45" s="533"/>
      <c r="F45" s="533"/>
      <c r="G45" s="533"/>
      <c r="H45" s="46"/>
    </row>
    <row r="46" spans="1:8" ht="17.25" customHeight="1">
      <c r="A46" s="648" t="s">
        <v>586</v>
      </c>
      <c r="B46" s="533"/>
      <c r="C46" s="533"/>
      <c r="D46" s="533"/>
      <c r="E46" s="533"/>
      <c r="F46" s="533"/>
      <c r="G46" s="533"/>
      <c r="H46" s="46"/>
    </row>
    <row r="47" spans="1:8" ht="17.25" customHeight="1">
      <c r="A47" s="533" t="s">
        <v>629</v>
      </c>
      <c r="B47" s="533"/>
      <c r="C47" s="533"/>
      <c r="D47" s="533"/>
      <c r="E47" s="533"/>
      <c r="F47" s="533"/>
      <c r="G47" s="533"/>
      <c r="H47" s="46"/>
    </row>
    <row r="48" spans="1:8" ht="17.25" customHeight="1">
      <c r="A48" s="533"/>
      <c r="B48" s="533"/>
      <c r="C48" s="533"/>
      <c r="D48" s="533"/>
      <c r="E48" s="533"/>
      <c r="F48" s="533"/>
      <c r="G48" s="533"/>
      <c r="H48" s="46"/>
    </row>
    <row r="49" spans="1:8" ht="17.25" customHeight="1">
      <c r="A49" s="533"/>
      <c r="B49" s="533"/>
      <c r="C49" s="533"/>
      <c r="D49" s="533"/>
      <c r="E49" s="533"/>
      <c r="F49" s="533"/>
      <c r="G49" s="533"/>
      <c r="H49" s="46"/>
    </row>
    <row r="50" spans="1:8" ht="18.600000000000001" customHeight="1">
      <c r="A50" s="533"/>
      <c r="B50" s="270"/>
      <c r="C50" s="270"/>
      <c r="D50" s="270"/>
      <c r="E50" s="270"/>
      <c r="F50" s="270"/>
    </row>
    <row r="51" spans="1:8">
      <c r="A51" s="299"/>
      <c r="B51" s="270"/>
      <c r="C51" s="270"/>
      <c r="D51" s="270"/>
      <c r="E51" s="270"/>
      <c r="F51" s="270"/>
    </row>
    <row r="52" spans="1:8">
      <c r="A52" s="299"/>
      <c r="B52" s="270"/>
      <c r="C52" s="270"/>
      <c r="D52" s="270"/>
      <c r="E52" s="270"/>
      <c r="F52" s="270"/>
    </row>
    <row r="53" spans="1:8">
      <c r="A53" s="299"/>
      <c r="B53" s="270"/>
      <c r="C53" s="270"/>
      <c r="D53" s="270"/>
      <c r="E53" s="270"/>
      <c r="F53" s="270"/>
    </row>
    <row r="54" spans="1:8">
      <c r="A54" s="299"/>
      <c r="B54" s="270"/>
      <c r="C54" s="270"/>
      <c r="D54" s="270"/>
      <c r="E54" s="270"/>
      <c r="F54" s="270"/>
    </row>
    <row r="55" spans="1:8">
      <c r="A55" s="299"/>
    </row>
    <row r="56" spans="1:8">
      <c r="A56" s="299"/>
    </row>
    <row r="57" spans="1:8">
      <c r="A57" s="299"/>
    </row>
  </sheetData>
  <mergeCells count="6">
    <mergeCell ref="A44:G44"/>
    <mergeCell ref="A1:A4"/>
    <mergeCell ref="B1:B4"/>
    <mergeCell ref="C1:F1"/>
    <mergeCell ref="C2:E2"/>
    <mergeCell ref="F2:F3"/>
  </mergeCells>
  <phoneticPr fontId="13" type="noConversion"/>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5"/>
  <sheetViews>
    <sheetView showGridLines="0" view="pageBreakPreview" zoomScaleNormal="100" zoomScaleSheetLayoutView="100" zoomScalePageLayoutView="115" workbookViewId="0">
      <selection activeCell="C34" sqref="C34"/>
    </sheetView>
  </sheetViews>
  <sheetFormatPr baseColWidth="10" defaultColWidth="9.28515625" defaultRowHeight="9.6"/>
  <cols>
    <col min="1" max="1" width="28.85546875" style="270" customWidth="1"/>
    <col min="2" max="2" width="24.7109375" style="270" customWidth="1"/>
    <col min="3" max="5" width="16.140625" style="270" customWidth="1"/>
    <col min="6" max="6" width="15.140625" style="270" customWidth="1"/>
    <col min="7" max="7" width="9.28515625" style="270"/>
    <col min="8" max="8" width="15.7109375" style="270" customWidth="1"/>
    <col min="9" max="9" width="9.28515625" style="270"/>
    <col min="10" max="11" width="9.28515625" style="270" customWidth="1"/>
    <col min="12" max="16384" width="9.28515625" style="270"/>
  </cols>
  <sheetData>
    <row r="1" spans="1:12" ht="11.25" customHeight="1">
      <c r="A1" s="507" t="s">
        <v>336</v>
      </c>
      <c r="B1" s="508"/>
      <c r="C1" s="508"/>
      <c r="D1" s="508"/>
      <c r="E1" s="508"/>
      <c r="F1" s="508"/>
    </row>
    <row r="2" spans="1:12" s="299" customFormat="1" ht="11.25" customHeight="1">
      <c r="A2" s="942" t="s">
        <v>243</v>
      </c>
      <c r="B2" s="945" t="s">
        <v>52</v>
      </c>
      <c r="C2" s="945" t="s">
        <v>337</v>
      </c>
      <c r="D2" s="945"/>
      <c r="E2" s="945"/>
      <c r="F2" s="948"/>
      <c r="G2" s="337"/>
      <c r="H2" s="337"/>
      <c r="I2" s="337"/>
      <c r="J2" s="337"/>
      <c r="K2" s="337"/>
    </row>
    <row r="3" spans="1:12" s="299" customFormat="1" ht="11.25" customHeight="1">
      <c r="A3" s="943"/>
      <c r="B3" s="946"/>
      <c r="C3" s="389" t="str">
        <f>UPPER('1. Resumen'!Q4)&amp;" "&amp;'1. Resumen'!Q5</f>
        <v>FEBRERO 2023</v>
      </c>
      <c r="D3" s="390" t="str">
        <f>UPPER('1. Resumen'!Q4)&amp;" "&amp;'1. Resumen'!Q5-1</f>
        <v>FEBRERO 2022</v>
      </c>
      <c r="E3" s="390">
        <v>2023</v>
      </c>
      <c r="F3" s="501" t="s">
        <v>589</v>
      </c>
      <c r="G3" s="338"/>
      <c r="H3" s="338"/>
      <c r="I3" s="338"/>
      <c r="J3" s="338"/>
      <c r="K3" s="338"/>
      <c r="L3" s="337"/>
    </row>
    <row r="4" spans="1:12" s="299" customFormat="1" ht="11.25" customHeight="1">
      <c r="A4" s="943"/>
      <c r="B4" s="946"/>
      <c r="C4" s="391">
        <f>+'8. Max Potencia'!D8</f>
        <v>44959.71875</v>
      </c>
      <c r="D4" s="391">
        <f>+'8. Max Potencia'!E8</f>
        <v>44614.822916666664</v>
      </c>
      <c r="E4" s="391">
        <f>+'8. Max Potencia'!G8</f>
        <v>44959.71875</v>
      </c>
      <c r="F4" s="502" t="s">
        <v>334</v>
      </c>
      <c r="G4" s="339"/>
      <c r="H4" s="339"/>
      <c r="I4" s="340"/>
      <c r="J4" s="340"/>
      <c r="K4" s="340"/>
      <c r="L4" s="337"/>
    </row>
    <row r="5" spans="1:12" s="299" customFormat="1" ht="11.25" customHeight="1">
      <c r="A5" s="944"/>
      <c r="B5" s="947"/>
      <c r="C5" s="392">
        <f>+'8. Max Potencia'!D9</f>
        <v>44959.71875</v>
      </c>
      <c r="D5" s="392">
        <f>+'8. Max Potencia'!E9</f>
        <v>44614.822916666664</v>
      </c>
      <c r="E5" s="392">
        <f>+'8. Max Potencia'!G9</f>
        <v>44959.71875</v>
      </c>
      <c r="F5" s="503" t="s">
        <v>335</v>
      </c>
      <c r="G5" s="339"/>
      <c r="H5" s="339"/>
      <c r="I5" s="339"/>
      <c r="J5" s="339"/>
      <c r="K5" s="339"/>
      <c r="L5" s="341"/>
    </row>
    <row r="6" spans="1:12" s="299" customFormat="1" ht="9" customHeight="1">
      <c r="A6" s="798" t="s">
        <v>117</v>
      </c>
      <c r="B6" s="799" t="s">
        <v>84</v>
      </c>
      <c r="C6" s="800">
        <v>0</v>
      </c>
      <c r="D6" s="800">
        <v>0</v>
      </c>
      <c r="E6" s="800">
        <v>0</v>
      </c>
      <c r="F6" s="801" t="str">
        <f>+IF(D6=0,"",C6/D6-1)</f>
        <v/>
      </c>
      <c r="G6" s="339"/>
      <c r="H6" s="541"/>
      <c r="I6" s="541"/>
      <c r="J6" s="339"/>
      <c r="K6" s="339"/>
      <c r="L6" s="342"/>
    </row>
    <row r="7" spans="1:12" s="299" customFormat="1" ht="9" customHeight="1">
      <c r="A7" s="521" t="s">
        <v>457</v>
      </c>
      <c r="B7" s="400"/>
      <c r="C7" s="401">
        <v>0</v>
      </c>
      <c r="D7" s="401">
        <v>0</v>
      </c>
      <c r="E7" s="401">
        <v>0</v>
      </c>
      <c r="F7" s="786" t="str">
        <f t="shared" ref="F7:F66" si="0">+IF(D7=0,"",C7/D7-1)</f>
        <v/>
      </c>
      <c r="G7" s="339"/>
      <c r="H7" s="541"/>
      <c r="I7" s="541"/>
      <c r="J7" s="339"/>
      <c r="K7" s="339"/>
      <c r="L7" s="343"/>
    </row>
    <row r="8" spans="1:12" s="299" customFormat="1" ht="9" customHeight="1">
      <c r="A8" s="525" t="s">
        <v>116</v>
      </c>
      <c r="B8" s="335" t="s">
        <v>61</v>
      </c>
      <c r="C8" s="336">
        <v>9.9996899999999993</v>
      </c>
      <c r="D8" s="336">
        <v>19.972529999999999</v>
      </c>
      <c r="E8" s="336">
        <v>9.9996899999999993</v>
      </c>
      <c r="F8" s="785">
        <f t="shared" si="0"/>
        <v>-0.49932782677006871</v>
      </c>
      <c r="G8" s="339"/>
      <c r="H8" s="541"/>
      <c r="I8" s="541"/>
      <c r="J8" s="339"/>
      <c r="K8" s="339"/>
      <c r="L8" s="344"/>
    </row>
    <row r="9" spans="1:12" s="299" customFormat="1" ht="9" customHeight="1">
      <c r="A9" s="521" t="s">
        <v>458</v>
      </c>
      <c r="B9" s="400"/>
      <c r="C9" s="401">
        <v>9.9996899999999993</v>
      </c>
      <c r="D9" s="401">
        <v>19.972529999999999</v>
      </c>
      <c r="E9" s="401">
        <v>9.9996899999999993</v>
      </c>
      <c r="F9" s="786">
        <f t="shared" si="0"/>
        <v>-0.49932782677006871</v>
      </c>
      <c r="G9" s="339"/>
      <c r="H9" s="541"/>
      <c r="I9" s="541"/>
      <c r="J9" s="339"/>
      <c r="K9" s="339"/>
      <c r="L9" s="343"/>
    </row>
    <row r="10" spans="1:12" s="299" customFormat="1" ht="9" customHeight="1">
      <c r="A10" s="520" t="s">
        <v>104</v>
      </c>
      <c r="B10" s="299" t="s">
        <v>81</v>
      </c>
      <c r="C10" s="493">
        <v>0</v>
      </c>
      <c r="D10" s="493">
        <v>13.233359999999999</v>
      </c>
      <c r="E10" s="493">
        <v>0</v>
      </c>
      <c r="F10" s="787">
        <f t="shared" si="0"/>
        <v>-1</v>
      </c>
      <c r="G10" s="339"/>
      <c r="H10" s="541"/>
      <c r="I10" s="541"/>
      <c r="J10" s="339"/>
      <c r="K10" s="339"/>
      <c r="L10" s="343"/>
    </row>
    <row r="11" spans="1:12" s="299" customFormat="1" ht="9" customHeight="1">
      <c r="A11" s="521" t="s">
        <v>459</v>
      </c>
      <c r="B11" s="400"/>
      <c r="C11" s="401">
        <v>0</v>
      </c>
      <c r="D11" s="401">
        <v>13.233359999999999</v>
      </c>
      <c r="E11" s="401">
        <v>0</v>
      </c>
      <c r="F11" s="786">
        <f t="shared" si="0"/>
        <v>-1</v>
      </c>
      <c r="G11" s="339"/>
      <c r="H11" s="541"/>
      <c r="I11" s="541"/>
      <c r="J11" s="339"/>
      <c r="K11" s="339"/>
      <c r="L11" s="343"/>
    </row>
    <row r="12" spans="1:12" s="299" customFormat="1" ht="9" customHeight="1">
      <c r="A12" s="520" t="s">
        <v>400</v>
      </c>
      <c r="B12" s="299" t="s">
        <v>402</v>
      </c>
      <c r="C12" s="493">
        <v>16.150320000000001</v>
      </c>
      <c r="D12" s="493">
        <v>19.175850000000001</v>
      </c>
      <c r="E12" s="493">
        <v>16.150320000000001</v>
      </c>
      <c r="F12" s="787">
        <f t="shared" si="0"/>
        <v>-0.15777814282026614</v>
      </c>
      <c r="G12" s="339"/>
      <c r="H12" s="541"/>
      <c r="I12" s="541"/>
      <c r="J12" s="339"/>
      <c r="K12" s="339"/>
      <c r="L12" s="343"/>
    </row>
    <row r="13" spans="1:12" s="299" customFormat="1" ht="9" customHeight="1">
      <c r="A13" s="521" t="s">
        <v>460</v>
      </c>
      <c r="B13" s="400"/>
      <c r="C13" s="401">
        <v>16.150320000000001</v>
      </c>
      <c r="D13" s="401">
        <v>19.175850000000001</v>
      </c>
      <c r="E13" s="401">
        <v>16.150320000000001</v>
      </c>
      <c r="F13" s="786">
        <f t="shared" si="0"/>
        <v>-0.15777814282026614</v>
      </c>
      <c r="G13" s="339"/>
      <c r="H13" s="541"/>
      <c r="I13" s="541"/>
      <c r="J13" s="339"/>
      <c r="K13" s="339"/>
      <c r="L13" s="343"/>
    </row>
    <row r="14" spans="1:12" s="299" customFormat="1" ht="9" customHeight="1">
      <c r="A14" s="520" t="s">
        <v>449</v>
      </c>
      <c r="B14" s="299" t="s">
        <v>73</v>
      </c>
      <c r="C14" s="493">
        <v>1.2694399999999999</v>
      </c>
      <c r="D14" s="493">
        <v>0.52566999999999997</v>
      </c>
      <c r="E14" s="493">
        <v>1.2694399999999999</v>
      </c>
      <c r="F14" s="787">
        <f t="shared" si="0"/>
        <v>1.4148990811725985</v>
      </c>
      <c r="G14" s="339"/>
      <c r="H14" s="541"/>
      <c r="I14" s="541"/>
      <c r="J14" s="339"/>
      <c r="K14" s="339"/>
      <c r="L14" s="343"/>
    </row>
    <row r="15" spans="1:12" s="299" customFormat="1" ht="9" customHeight="1">
      <c r="A15" s="521" t="s">
        <v>461</v>
      </c>
      <c r="B15" s="400"/>
      <c r="C15" s="401">
        <v>1.2694399999999999</v>
      </c>
      <c r="D15" s="401">
        <v>0.52566999999999997</v>
      </c>
      <c r="E15" s="401">
        <v>1.2694399999999999</v>
      </c>
      <c r="F15" s="786">
        <f t="shared" si="0"/>
        <v>1.4148990811725985</v>
      </c>
      <c r="G15" s="339"/>
      <c r="H15" s="541"/>
      <c r="I15" s="541"/>
      <c r="J15" s="339"/>
      <c r="K15" s="339"/>
      <c r="L15" s="343"/>
    </row>
    <row r="16" spans="1:12" s="299" customFormat="1" ht="9" customHeight="1">
      <c r="A16" s="520" t="s">
        <v>430</v>
      </c>
      <c r="B16" s="299" t="s">
        <v>436</v>
      </c>
      <c r="C16" s="493">
        <v>8.25</v>
      </c>
      <c r="D16" s="493">
        <v>9.4425799999999995</v>
      </c>
      <c r="E16" s="493">
        <v>8.25</v>
      </c>
      <c r="F16" s="787">
        <f t="shared" si="0"/>
        <v>-0.12629810920320506</v>
      </c>
      <c r="G16" s="339"/>
      <c r="H16" s="541"/>
      <c r="I16" s="541"/>
      <c r="J16" s="339"/>
      <c r="K16" s="339"/>
      <c r="L16" s="343"/>
    </row>
    <row r="17" spans="1:16" s="299" customFormat="1" ht="9" customHeight="1">
      <c r="A17" s="521" t="s">
        <v>462</v>
      </c>
      <c r="B17" s="400"/>
      <c r="C17" s="401">
        <v>8.25</v>
      </c>
      <c r="D17" s="401">
        <v>9.4425799999999995</v>
      </c>
      <c r="E17" s="401">
        <v>8.25</v>
      </c>
      <c r="F17" s="786">
        <f t="shared" si="0"/>
        <v>-0.12629810920320506</v>
      </c>
      <c r="G17" s="339"/>
      <c r="H17" s="541"/>
      <c r="I17" s="541"/>
      <c r="J17" s="339"/>
      <c r="K17" s="339"/>
      <c r="L17" s="344"/>
    </row>
    <row r="18" spans="1:16" s="299" customFormat="1" ht="9" customHeight="1">
      <c r="A18" s="520" t="s">
        <v>92</v>
      </c>
      <c r="B18" s="299" t="s">
        <v>269</v>
      </c>
      <c r="C18" s="493">
        <v>160.30700000000002</v>
      </c>
      <c r="D18" s="493">
        <v>204.80700000000002</v>
      </c>
      <c r="E18" s="493">
        <v>160.30700000000002</v>
      </c>
      <c r="F18" s="787">
        <f t="shared" si="0"/>
        <v>-0.21727772976509585</v>
      </c>
      <c r="G18" s="339"/>
      <c r="H18" s="541"/>
      <c r="I18" s="541"/>
      <c r="J18" s="339"/>
      <c r="K18" s="339"/>
      <c r="L18" s="344"/>
    </row>
    <row r="19" spans="1:16" s="299" customFormat="1" ht="9" customHeight="1">
      <c r="A19" s="521" t="s">
        <v>463</v>
      </c>
      <c r="B19" s="400"/>
      <c r="C19" s="401">
        <v>160.30700000000002</v>
      </c>
      <c r="D19" s="401">
        <v>204.80700000000002</v>
      </c>
      <c r="E19" s="401">
        <v>160.30700000000002</v>
      </c>
      <c r="F19" s="786">
        <f t="shared" si="0"/>
        <v>-0.21727772976509585</v>
      </c>
      <c r="G19" s="339"/>
      <c r="H19" s="541"/>
      <c r="I19" s="541"/>
      <c r="J19" s="339"/>
      <c r="K19" s="339"/>
      <c r="L19" s="344"/>
    </row>
    <row r="20" spans="1:16" s="299" customFormat="1" ht="9" customHeight="1">
      <c r="A20" s="520" t="s">
        <v>451</v>
      </c>
      <c r="B20" s="299" t="s">
        <v>308</v>
      </c>
      <c r="C20" s="493">
        <v>19.727370000000001</v>
      </c>
      <c r="D20" s="493">
        <v>19.82855</v>
      </c>
      <c r="E20" s="493">
        <v>19.727370000000001</v>
      </c>
      <c r="F20" s="787">
        <f t="shared" si="0"/>
        <v>-5.1027432666533867E-3</v>
      </c>
      <c r="G20" s="339"/>
      <c r="H20" s="541"/>
      <c r="I20" s="541"/>
      <c r="J20" s="339"/>
      <c r="K20" s="339"/>
      <c r="L20" s="339"/>
      <c r="M20" s="339"/>
      <c r="N20" s="339"/>
      <c r="O20" s="339"/>
      <c r="P20" s="339"/>
    </row>
    <row r="21" spans="1:16" s="299" customFormat="1" ht="9" customHeight="1">
      <c r="A21" s="521" t="s">
        <v>464</v>
      </c>
      <c r="B21" s="400"/>
      <c r="C21" s="401">
        <v>19.727370000000001</v>
      </c>
      <c r="D21" s="401">
        <v>19.82855</v>
      </c>
      <c r="E21" s="401">
        <v>19.727370000000001</v>
      </c>
      <c r="F21" s="786">
        <f t="shared" si="0"/>
        <v>-5.1027432666533867E-3</v>
      </c>
      <c r="G21" s="339"/>
      <c r="H21" s="541"/>
      <c r="I21" s="541"/>
      <c r="J21" s="339"/>
      <c r="K21" s="339"/>
      <c r="L21" s="339"/>
      <c r="M21" s="339"/>
      <c r="N21" s="339"/>
      <c r="O21" s="339"/>
      <c r="P21" s="339"/>
    </row>
    <row r="22" spans="1:16" s="299" customFormat="1" ht="9" customHeight="1">
      <c r="A22" s="520" t="s">
        <v>521</v>
      </c>
      <c r="B22" s="299" t="s">
        <v>529</v>
      </c>
      <c r="C22" s="493">
        <v>0.13542000000000001</v>
      </c>
      <c r="D22" s="493">
        <v>1.1677999999999999</v>
      </c>
      <c r="E22" s="493">
        <v>0.13542000000000001</v>
      </c>
      <c r="F22" s="787">
        <f t="shared" si="0"/>
        <v>-0.8840383627333448</v>
      </c>
      <c r="G22" s="339"/>
      <c r="H22" s="541"/>
      <c r="I22" s="541"/>
      <c r="J22" s="339"/>
      <c r="K22" s="339"/>
      <c r="L22" s="343"/>
    </row>
    <row r="23" spans="1:16" s="299" customFormat="1" ht="9" customHeight="1">
      <c r="A23" s="520"/>
      <c r="B23" s="299" t="s">
        <v>530</v>
      </c>
      <c r="C23" s="493">
        <v>0.77327000000000001</v>
      </c>
      <c r="D23" s="493">
        <v>1.98715</v>
      </c>
      <c r="E23" s="493">
        <v>0.77327000000000001</v>
      </c>
      <c r="F23" s="787">
        <f t="shared" si="0"/>
        <v>-0.61086480638099783</v>
      </c>
      <c r="G23" s="339"/>
      <c r="H23" s="541"/>
      <c r="I23" s="541"/>
      <c r="J23" s="339"/>
      <c r="K23" s="339"/>
      <c r="L23" s="343"/>
    </row>
    <row r="24" spans="1:16" s="299" customFormat="1" ht="9" customHeight="1">
      <c r="A24" s="521" t="s">
        <v>523</v>
      </c>
      <c r="B24" s="400"/>
      <c r="C24" s="401">
        <v>0.90869</v>
      </c>
      <c r="D24" s="401">
        <v>3.1549499999999999</v>
      </c>
      <c r="E24" s="401">
        <v>0.90869</v>
      </c>
      <c r="F24" s="786">
        <f t="shared" si="0"/>
        <v>-0.71197958763213365</v>
      </c>
      <c r="G24" s="339"/>
      <c r="H24" s="541"/>
      <c r="I24" s="541"/>
      <c r="J24" s="339"/>
      <c r="K24" s="339"/>
      <c r="L24" s="343"/>
    </row>
    <row r="25" spans="1:16" s="299" customFormat="1" ht="9" customHeight="1">
      <c r="A25" s="520" t="s">
        <v>229</v>
      </c>
      <c r="B25" s="299" t="s">
        <v>270</v>
      </c>
      <c r="C25" s="493">
        <v>0</v>
      </c>
      <c r="D25" s="493">
        <v>0</v>
      </c>
      <c r="E25" s="493">
        <v>0</v>
      </c>
      <c r="F25" s="787" t="str">
        <f t="shared" si="0"/>
        <v/>
      </c>
      <c r="G25" s="339"/>
      <c r="H25" s="541"/>
      <c r="I25" s="541"/>
      <c r="J25" s="339"/>
      <c r="K25" s="339"/>
      <c r="L25" s="343"/>
    </row>
    <row r="26" spans="1:16" s="299" customFormat="1" ht="9" customHeight="1">
      <c r="A26" s="521" t="s">
        <v>465</v>
      </c>
      <c r="B26" s="400"/>
      <c r="C26" s="401">
        <v>0</v>
      </c>
      <c r="D26" s="401">
        <v>0</v>
      </c>
      <c r="E26" s="401">
        <v>0</v>
      </c>
      <c r="F26" s="786" t="str">
        <f t="shared" si="0"/>
        <v/>
      </c>
      <c r="G26" s="339"/>
      <c r="H26" s="541"/>
      <c r="I26" s="541"/>
      <c r="J26" s="339"/>
      <c r="K26" s="339"/>
      <c r="L26" s="343"/>
    </row>
    <row r="27" spans="1:16" s="299" customFormat="1" ht="9" customHeight="1">
      <c r="A27" s="520" t="s">
        <v>91</v>
      </c>
      <c r="B27" s="299" t="s">
        <v>271</v>
      </c>
      <c r="C27" s="493">
        <v>134.828</v>
      </c>
      <c r="D27" s="493">
        <v>127.017</v>
      </c>
      <c r="E27" s="493">
        <v>134.828</v>
      </c>
      <c r="F27" s="787">
        <f t="shared" si="0"/>
        <v>6.1495705299290604E-2</v>
      </c>
      <c r="G27" s="339"/>
      <c r="H27" s="541"/>
      <c r="I27" s="541"/>
      <c r="J27" s="339"/>
      <c r="K27" s="339"/>
      <c r="L27" s="343"/>
    </row>
    <row r="28" spans="1:16" s="299" customFormat="1" ht="9" customHeight="1">
      <c r="A28" s="520"/>
      <c r="B28" s="299" t="s">
        <v>272</v>
      </c>
      <c r="C28" s="493">
        <v>38.344999999999999</v>
      </c>
      <c r="D28" s="493">
        <v>41.948</v>
      </c>
      <c r="E28" s="493">
        <v>38.344999999999999</v>
      </c>
      <c r="F28" s="787">
        <f t="shared" si="0"/>
        <v>-8.5892056832268526E-2</v>
      </c>
      <c r="G28" s="339"/>
      <c r="H28" s="541"/>
      <c r="I28" s="541"/>
      <c r="J28" s="339"/>
      <c r="K28" s="339"/>
      <c r="L28" s="343"/>
    </row>
    <row r="29" spans="1:16" s="299" customFormat="1" ht="9" customHeight="1">
      <c r="A29" s="521" t="s">
        <v>466</v>
      </c>
      <c r="B29" s="400"/>
      <c r="C29" s="401">
        <v>173.173</v>
      </c>
      <c r="D29" s="401">
        <v>168.965</v>
      </c>
      <c r="E29" s="401">
        <v>173.173</v>
      </c>
      <c r="F29" s="786">
        <f t="shared" si="0"/>
        <v>2.4904566034385844E-2</v>
      </c>
      <c r="G29" s="339"/>
      <c r="H29" s="541"/>
      <c r="I29" s="541"/>
      <c r="J29" s="339"/>
      <c r="K29" s="339"/>
      <c r="L29" s="345"/>
    </row>
    <row r="30" spans="1:16" s="299" customFormat="1" ht="9" customHeight="1">
      <c r="A30" s="520" t="s">
        <v>522</v>
      </c>
      <c r="B30" s="299" t="s">
        <v>531</v>
      </c>
      <c r="C30" s="493">
        <v>1.4E-2</v>
      </c>
      <c r="D30" s="493">
        <v>0</v>
      </c>
      <c r="E30" s="493">
        <v>1.4E-2</v>
      </c>
      <c r="F30" s="787" t="str">
        <f t="shared" si="0"/>
        <v/>
      </c>
      <c r="G30" s="339"/>
      <c r="H30" s="541"/>
      <c r="I30" s="541"/>
      <c r="J30" s="339"/>
      <c r="K30" s="339"/>
      <c r="L30" s="343"/>
    </row>
    <row r="31" spans="1:16" s="299" customFormat="1" ht="9" customHeight="1">
      <c r="A31" s="521" t="s">
        <v>524</v>
      </c>
      <c r="B31" s="400"/>
      <c r="C31" s="401">
        <v>1.4E-2</v>
      </c>
      <c r="D31" s="401">
        <v>0</v>
      </c>
      <c r="E31" s="401">
        <v>1.4E-2</v>
      </c>
      <c r="F31" s="786" t="str">
        <f t="shared" si="0"/>
        <v/>
      </c>
      <c r="G31" s="339"/>
      <c r="H31" s="541"/>
      <c r="I31" s="541"/>
      <c r="J31" s="339"/>
      <c r="K31" s="339"/>
      <c r="L31" s="343"/>
    </row>
    <row r="32" spans="1:16" s="299" customFormat="1" ht="9" customHeight="1">
      <c r="A32" s="520" t="s">
        <v>89</v>
      </c>
      <c r="B32" s="299" t="s">
        <v>273</v>
      </c>
      <c r="C32" s="493">
        <v>1.6494900000000001</v>
      </c>
      <c r="D32" s="493">
        <v>1.6803300000000001</v>
      </c>
      <c r="E32" s="493">
        <v>1.6494900000000001</v>
      </c>
      <c r="F32" s="787">
        <f t="shared" si="0"/>
        <v>-1.8353537697952227E-2</v>
      </c>
      <c r="G32" s="339"/>
      <c r="H32" s="541"/>
      <c r="I32" s="541"/>
      <c r="J32" s="339"/>
      <c r="K32" s="339"/>
      <c r="L32" s="343"/>
    </row>
    <row r="33" spans="1:12" s="299" customFormat="1" ht="9" customHeight="1">
      <c r="A33" s="520"/>
      <c r="B33" s="299" t="s">
        <v>274</v>
      </c>
      <c r="C33" s="493">
        <v>0.37789</v>
      </c>
      <c r="D33" s="493">
        <v>0.57155999999999996</v>
      </c>
      <c r="E33" s="493">
        <v>0.37789</v>
      </c>
      <c r="F33" s="787">
        <f t="shared" si="0"/>
        <v>-0.33884456574987742</v>
      </c>
      <c r="G33" s="339"/>
      <c r="H33" s="541"/>
      <c r="I33" s="541"/>
      <c r="J33" s="339"/>
      <c r="K33" s="339"/>
      <c r="L33" s="345"/>
    </row>
    <row r="34" spans="1:12" s="299" customFormat="1" ht="9" customHeight="1">
      <c r="A34" s="520"/>
      <c r="B34" s="299" t="s">
        <v>275</v>
      </c>
      <c r="C34" s="493">
        <v>4.70024</v>
      </c>
      <c r="D34" s="493">
        <v>4.6758300000000004</v>
      </c>
      <c r="E34" s="493">
        <v>4.70024</v>
      </c>
      <c r="F34" s="787">
        <f t="shared" si="0"/>
        <v>5.2204635326775772E-3</v>
      </c>
      <c r="G34" s="339"/>
      <c r="H34" s="541"/>
      <c r="I34" s="541"/>
      <c r="J34" s="339"/>
      <c r="K34" s="339"/>
      <c r="L34" s="343"/>
    </row>
    <row r="35" spans="1:12" s="299" customFormat="1" ht="9" customHeight="1">
      <c r="A35" s="520"/>
      <c r="B35" s="299" t="s">
        <v>276</v>
      </c>
      <c r="C35" s="493">
        <v>10.933490000000001</v>
      </c>
      <c r="D35" s="493">
        <v>13.87904</v>
      </c>
      <c r="E35" s="493">
        <v>10.933490000000001</v>
      </c>
      <c r="F35" s="787">
        <f t="shared" si="0"/>
        <v>-0.21223009660610526</v>
      </c>
      <c r="G35" s="339"/>
      <c r="H35" s="541"/>
      <c r="I35" s="541"/>
      <c r="J35" s="339"/>
      <c r="K35" s="339"/>
      <c r="L35" s="343"/>
    </row>
    <row r="36" spans="1:12" s="299" customFormat="1" ht="9" customHeight="1">
      <c r="A36" s="520"/>
      <c r="B36" s="299" t="s">
        <v>277</v>
      </c>
      <c r="C36" s="493">
        <v>44.75421</v>
      </c>
      <c r="D36" s="493">
        <v>80.446820000000002</v>
      </c>
      <c r="E36" s="493">
        <v>44.75421</v>
      </c>
      <c r="F36" s="787">
        <f t="shared" si="0"/>
        <v>-0.44367956371675099</v>
      </c>
      <c r="G36" s="339"/>
      <c r="H36" s="541"/>
      <c r="I36" s="541"/>
      <c r="J36" s="339"/>
      <c r="K36" s="339"/>
      <c r="L36" s="343"/>
    </row>
    <row r="37" spans="1:12" s="299" customFormat="1" ht="9" customHeight="1">
      <c r="A37" s="520"/>
      <c r="B37" s="299" t="s">
        <v>278</v>
      </c>
      <c r="C37" s="493">
        <v>6.6018499999999998</v>
      </c>
      <c r="D37" s="493">
        <v>8.2111900000000002</v>
      </c>
      <c r="E37" s="493">
        <v>6.6018499999999998</v>
      </c>
      <c r="F37" s="787">
        <f t="shared" si="0"/>
        <v>-0.19599351616513572</v>
      </c>
      <c r="G37" s="339"/>
      <c r="H37" s="541"/>
      <c r="I37" s="541"/>
      <c r="J37" s="339"/>
      <c r="K37" s="339"/>
      <c r="L37" s="343"/>
    </row>
    <row r="38" spans="1:12" s="299" customFormat="1" ht="9" customHeight="1">
      <c r="A38" s="520"/>
      <c r="B38" s="299" t="s">
        <v>279</v>
      </c>
      <c r="C38" s="493">
        <v>0</v>
      </c>
      <c r="D38" s="493">
        <v>0</v>
      </c>
      <c r="E38" s="493">
        <v>0</v>
      </c>
      <c r="F38" s="787" t="str">
        <f t="shared" si="0"/>
        <v/>
      </c>
      <c r="G38" s="339"/>
      <c r="H38" s="541"/>
      <c r="I38" s="541"/>
      <c r="J38" s="339"/>
      <c r="K38" s="339"/>
      <c r="L38" s="343"/>
    </row>
    <row r="39" spans="1:12" s="299" customFormat="1" ht="9" customHeight="1">
      <c r="A39" s="520"/>
      <c r="B39" s="299" t="s">
        <v>280</v>
      </c>
      <c r="C39" s="493">
        <v>0</v>
      </c>
      <c r="D39" s="493">
        <v>0</v>
      </c>
      <c r="E39" s="493">
        <v>0</v>
      </c>
      <c r="F39" s="787" t="str">
        <f t="shared" si="0"/>
        <v/>
      </c>
      <c r="G39" s="339"/>
      <c r="H39" s="541"/>
      <c r="I39" s="541"/>
      <c r="J39" s="339"/>
      <c r="K39" s="339"/>
      <c r="L39" s="343"/>
    </row>
    <row r="40" spans="1:12" s="299" customFormat="1" ht="9" customHeight="1">
      <c r="A40" s="521" t="s">
        <v>467</v>
      </c>
      <c r="B40" s="400"/>
      <c r="C40" s="401">
        <v>69.017170000000007</v>
      </c>
      <c r="D40" s="401">
        <v>109.46477</v>
      </c>
      <c r="E40" s="401">
        <v>69.017170000000007</v>
      </c>
      <c r="F40" s="786">
        <f t="shared" si="0"/>
        <v>-0.36950335710749671</v>
      </c>
      <c r="G40" s="339"/>
      <c r="H40" s="541"/>
      <c r="I40" s="541"/>
      <c r="J40" s="339"/>
      <c r="K40" s="339"/>
      <c r="L40" s="343"/>
    </row>
    <row r="41" spans="1:12" s="299" customFormat="1" ht="9" customHeight="1">
      <c r="A41" s="520" t="s">
        <v>110</v>
      </c>
      <c r="B41" s="299" t="s">
        <v>68</v>
      </c>
      <c r="C41" s="493">
        <v>4.3477100000000002</v>
      </c>
      <c r="D41" s="493">
        <v>5.1179000000000006</v>
      </c>
      <c r="E41" s="493">
        <v>4.3477100000000002</v>
      </c>
      <c r="F41" s="787">
        <f t="shared" si="0"/>
        <v>-0.15048945856699047</v>
      </c>
      <c r="G41" s="339"/>
      <c r="H41" s="541"/>
      <c r="I41" s="541"/>
      <c r="J41" s="339"/>
      <c r="K41" s="339"/>
      <c r="L41" s="343"/>
    </row>
    <row r="42" spans="1:12" s="299" customFormat="1" ht="9" customHeight="1">
      <c r="A42" s="521" t="s">
        <v>468</v>
      </c>
      <c r="B42" s="400"/>
      <c r="C42" s="401">
        <v>4.3477100000000002</v>
      </c>
      <c r="D42" s="401">
        <v>5.1179000000000006</v>
      </c>
      <c r="E42" s="401">
        <v>4.3477100000000002</v>
      </c>
      <c r="F42" s="786">
        <f t="shared" si="0"/>
        <v>-0.15048945856699047</v>
      </c>
      <c r="G42" s="339"/>
      <c r="H42" s="541"/>
      <c r="I42" s="541"/>
      <c r="J42" s="339"/>
      <c r="K42" s="339"/>
      <c r="L42" s="343"/>
    </row>
    <row r="43" spans="1:12" s="299" customFormat="1" ht="9" customHeight="1">
      <c r="A43" s="520" t="s">
        <v>90</v>
      </c>
      <c r="B43" s="299" t="s">
        <v>281</v>
      </c>
      <c r="C43" s="493">
        <v>166.03899999999999</v>
      </c>
      <c r="D43" s="493">
        <v>162.03138999999999</v>
      </c>
      <c r="E43" s="493">
        <v>166.03899999999999</v>
      </c>
      <c r="F43" s="787">
        <f t="shared" si="0"/>
        <v>2.4733540828107525E-2</v>
      </c>
      <c r="G43" s="339"/>
      <c r="H43" s="541"/>
      <c r="I43" s="541"/>
      <c r="J43" s="339"/>
      <c r="K43" s="339"/>
      <c r="L43" s="343"/>
    </row>
    <row r="44" spans="1:12" s="299" customFormat="1" ht="9" customHeight="1">
      <c r="A44" s="521" t="s">
        <v>469</v>
      </c>
      <c r="B44" s="400"/>
      <c r="C44" s="401">
        <v>166.03899999999999</v>
      </c>
      <c r="D44" s="401">
        <v>162.03138999999999</v>
      </c>
      <c r="E44" s="401">
        <v>166.03899999999999</v>
      </c>
      <c r="F44" s="786">
        <f t="shared" si="0"/>
        <v>2.4733540828107525E-2</v>
      </c>
      <c r="G44" s="339"/>
      <c r="H44" s="541"/>
      <c r="I44" s="541"/>
      <c r="J44" s="339"/>
      <c r="K44" s="339"/>
      <c r="L44" s="343"/>
    </row>
    <row r="45" spans="1:12" s="299" customFormat="1" ht="9" customHeight="1">
      <c r="A45" s="520" t="s">
        <v>99</v>
      </c>
      <c r="B45" s="299" t="s">
        <v>282</v>
      </c>
      <c r="C45" s="493">
        <v>4.29575</v>
      </c>
      <c r="D45" s="493">
        <v>16.270449999999997</v>
      </c>
      <c r="E45" s="493">
        <v>4.29575</v>
      </c>
      <c r="F45" s="787">
        <f t="shared" si="0"/>
        <v>-0.73597841485638071</v>
      </c>
      <c r="G45" s="339"/>
      <c r="H45" s="541"/>
      <c r="I45" s="541"/>
      <c r="J45" s="339"/>
      <c r="K45" s="339"/>
      <c r="L45" s="346"/>
    </row>
    <row r="46" spans="1:12" s="299" customFormat="1" ht="9" customHeight="1">
      <c r="A46" s="520"/>
      <c r="B46" s="299" t="s">
        <v>283</v>
      </c>
      <c r="C46" s="493">
        <v>0</v>
      </c>
      <c r="D46" s="493">
        <v>9.3239199999999993</v>
      </c>
      <c r="E46" s="493">
        <v>0</v>
      </c>
      <c r="F46" s="787">
        <f t="shared" si="0"/>
        <v>-1</v>
      </c>
      <c r="G46" s="339"/>
      <c r="H46" s="541"/>
      <c r="I46" s="541"/>
      <c r="J46" s="339"/>
      <c r="K46" s="339"/>
      <c r="L46" s="343"/>
    </row>
    <row r="47" spans="1:12" s="299" customFormat="1" ht="9" customHeight="1">
      <c r="A47" s="520"/>
      <c r="B47" s="299" t="s">
        <v>284</v>
      </c>
      <c r="C47" s="493">
        <v>21.82545</v>
      </c>
      <c r="D47" s="493">
        <v>22.537839999999999</v>
      </c>
      <c r="E47" s="493">
        <v>21.82545</v>
      </c>
      <c r="F47" s="787">
        <f t="shared" si="0"/>
        <v>-3.1608619104581459E-2</v>
      </c>
      <c r="G47" s="339"/>
      <c r="H47" s="541"/>
      <c r="I47" s="541"/>
      <c r="J47" s="339"/>
      <c r="K47" s="339"/>
      <c r="L47" s="343"/>
    </row>
    <row r="48" spans="1:12" s="299" customFormat="1" ht="9" customHeight="1">
      <c r="A48" s="521" t="s">
        <v>470</v>
      </c>
      <c r="B48" s="400"/>
      <c r="C48" s="401">
        <v>26.121200000000002</v>
      </c>
      <c r="D48" s="401">
        <v>48.132210000000001</v>
      </c>
      <c r="E48" s="401">
        <v>26.121200000000002</v>
      </c>
      <c r="F48" s="786">
        <f t="shared" si="0"/>
        <v>-0.45730312404105278</v>
      </c>
      <c r="G48" s="339"/>
      <c r="H48" s="541"/>
      <c r="I48" s="541"/>
      <c r="J48" s="339"/>
      <c r="K48" s="339"/>
      <c r="L48" s="343"/>
    </row>
    <row r="49" spans="1:12" s="299" customFormat="1" ht="9" customHeight="1">
      <c r="A49" s="520" t="s">
        <v>111</v>
      </c>
      <c r="B49" s="299" t="s">
        <v>71</v>
      </c>
      <c r="C49" s="493">
        <v>3.5679999999999996</v>
      </c>
      <c r="D49" s="493">
        <v>3.7050000000000001</v>
      </c>
      <c r="E49" s="493">
        <v>3.5679999999999996</v>
      </c>
      <c r="F49" s="787">
        <f t="shared" si="0"/>
        <v>-3.6977058029689758E-2</v>
      </c>
      <c r="G49" s="339"/>
      <c r="H49" s="541"/>
      <c r="I49" s="541"/>
      <c r="J49" s="339"/>
      <c r="K49" s="339"/>
      <c r="L49" s="343"/>
    </row>
    <row r="50" spans="1:12" s="299" customFormat="1" ht="9" customHeight="1">
      <c r="A50" s="521" t="s">
        <v>471</v>
      </c>
      <c r="B50" s="400"/>
      <c r="C50" s="401">
        <v>3.5679999999999996</v>
      </c>
      <c r="D50" s="401">
        <v>3.7050000000000001</v>
      </c>
      <c r="E50" s="401">
        <v>3.5679999999999996</v>
      </c>
      <c r="F50" s="786">
        <f t="shared" si="0"/>
        <v>-3.6977058029689758E-2</v>
      </c>
      <c r="G50" s="339"/>
      <c r="H50" s="541"/>
      <c r="I50" s="541"/>
      <c r="J50" s="339"/>
      <c r="K50" s="339"/>
      <c r="L50" s="343"/>
    </row>
    <row r="51" spans="1:12" s="299" customFormat="1" ht="9" customHeight="1">
      <c r="A51" s="520" t="s">
        <v>87</v>
      </c>
      <c r="B51" s="299" t="s">
        <v>285</v>
      </c>
      <c r="C51" s="493">
        <v>616.58400000000006</v>
      </c>
      <c r="D51" s="493">
        <v>649.98</v>
      </c>
      <c r="E51" s="493">
        <v>616.58400000000006</v>
      </c>
      <c r="F51" s="787">
        <f t="shared" si="0"/>
        <v>-5.1380042462844999E-2</v>
      </c>
      <c r="G51" s="339"/>
      <c r="H51" s="541"/>
      <c r="I51" s="541"/>
      <c r="J51" s="339"/>
      <c r="K51" s="339"/>
      <c r="L51" s="343"/>
    </row>
    <row r="52" spans="1:12" s="299" customFormat="1" ht="9" customHeight="1">
      <c r="A52" s="520"/>
      <c r="B52" s="299" t="s">
        <v>286</v>
      </c>
      <c r="C52" s="493">
        <v>202.29696000000001</v>
      </c>
      <c r="D52" s="493">
        <v>214.30848</v>
      </c>
      <c r="E52" s="493">
        <v>202.29696000000001</v>
      </c>
      <c r="F52" s="787">
        <f t="shared" si="0"/>
        <v>-5.6047805481145629E-2</v>
      </c>
      <c r="G52" s="339"/>
      <c r="H52" s="541"/>
      <c r="I52" s="541"/>
      <c r="J52" s="339"/>
      <c r="K52" s="339"/>
    </row>
    <row r="53" spans="1:12" s="299" customFormat="1" ht="9" customHeight="1">
      <c r="A53" s="521" t="s">
        <v>472</v>
      </c>
      <c r="B53" s="400"/>
      <c r="C53" s="401">
        <v>818.88096000000007</v>
      </c>
      <c r="D53" s="401">
        <v>864.28848000000005</v>
      </c>
      <c r="E53" s="401">
        <v>818.88096000000007</v>
      </c>
      <c r="F53" s="786">
        <f t="shared" si="0"/>
        <v>-5.2537458326414321E-2</v>
      </c>
      <c r="G53" s="339"/>
      <c r="H53" s="541"/>
      <c r="I53" s="541"/>
      <c r="J53" s="339"/>
      <c r="K53" s="339"/>
    </row>
    <row r="54" spans="1:12" s="299" customFormat="1" ht="9" customHeight="1">
      <c r="A54" s="520" t="s">
        <v>230</v>
      </c>
      <c r="B54" s="299" t="s">
        <v>287</v>
      </c>
      <c r="C54" s="493">
        <v>314.58367999999996</v>
      </c>
      <c r="D54" s="493">
        <v>463.06226000000004</v>
      </c>
      <c r="E54" s="493">
        <v>314.58367999999996</v>
      </c>
      <c r="F54" s="787">
        <f t="shared" si="0"/>
        <v>-0.32064496035587109</v>
      </c>
      <c r="G54" s="339"/>
      <c r="H54" s="541"/>
      <c r="I54" s="541"/>
      <c r="J54" s="339"/>
      <c r="K54" s="339"/>
    </row>
    <row r="55" spans="1:12" s="299" customFormat="1" ht="9" customHeight="1">
      <c r="A55" s="520"/>
      <c r="B55" s="299" t="s">
        <v>288</v>
      </c>
      <c r="C55" s="493">
        <v>6.45817</v>
      </c>
      <c r="D55" s="493">
        <v>6.4502100000000002</v>
      </c>
      <c r="E55" s="493">
        <v>6.45817</v>
      </c>
      <c r="F55" s="787">
        <f t="shared" si="0"/>
        <v>1.2340683481621983E-3</v>
      </c>
      <c r="G55" s="339"/>
      <c r="H55" s="541"/>
      <c r="I55" s="541"/>
      <c r="J55" s="339"/>
      <c r="K55" s="339"/>
    </row>
    <row r="56" spans="1:12" s="299" customFormat="1" ht="9" customHeight="1">
      <c r="A56" s="521" t="s">
        <v>473</v>
      </c>
      <c r="B56" s="400"/>
      <c r="C56" s="401">
        <v>321.04184999999995</v>
      </c>
      <c r="D56" s="401">
        <v>469.51247000000006</v>
      </c>
      <c r="E56" s="401">
        <v>321.04184999999995</v>
      </c>
      <c r="F56" s="786">
        <f t="shared" si="0"/>
        <v>-0.31622295356713337</v>
      </c>
      <c r="G56" s="339"/>
      <c r="H56" s="541"/>
      <c r="I56" s="541"/>
      <c r="J56" s="339"/>
      <c r="K56" s="339"/>
    </row>
    <row r="57" spans="1:12" s="299" customFormat="1" ht="9" customHeight="1">
      <c r="A57" s="520" t="s">
        <v>231</v>
      </c>
      <c r="B57" s="299" t="s">
        <v>289</v>
      </c>
      <c r="C57" s="493">
        <v>46.626989999999999</v>
      </c>
      <c r="D57" s="493">
        <v>47.372480000000003</v>
      </c>
      <c r="E57" s="493">
        <v>46.626989999999999</v>
      </c>
      <c r="F57" s="787">
        <f t="shared" si="0"/>
        <v>-1.5736773755564482E-2</v>
      </c>
      <c r="G57" s="339"/>
      <c r="H57" s="541"/>
      <c r="I57" s="541"/>
      <c r="J57" s="339"/>
      <c r="K57" s="339"/>
    </row>
    <row r="58" spans="1:12" s="299" customFormat="1" ht="9" customHeight="1">
      <c r="A58" s="521" t="s">
        <v>474</v>
      </c>
      <c r="B58" s="400"/>
      <c r="C58" s="401">
        <v>46.626989999999999</v>
      </c>
      <c r="D58" s="401">
        <v>47.372480000000003</v>
      </c>
      <c r="E58" s="401">
        <v>46.626989999999999</v>
      </c>
      <c r="F58" s="786">
        <f t="shared" si="0"/>
        <v>-1.5736773755564482E-2</v>
      </c>
      <c r="G58" s="339"/>
      <c r="H58" s="541"/>
      <c r="I58" s="541"/>
      <c r="J58" s="339"/>
      <c r="K58" s="339"/>
    </row>
    <row r="59" spans="1:12" s="299" customFormat="1" ht="9" customHeight="1">
      <c r="A59" s="520" t="s">
        <v>450</v>
      </c>
      <c r="B59" s="299" t="s">
        <v>63</v>
      </c>
      <c r="C59" s="493">
        <v>9.6787700000000001</v>
      </c>
      <c r="D59" s="493">
        <v>4.9848800000000004</v>
      </c>
      <c r="E59" s="493">
        <v>9.6787700000000001</v>
      </c>
      <c r="F59" s="787">
        <f t="shared" si="0"/>
        <v>0.94162547543772357</v>
      </c>
      <c r="G59" s="339"/>
      <c r="H59" s="541"/>
      <c r="I59" s="541"/>
      <c r="J59" s="339"/>
      <c r="K59" s="339"/>
    </row>
    <row r="60" spans="1:12" s="299" customFormat="1" ht="9" customHeight="1">
      <c r="A60" s="520"/>
      <c r="B60" s="299" t="s">
        <v>62</v>
      </c>
      <c r="C60" s="493">
        <v>9.9774399999999996</v>
      </c>
      <c r="D60" s="493">
        <v>5.0012299999999996</v>
      </c>
      <c r="E60" s="493">
        <v>9.9774399999999996</v>
      </c>
      <c r="F60" s="787">
        <f t="shared" si="0"/>
        <v>0.99499723068125245</v>
      </c>
      <c r="G60" s="339"/>
      <c r="H60" s="541"/>
      <c r="I60" s="541"/>
      <c r="J60" s="339"/>
      <c r="K60" s="339"/>
    </row>
    <row r="61" spans="1:12" s="299" customFormat="1" ht="9" customHeight="1">
      <c r="A61" s="520"/>
      <c r="B61" s="299" t="s">
        <v>58</v>
      </c>
      <c r="C61" s="493">
        <v>19.921749999999999</v>
      </c>
      <c r="D61" s="493">
        <v>20.179189999999998</v>
      </c>
      <c r="E61" s="493">
        <v>19.921749999999999</v>
      </c>
      <c r="F61" s="787">
        <f t="shared" si="0"/>
        <v>-1.2757697410054614E-2</v>
      </c>
      <c r="G61" s="339"/>
      <c r="H61" s="541"/>
      <c r="I61" s="541"/>
      <c r="J61" s="339"/>
      <c r="K61" s="339"/>
    </row>
    <row r="62" spans="1:12" s="299" customFormat="1" ht="9" customHeight="1">
      <c r="A62" s="520"/>
      <c r="B62" s="299" t="s">
        <v>55</v>
      </c>
      <c r="C62" s="493">
        <v>20.116199999999999</v>
      </c>
      <c r="D62" s="493">
        <v>20.088429999999999</v>
      </c>
      <c r="E62" s="493">
        <v>20.116199999999999</v>
      </c>
      <c r="F62" s="787">
        <f t="shared" si="0"/>
        <v>1.3823877724641331E-3</v>
      </c>
      <c r="G62" s="339"/>
      <c r="H62" s="542"/>
      <c r="I62" s="541"/>
      <c r="J62" s="339"/>
      <c r="K62" s="339"/>
    </row>
    <row r="63" spans="1:12" s="299" customFormat="1" ht="9" customHeight="1">
      <c r="A63" s="520"/>
      <c r="B63" s="299" t="s">
        <v>66</v>
      </c>
      <c r="C63" s="493">
        <v>4.7429600000000001</v>
      </c>
      <c r="D63" s="493">
        <v>5.9581799999999996</v>
      </c>
      <c r="E63" s="493">
        <v>4.7429600000000001</v>
      </c>
      <c r="F63" s="787">
        <f t="shared" si="0"/>
        <v>-0.20395825570895809</v>
      </c>
      <c r="G63" s="339"/>
      <c r="H63" s="542"/>
      <c r="I63" s="541"/>
      <c r="J63" s="339"/>
      <c r="K63" s="339"/>
    </row>
    <row r="64" spans="1:12" s="299" customFormat="1" ht="9" customHeight="1">
      <c r="A64" s="520"/>
      <c r="B64" s="299" t="s">
        <v>65</v>
      </c>
      <c r="C64" s="493">
        <v>5.5024899999999999</v>
      </c>
      <c r="D64" s="493">
        <v>6.7025300000000003</v>
      </c>
      <c r="E64" s="493">
        <v>5.5024899999999999</v>
      </c>
      <c r="F64" s="787">
        <f t="shared" si="0"/>
        <v>-0.17904283904734486</v>
      </c>
      <c r="G64" s="347"/>
      <c r="H64" s="542"/>
      <c r="I64" s="541"/>
      <c r="J64" s="339"/>
      <c r="K64" s="339"/>
    </row>
    <row r="65" spans="1:11" s="299" customFormat="1" ht="9" customHeight="1">
      <c r="A65" s="521" t="s">
        <v>475</v>
      </c>
      <c r="B65" s="400"/>
      <c r="C65" s="401">
        <v>69.939610000000002</v>
      </c>
      <c r="D65" s="401">
        <v>62.914439999999999</v>
      </c>
      <c r="E65" s="401">
        <v>69.939610000000002</v>
      </c>
      <c r="F65" s="786">
        <f t="shared" si="0"/>
        <v>0.1116622829353644</v>
      </c>
      <c r="G65" s="347"/>
      <c r="H65" s="542"/>
      <c r="I65" s="541"/>
      <c r="J65" s="339"/>
      <c r="K65" s="339"/>
    </row>
    <row r="66" spans="1:11" s="299" customFormat="1" ht="9" customHeight="1">
      <c r="A66" s="520" t="s">
        <v>86</v>
      </c>
      <c r="B66" s="299" t="s">
        <v>437</v>
      </c>
      <c r="C66" s="493">
        <v>77.882999999999996</v>
      </c>
      <c r="D66" s="493">
        <v>76.489999999999995</v>
      </c>
      <c r="E66" s="493">
        <v>77.882999999999996</v>
      </c>
      <c r="F66" s="787">
        <f t="shared" si="0"/>
        <v>1.8211530919074459E-2</v>
      </c>
      <c r="G66" s="347"/>
      <c r="H66" s="542"/>
      <c r="I66" s="541"/>
      <c r="J66" s="339"/>
      <c r="K66" s="339"/>
    </row>
    <row r="67" spans="1:11" s="299" customFormat="1" ht="9" customHeight="1">
      <c r="A67" s="520"/>
      <c r="B67" s="299" t="s">
        <v>290</v>
      </c>
      <c r="C67" s="493">
        <v>27.908000000000001</v>
      </c>
      <c r="D67" s="493">
        <v>26.152000000000001</v>
      </c>
      <c r="E67" s="493">
        <v>27.908000000000001</v>
      </c>
      <c r="F67" s="787">
        <f t="shared" ref="F67:F77" si="1">+IF(D67=0,"",C67/D67-1)</f>
        <v>6.7145916182318688E-2</v>
      </c>
      <c r="G67" s="347"/>
      <c r="H67" s="541"/>
      <c r="I67" s="541"/>
      <c r="J67" s="339"/>
      <c r="K67" s="339"/>
    </row>
    <row r="68" spans="1:11" s="299" customFormat="1" ht="9" customHeight="1">
      <c r="A68" s="520"/>
      <c r="B68" s="299" t="s">
        <v>291</v>
      </c>
      <c r="C68" s="493">
        <v>62.963000000000008</v>
      </c>
      <c r="D68" s="493">
        <v>171.09</v>
      </c>
      <c r="E68" s="493">
        <v>62.963000000000008</v>
      </c>
      <c r="F68" s="787">
        <f t="shared" si="1"/>
        <v>-0.63198901163130516</v>
      </c>
      <c r="G68" s="347"/>
      <c r="H68" s="541"/>
      <c r="I68" s="541"/>
      <c r="J68" s="339"/>
      <c r="K68" s="339"/>
    </row>
    <row r="69" spans="1:11" s="299" customFormat="1" ht="9" customHeight="1">
      <c r="A69" s="520"/>
      <c r="B69" s="299" t="s">
        <v>292</v>
      </c>
      <c r="C69" s="493">
        <v>117.85900000000001</v>
      </c>
      <c r="D69" s="493">
        <v>132.90300000000002</v>
      </c>
      <c r="E69" s="493">
        <v>117.85900000000001</v>
      </c>
      <c r="F69" s="787">
        <f t="shared" si="1"/>
        <v>-0.11319533795324421</v>
      </c>
      <c r="G69" s="339"/>
      <c r="H69" s="541"/>
      <c r="I69" s="541"/>
      <c r="J69" s="339"/>
      <c r="K69" s="339"/>
    </row>
    <row r="70" spans="1:11" s="299" customFormat="1" ht="9" customHeight="1">
      <c r="A70" s="520"/>
      <c r="B70" s="299" t="s">
        <v>293</v>
      </c>
      <c r="C70" s="493">
        <v>0</v>
      </c>
      <c r="D70" s="493">
        <v>60.276000000000003</v>
      </c>
      <c r="E70" s="493">
        <v>0</v>
      </c>
      <c r="F70" s="787">
        <f t="shared" si="1"/>
        <v>-1</v>
      </c>
      <c r="G70" s="339"/>
      <c r="H70" s="541"/>
      <c r="I70" s="541"/>
      <c r="J70" s="339"/>
      <c r="K70" s="339"/>
    </row>
    <row r="71" spans="1:11" s="299" customFormat="1" ht="9" customHeight="1">
      <c r="A71" s="520"/>
      <c r="B71" s="299" t="s">
        <v>294</v>
      </c>
      <c r="C71" s="493">
        <v>72.415999999999997</v>
      </c>
      <c r="D71" s="493">
        <v>0</v>
      </c>
      <c r="E71" s="493">
        <v>72.415999999999997</v>
      </c>
      <c r="F71" s="787" t="str">
        <f t="shared" si="1"/>
        <v/>
      </c>
      <c r="G71" s="339"/>
      <c r="H71" s="541"/>
      <c r="I71" s="541"/>
      <c r="J71" s="339"/>
      <c r="K71" s="339"/>
    </row>
    <row r="72" spans="1:11" s="299" customFormat="1" ht="9" customHeight="1">
      <c r="A72" s="520"/>
      <c r="B72" s="299" t="s">
        <v>295</v>
      </c>
      <c r="C72" s="493">
        <v>0</v>
      </c>
      <c r="D72" s="493">
        <v>151.54900000000001</v>
      </c>
      <c r="E72" s="493">
        <v>0</v>
      </c>
      <c r="F72" s="787">
        <f t="shared" si="1"/>
        <v>-1</v>
      </c>
      <c r="G72" s="348"/>
      <c r="H72" s="541"/>
      <c r="I72" s="541"/>
      <c r="J72" s="339"/>
      <c r="K72" s="339"/>
    </row>
    <row r="73" spans="1:11" s="299" customFormat="1" ht="9" customHeight="1">
      <c r="A73" s="520"/>
      <c r="B73" s="299" t="s">
        <v>296</v>
      </c>
      <c r="C73" s="493">
        <v>436.35599999999999</v>
      </c>
      <c r="D73" s="493">
        <v>204.32600000000002</v>
      </c>
      <c r="E73" s="493">
        <v>436.35599999999999</v>
      </c>
      <c r="F73" s="787">
        <f t="shared" si="1"/>
        <v>1.1355872478294486</v>
      </c>
      <c r="G73" s="348"/>
      <c r="H73" s="270"/>
      <c r="I73" s="541"/>
      <c r="J73" s="339"/>
      <c r="K73" s="339"/>
    </row>
    <row r="74" spans="1:11" s="299" customFormat="1" ht="9" customHeight="1">
      <c r="A74" s="520"/>
      <c r="B74" s="299" t="s">
        <v>398</v>
      </c>
      <c r="C74" s="493">
        <v>0.59099999999999997</v>
      </c>
      <c r="D74" s="493">
        <v>0.33700000000000002</v>
      </c>
      <c r="E74" s="493">
        <v>0.59099999999999997</v>
      </c>
      <c r="F74" s="787">
        <f t="shared" si="1"/>
        <v>0.7537091988130562</v>
      </c>
      <c r="G74" s="348"/>
      <c r="H74" s="270"/>
      <c r="I74" s="541"/>
      <c r="J74" s="339"/>
      <c r="K74" s="339"/>
    </row>
    <row r="75" spans="1:11" s="299" customFormat="1" ht="9" customHeight="1">
      <c r="A75" s="521" t="s">
        <v>476</v>
      </c>
      <c r="B75" s="400"/>
      <c r="C75" s="401">
        <v>795.976</v>
      </c>
      <c r="D75" s="401">
        <v>823.12300000000005</v>
      </c>
      <c r="E75" s="401">
        <v>795.976</v>
      </c>
      <c r="F75" s="786">
        <f t="shared" si="1"/>
        <v>-3.2980490157607067E-2</v>
      </c>
      <c r="H75" s="270"/>
      <c r="I75" s="541"/>
      <c r="J75" s="339"/>
      <c r="K75" s="339"/>
    </row>
    <row r="76" spans="1:11" s="299" customFormat="1" ht="9" customHeight="1">
      <c r="A76" s="520" t="s">
        <v>94</v>
      </c>
      <c r="B76" s="299" t="s">
        <v>297</v>
      </c>
      <c r="C76" s="493">
        <v>0</v>
      </c>
      <c r="D76" s="493">
        <v>47.892000000000003</v>
      </c>
      <c r="E76" s="493">
        <v>0</v>
      </c>
      <c r="F76" s="787">
        <f t="shared" si="1"/>
        <v>-1</v>
      </c>
    </row>
    <row r="77" spans="1:11" s="299" customFormat="1" ht="9" customHeight="1">
      <c r="A77" s="520"/>
      <c r="B77" s="299" t="s">
        <v>298</v>
      </c>
      <c r="C77" s="493">
        <v>87.534000000000006</v>
      </c>
      <c r="D77" s="493">
        <v>0</v>
      </c>
      <c r="E77" s="493">
        <v>87.534000000000006</v>
      </c>
      <c r="F77" s="787" t="str">
        <f t="shared" si="1"/>
        <v/>
      </c>
    </row>
    <row r="78" spans="1:11" s="299" customFormat="1" ht="9" customHeight="1">
      <c r="A78" s="520"/>
      <c r="B78" s="299" t="s">
        <v>299</v>
      </c>
      <c r="C78" s="493">
        <v>0</v>
      </c>
      <c r="D78" s="493">
        <v>0</v>
      </c>
      <c r="E78" s="493">
        <v>0</v>
      </c>
      <c r="F78" s="787"/>
    </row>
    <row r="79" spans="1:11" s="299" customFormat="1" ht="9" customHeight="1">
      <c r="A79" s="802" t="s">
        <v>477</v>
      </c>
      <c r="B79" s="803"/>
      <c r="C79" s="804">
        <v>87.534000000000006</v>
      </c>
      <c r="D79" s="804">
        <v>47.892000000000003</v>
      </c>
      <c r="E79" s="804">
        <v>87.534000000000006</v>
      </c>
      <c r="F79" s="805"/>
    </row>
    <row r="80" spans="1:11" s="299" customFormat="1" ht="9" customHeight="1"/>
    <row r="81" s="299" customFormat="1" ht="9" customHeight="1"/>
    <row r="82" s="299" customFormat="1" ht="9" customHeight="1"/>
    <row r="83" s="299" customFormat="1" ht="9" customHeight="1"/>
    <row r="84" s="299" customFormat="1" ht="9" customHeight="1"/>
    <row r="85" s="299" customFormat="1" ht="9" customHeight="1"/>
    <row r="86" s="299" customFormat="1" ht="9" customHeight="1"/>
    <row r="87" s="299" customFormat="1" ht="9" customHeight="1"/>
    <row r="88" s="299" customFormat="1" ht="9" customHeight="1"/>
    <row r="89" s="299" customFormat="1" ht="9" customHeight="1"/>
    <row r="90" s="299" customFormat="1" ht="9" customHeight="1"/>
    <row r="91" s="299" customFormat="1" ht="9" customHeight="1"/>
    <row r="92" s="299" customFormat="1" ht="9" customHeight="1"/>
    <row r="93" s="299" customFormat="1" ht="9" customHeight="1"/>
    <row r="94" s="299" customFormat="1" ht="9" customHeight="1"/>
    <row r="95" s="299" customFormat="1" ht="9" customHeight="1"/>
    <row r="96" s="299" customFormat="1" ht="9" customHeight="1"/>
    <row r="97" s="299" customFormat="1" ht="9" customHeight="1"/>
    <row r="98" s="299" customFormat="1" ht="9" customHeight="1"/>
    <row r="99" s="299" customFormat="1" ht="9" customHeight="1"/>
    <row r="100" s="299" customFormat="1" ht="9" customHeight="1"/>
    <row r="101" s="299" customFormat="1" ht="9" customHeight="1"/>
    <row r="102" s="299" customFormat="1" ht="9" customHeight="1"/>
    <row r="103" s="299" customFormat="1" ht="9" customHeight="1"/>
    <row r="104" s="299" customFormat="1" ht="9" customHeight="1"/>
    <row r="105" s="299" customFormat="1" ht="9" customHeight="1"/>
    <row r="106" s="299" customFormat="1" ht="9" customHeight="1"/>
    <row r="107" s="299" customFormat="1" ht="9" customHeight="1"/>
    <row r="108" s="299" customFormat="1" ht="9" customHeight="1"/>
    <row r="109" s="299" customFormat="1" ht="9" customHeight="1"/>
    <row r="110" s="299" customFormat="1" ht="9" customHeight="1"/>
    <row r="111" s="299" customFormat="1" ht="9" customHeight="1"/>
    <row r="112" s="299" customFormat="1" ht="9" customHeight="1"/>
    <row r="113" s="299" customFormat="1" ht="9" customHeight="1"/>
    <row r="114" s="299" customFormat="1" ht="9" customHeight="1"/>
    <row r="115" s="299" customFormat="1" ht="9" customHeight="1"/>
    <row r="116" s="299" customFormat="1" ht="9" customHeight="1"/>
    <row r="117" s="299" customFormat="1" ht="9" customHeight="1"/>
    <row r="118" s="299" customFormat="1" ht="9" customHeight="1"/>
    <row r="119" s="299" customFormat="1" ht="9" customHeight="1"/>
    <row r="120" s="299" customFormat="1" ht="9" customHeight="1"/>
    <row r="121" s="299" customFormat="1" ht="9" customHeight="1"/>
    <row r="122" s="299" customFormat="1" ht="9" customHeight="1"/>
    <row r="123" s="299" customFormat="1" ht="9" customHeight="1"/>
    <row r="124" s="299" customFormat="1" ht="9" customHeight="1"/>
    <row r="125" s="299" customFormat="1" ht="9" customHeight="1"/>
    <row r="126" s="299" customFormat="1" ht="9" customHeight="1"/>
    <row r="127" s="299" customFormat="1" ht="9" customHeight="1"/>
    <row r="128" s="299" customFormat="1" ht="9" customHeight="1"/>
    <row r="129" s="299" customFormat="1" ht="9" customHeight="1"/>
    <row r="130" s="299" customFormat="1" ht="9" customHeight="1"/>
    <row r="131" s="299" customFormat="1" ht="9" customHeight="1"/>
    <row r="132" s="299" customFormat="1" ht="9" customHeight="1"/>
    <row r="133" s="299" customFormat="1" ht="9" customHeight="1"/>
    <row r="134" s="299" customFormat="1" ht="9" customHeight="1"/>
    <row r="135" s="299" customFormat="1" ht="10.5" customHeight="1"/>
    <row r="136" s="299" customFormat="1" ht="10.5" customHeight="1"/>
    <row r="137" s="299" customFormat="1" ht="10.5" customHeight="1"/>
    <row r="138" s="299" customFormat="1" ht="10.5" customHeight="1"/>
    <row r="139" s="299" customFormat="1" ht="10.5" customHeight="1"/>
    <row r="140" s="299" customFormat="1" ht="10.5" customHeight="1"/>
    <row r="141" s="299" customFormat="1" ht="10.5" customHeight="1"/>
    <row r="142" s="299" customFormat="1" ht="10.5" customHeight="1"/>
    <row r="143" s="299" customFormat="1" ht="10.5" customHeight="1"/>
    <row r="144" s="299" customFormat="1" ht="10.5" customHeight="1"/>
    <row r="145" s="299" customFormat="1" ht="10.5" customHeight="1"/>
    <row r="146" s="299" customFormat="1" ht="10.5" customHeight="1"/>
    <row r="147" s="299" customFormat="1" ht="10.5" customHeight="1"/>
    <row r="148" s="299" customFormat="1" ht="10.5" customHeight="1"/>
    <row r="149" s="299" customFormat="1" ht="10.5" customHeight="1"/>
    <row r="150" s="299" customFormat="1" ht="10.5" customHeight="1"/>
    <row r="151" s="299" customFormat="1" ht="10.5" customHeight="1"/>
    <row r="152" s="299" customFormat="1" ht="10.5" customHeight="1"/>
    <row r="153" s="299" customFormat="1" ht="10.5" customHeight="1"/>
    <row r="154" s="299" customFormat="1" ht="10.5" customHeight="1"/>
    <row r="155" s="299" customFormat="1" ht="10.5" customHeight="1"/>
    <row r="156" s="299" customFormat="1" ht="10.5" customHeight="1"/>
    <row r="157" s="299" customFormat="1" ht="10.5" customHeight="1"/>
    <row r="158" s="299" customFormat="1" ht="10.5" customHeight="1"/>
    <row r="159" s="299" customFormat="1" ht="10.5" customHeight="1"/>
    <row r="160" s="299" customFormat="1" ht="10.5" customHeight="1"/>
    <row r="161" s="299" customFormat="1" ht="10.5" customHeight="1"/>
    <row r="162" s="299" customFormat="1" ht="10.5" customHeight="1"/>
    <row r="163" s="299" customFormat="1" ht="10.5" customHeight="1"/>
    <row r="164" s="299" customFormat="1" ht="10.5" customHeight="1"/>
    <row r="165" s="299" customFormat="1" ht="7.8"/>
    <row r="166" s="299" customFormat="1" ht="7.8"/>
    <row r="167" s="299" customFormat="1" ht="7.8"/>
    <row r="168" s="299" customFormat="1" ht="7.8"/>
    <row r="169" s="299" customFormat="1" ht="7.8"/>
    <row r="170" s="299" customFormat="1" ht="7.8"/>
    <row r="171" s="299" customFormat="1" ht="7.8"/>
    <row r="172" s="299" customFormat="1" ht="7.8"/>
    <row r="173" s="299" customFormat="1" ht="7.8"/>
    <row r="174" s="299" customFormat="1" ht="7.8"/>
    <row r="175" s="299" customFormat="1" ht="7.8"/>
    <row r="176" s="299" customFormat="1" ht="7.8"/>
    <row r="177" s="299" customFormat="1" ht="7.8"/>
    <row r="178" s="299" customFormat="1" ht="7.8"/>
    <row r="179" s="299" customFormat="1" ht="7.8"/>
    <row r="180" s="299" customFormat="1" ht="7.8"/>
    <row r="181" s="299" customFormat="1" ht="7.8"/>
    <row r="182" s="299" customFormat="1" ht="7.8"/>
    <row r="183" s="299" customFormat="1" ht="7.8"/>
    <row r="184" s="299" customFormat="1" ht="7.8"/>
    <row r="185" s="299" customFormat="1" ht="7.8"/>
  </sheetData>
  <mergeCells count="3">
    <mergeCell ref="A2:A5"/>
    <mergeCell ref="B2:B5"/>
    <mergeCell ref="C2:F2"/>
  </mergeCells>
  <pageMargins left="0.4365" right="0.33950000000000002" top="0.8997101449275362"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77"/>
  <sheetViews>
    <sheetView showGridLines="0" view="pageBreakPreview" topLeftCell="A24" zoomScaleNormal="100" zoomScaleSheetLayoutView="100" workbookViewId="0">
      <selection activeCell="A30" sqref="A1:A1048576"/>
    </sheetView>
  </sheetViews>
  <sheetFormatPr baseColWidth="10" defaultColWidth="9.28515625" defaultRowHeight="9.6"/>
  <cols>
    <col min="1" max="1" width="28.7109375" style="270" customWidth="1"/>
    <col min="2" max="2" width="22.140625" style="270" customWidth="1"/>
    <col min="3" max="4" width="17.7109375" style="270" customWidth="1"/>
    <col min="5" max="5" width="15.140625" style="270" customWidth="1"/>
    <col min="6" max="6" width="13.28515625" style="270" customWidth="1"/>
    <col min="7" max="7" width="6.28515625" style="270" customWidth="1"/>
    <col min="8" max="16384" width="9.28515625" style="270"/>
  </cols>
  <sheetData>
    <row r="1" spans="1:11" s="299" customFormat="1" ht="11.25" customHeight="1">
      <c r="A1" s="949" t="s">
        <v>243</v>
      </c>
      <c r="B1" s="950" t="s">
        <v>52</v>
      </c>
      <c r="C1" s="950" t="s">
        <v>337</v>
      </c>
      <c r="D1" s="950"/>
      <c r="E1" s="950"/>
      <c r="F1" s="951"/>
      <c r="G1" s="337"/>
    </row>
    <row r="2" spans="1:11" s="299" customFormat="1" ht="11.25" customHeight="1">
      <c r="A2" s="943"/>
      <c r="B2" s="946"/>
      <c r="C2" s="389" t="str">
        <f>UPPER('1. Resumen'!Q4)&amp;" "&amp;'1. Resumen'!Q5</f>
        <v>FEBRERO 2023</v>
      </c>
      <c r="D2" s="390" t="str">
        <f>UPPER('1. Resumen'!Q4)&amp;" "&amp;'1. Resumen'!Q5-1</f>
        <v>FEBRERO 2022</v>
      </c>
      <c r="E2" s="390">
        <v>2023</v>
      </c>
      <c r="F2" s="501" t="s">
        <v>589</v>
      </c>
      <c r="G2" s="338"/>
      <c r="H2" s="337"/>
    </row>
    <row r="3" spans="1:11" s="299" customFormat="1" ht="11.25" customHeight="1">
      <c r="A3" s="943"/>
      <c r="B3" s="946"/>
      <c r="C3" s="391">
        <f>'21. ANEXOII-1'!C4</f>
        <v>44959.71875</v>
      </c>
      <c r="D3" s="391">
        <f>'21. ANEXOII-1'!D4</f>
        <v>44614.822916666664</v>
      </c>
      <c r="E3" s="391">
        <f>'21. ANEXOII-1'!E4</f>
        <v>44959.71875</v>
      </c>
      <c r="F3" s="502" t="s">
        <v>334</v>
      </c>
      <c r="G3" s="339"/>
      <c r="H3" s="337"/>
    </row>
    <row r="4" spans="1:11" s="299" customFormat="1" ht="9" customHeight="1">
      <c r="A4" s="944"/>
      <c r="B4" s="947"/>
      <c r="C4" s="392">
        <f>+'8. Max Potencia'!D9</f>
        <v>44959.71875</v>
      </c>
      <c r="D4" s="392">
        <f>+'8. Max Potencia'!E9</f>
        <v>44614.822916666664</v>
      </c>
      <c r="E4" s="392">
        <f>+'21. ANEXOII-1'!E5</f>
        <v>44959.71875</v>
      </c>
      <c r="F4" s="503" t="s">
        <v>335</v>
      </c>
      <c r="G4" s="339"/>
      <c r="H4" s="341"/>
    </row>
    <row r="5" spans="1:11" s="299" customFormat="1" ht="9.6" customHeight="1">
      <c r="A5" s="788" t="s">
        <v>96</v>
      </c>
      <c r="B5" s="789" t="s">
        <v>405</v>
      </c>
      <c r="C5" s="790">
        <v>4.0599999999999996</v>
      </c>
      <c r="D5" s="790">
        <v>0</v>
      </c>
      <c r="E5" s="790">
        <v>4.0599999999999996</v>
      </c>
      <c r="F5" s="791" t="str">
        <f t="shared" ref="F5:F70" si="0">+IF(D5=0,"",C5/D5-1)</f>
        <v/>
      </c>
      <c r="J5" s="411"/>
      <c r="K5" s="411"/>
    </row>
    <row r="6" spans="1:11" s="299" customFormat="1" ht="9.6" customHeight="1">
      <c r="A6" s="666"/>
      <c r="B6" s="533" t="s">
        <v>404</v>
      </c>
      <c r="C6" s="656">
        <v>122.819</v>
      </c>
      <c r="D6" s="656">
        <v>48.011000000000003</v>
      </c>
      <c r="E6" s="656">
        <v>122.819</v>
      </c>
      <c r="F6" s="792">
        <f t="shared" si="0"/>
        <v>1.5581429255795545</v>
      </c>
      <c r="J6" s="411"/>
      <c r="K6" s="411"/>
    </row>
    <row r="7" spans="1:11" s="299" customFormat="1" ht="9.6" customHeight="1">
      <c r="A7" s="667" t="s">
        <v>478</v>
      </c>
      <c r="B7" s="668"/>
      <c r="C7" s="669">
        <v>126.879</v>
      </c>
      <c r="D7" s="669">
        <v>48.011000000000003</v>
      </c>
      <c r="E7" s="669">
        <v>126.879</v>
      </c>
      <c r="F7" s="793">
        <f t="shared" si="0"/>
        <v>1.6427068796734083</v>
      </c>
      <c r="J7" s="411"/>
      <c r="K7" s="411"/>
    </row>
    <row r="8" spans="1:11" s="299" customFormat="1" ht="9.6" customHeight="1">
      <c r="A8" s="666" t="s">
        <v>95</v>
      </c>
      <c r="B8" s="533" t="s">
        <v>75</v>
      </c>
      <c r="C8" s="656">
        <v>8.9128000000000007</v>
      </c>
      <c r="D8" s="656">
        <v>23.425999999999998</v>
      </c>
      <c r="E8" s="656">
        <v>8.9128000000000007</v>
      </c>
      <c r="F8" s="792">
        <f t="shared" si="0"/>
        <v>-0.61953385127635952</v>
      </c>
      <c r="K8" s="411"/>
    </row>
    <row r="9" spans="1:11" s="299" customFormat="1" ht="9.6" customHeight="1">
      <c r="A9" s="666"/>
      <c r="B9" s="533" t="s">
        <v>77</v>
      </c>
      <c r="C9" s="656">
        <v>15.2264</v>
      </c>
      <c r="D9" s="656">
        <v>6.5380000000000003</v>
      </c>
      <c r="E9" s="656">
        <v>15.2264</v>
      </c>
      <c r="F9" s="792">
        <f t="shared" si="0"/>
        <v>1.3289079229122054</v>
      </c>
      <c r="K9" s="411"/>
    </row>
    <row r="10" spans="1:11" s="299" customFormat="1" ht="9.6" customHeight="1">
      <c r="A10" s="667" t="s">
        <v>479</v>
      </c>
      <c r="B10" s="668"/>
      <c r="C10" s="669">
        <v>22.990600000000001</v>
      </c>
      <c r="D10" s="669">
        <v>29.963999999999999</v>
      </c>
      <c r="E10" s="669">
        <v>22.990600000000001</v>
      </c>
      <c r="F10" s="793">
        <f t="shared" si="0"/>
        <v>-0.232725937792017</v>
      </c>
      <c r="K10" s="411"/>
    </row>
    <row r="11" spans="1:11" s="299" customFormat="1" ht="9.6" customHeight="1">
      <c r="A11" s="666" t="s">
        <v>85</v>
      </c>
      <c r="B11" s="533" t="s">
        <v>300</v>
      </c>
      <c r="C11" s="656">
        <v>56.186410000000002</v>
      </c>
      <c r="D11" s="656">
        <v>112.41030000000001</v>
      </c>
      <c r="E11" s="656">
        <v>56.186410000000002</v>
      </c>
      <c r="F11" s="792">
        <f t="shared" si="0"/>
        <v>-0.50016671070177732</v>
      </c>
      <c r="J11" s="411"/>
      <c r="K11" s="411"/>
    </row>
    <row r="12" spans="1:11" s="299" customFormat="1" ht="9.6" customHeight="1">
      <c r="A12" s="666"/>
      <c r="B12" s="533" t="s">
        <v>301</v>
      </c>
      <c r="C12" s="656">
        <v>131.71272999999999</v>
      </c>
      <c r="D12" s="656">
        <v>130.44429</v>
      </c>
      <c r="E12" s="656">
        <v>131.71272999999999</v>
      </c>
      <c r="F12" s="792">
        <f t="shared" si="0"/>
        <v>9.7239978844607666E-3</v>
      </c>
      <c r="J12" s="411"/>
      <c r="K12" s="411"/>
    </row>
    <row r="13" spans="1:11" s="299" customFormat="1" ht="9.6" customHeight="1">
      <c r="A13" s="666"/>
      <c r="B13" s="533" t="s">
        <v>302</v>
      </c>
      <c r="C13" s="656">
        <v>740.36941000000002</v>
      </c>
      <c r="D13" s="656">
        <v>165.95107999999999</v>
      </c>
      <c r="E13" s="656">
        <v>740.36941000000002</v>
      </c>
      <c r="F13" s="792">
        <f t="shared" si="0"/>
        <v>3.4613714475374309</v>
      </c>
      <c r="J13" s="411"/>
      <c r="K13" s="411"/>
    </row>
    <row r="14" spans="1:11" s="299" customFormat="1" ht="9.6" customHeight="1">
      <c r="A14" s="666"/>
      <c r="B14" s="533" t="s">
        <v>303</v>
      </c>
      <c r="C14" s="656">
        <v>101.80869999999999</v>
      </c>
      <c r="D14" s="656">
        <v>67.947299999999998</v>
      </c>
      <c r="E14" s="656">
        <v>101.80869999999999</v>
      </c>
      <c r="F14" s="792">
        <f t="shared" si="0"/>
        <v>0.49834798439378747</v>
      </c>
      <c r="J14" s="411"/>
      <c r="K14" s="411"/>
    </row>
    <row r="15" spans="1:11" s="299" customFormat="1" ht="9.6" customHeight="1">
      <c r="A15" s="666"/>
      <c r="B15" s="533" t="s">
        <v>587</v>
      </c>
      <c r="C15" s="656"/>
      <c r="D15" s="656">
        <v>0</v>
      </c>
      <c r="E15" s="656"/>
      <c r="F15" s="792" t="str">
        <f t="shared" si="0"/>
        <v/>
      </c>
      <c r="J15" s="411"/>
      <c r="K15" s="411"/>
    </row>
    <row r="16" spans="1:11" s="299" customFormat="1" ht="9.6" customHeight="1">
      <c r="A16" s="666"/>
      <c r="B16" s="533" t="s">
        <v>304</v>
      </c>
      <c r="C16" s="656">
        <v>0</v>
      </c>
      <c r="D16" s="656">
        <v>0</v>
      </c>
      <c r="E16" s="656">
        <v>0</v>
      </c>
      <c r="F16" s="792" t="str">
        <f t="shared" si="0"/>
        <v/>
      </c>
      <c r="J16" s="411"/>
      <c r="K16" s="411"/>
    </row>
    <row r="17" spans="1:11" s="299" customFormat="1" ht="9.6" customHeight="1">
      <c r="A17" s="666"/>
      <c r="B17" s="533" t="s">
        <v>305</v>
      </c>
      <c r="C17" s="656">
        <v>0</v>
      </c>
      <c r="D17" s="656">
        <v>0</v>
      </c>
      <c r="E17" s="656">
        <v>0</v>
      </c>
      <c r="F17" s="792" t="str">
        <f t="shared" si="0"/>
        <v/>
      </c>
      <c r="J17" s="411"/>
      <c r="K17" s="411"/>
    </row>
    <row r="18" spans="1:11" s="299" customFormat="1" ht="9.6" customHeight="1">
      <c r="A18" s="666"/>
      <c r="B18" s="533" t="s">
        <v>406</v>
      </c>
      <c r="C18" s="656">
        <v>1.772E-2</v>
      </c>
      <c r="D18" s="656">
        <v>0</v>
      </c>
      <c r="E18" s="656">
        <v>1.772E-2</v>
      </c>
      <c r="F18" s="792" t="str">
        <f t="shared" si="0"/>
        <v/>
      </c>
      <c r="J18" s="411"/>
      <c r="K18" s="411"/>
    </row>
    <row r="19" spans="1:11" s="299" customFormat="1" ht="9.6" customHeight="1">
      <c r="A19" s="666"/>
      <c r="B19" s="533" t="s">
        <v>584</v>
      </c>
      <c r="C19" s="656">
        <v>48.387209999999996</v>
      </c>
      <c r="D19" s="656"/>
      <c r="E19" s="656">
        <v>48.387209999999996</v>
      </c>
      <c r="F19" s="792"/>
      <c r="J19" s="411"/>
      <c r="K19" s="411"/>
    </row>
    <row r="20" spans="1:11" s="299" customFormat="1" ht="9.6" customHeight="1">
      <c r="A20" s="667" t="s">
        <v>480</v>
      </c>
      <c r="B20" s="668"/>
      <c r="C20" s="669">
        <v>1078.4821800000002</v>
      </c>
      <c r="D20" s="669">
        <v>476.75296999999995</v>
      </c>
      <c r="E20" s="669">
        <v>1078.4821800000002</v>
      </c>
      <c r="F20" s="793">
        <f t="shared" si="0"/>
        <v>1.2621404539965431</v>
      </c>
      <c r="J20" s="411"/>
      <c r="K20" s="411"/>
    </row>
    <row r="21" spans="1:11" s="299" customFormat="1" ht="9.6" customHeight="1">
      <c r="A21" s="666" t="s">
        <v>232</v>
      </c>
      <c r="B21" s="533" t="s">
        <v>306</v>
      </c>
      <c r="C21" s="656">
        <v>550.43043999999998</v>
      </c>
      <c r="D21" s="656">
        <v>562.50548000000003</v>
      </c>
      <c r="E21" s="656">
        <v>550.43043999999998</v>
      </c>
      <c r="F21" s="792"/>
      <c r="J21" s="411"/>
      <c r="K21" s="411"/>
    </row>
    <row r="22" spans="1:11" s="299" customFormat="1" ht="9.6" customHeight="1">
      <c r="A22" s="667" t="s">
        <v>481</v>
      </c>
      <c r="B22" s="668"/>
      <c r="C22" s="669">
        <v>550.43043999999998</v>
      </c>
      <c r="D22" s="669">
        <v>562.50548000000003</v>
      </c>
      <c r="E22" s="669">
        <v>550.43043999999998</v>
      </c>
      <c r="F22" s="793"/>
      <c r="J22" s="411"/>
      <c r="K22" s="411"/>
    </row>
    <row r="23" spans="1:11" s="299" customFormat="1" ht="9.6" customHeight="1">
      <c r="A23" s="666" t="s">
        <v>431</v>
      </c>
      <c r="B23" s="533" t="s">
        <v>435</v>
      </c>
      <c r="C23" s="656">
        <v>21.060359999999999</v>
      </c>
      <c r="D23" s="656">
        <v>20.832709999999999</v>
      </c>
      <c r="E23" s="656">
        <v>21.060359999999999</v>
      </c>
      <c r="F23" s="792"/>
      <c r="J23" s="411"/>
      <c r="K23" s="411"/>
    </row>
    <row r="24" spans="1:11" s="299" customFormat="1" ht="9.6" customHeight="1">
      <c r="A24" s="666"/>
      <c r="B24" s="533" t="s">
        <v>432</v>
      </c>
      <c r="C24" s="656">
        <v>8.3003199999999993</v>
      </c>
      <c r="D24" s="656">
        <v>6.4733700000000001</v>
      </c>
      <c r="E24" s="656">
        <v>8.3003199999999993</v>
      </c>
      <c r="F24" s="792">
        <f t="shared" si="0"/>
        <v>0.28222548687932236</v>
      </c>
      <c r="J24" s="411"/>
      <c r="K24" s="411"/>
    </row>
    <row r="25" spans="1:11" s="299" customFormat="1" ht="9.6" customHeight="1">
      <c r="A25" s="667" t="s">
        <v>482</v>
      </c>
      <c r="B25" s="668"/>
      <c r="C25" s="669">
        <v>29.360679999999999</v>
      </c>
      <c r="D25" s="669">
        <v>27.306079999999998</v>
      </c>
      <c r="E25" s="669">
        <v>29.360679999999999</v>
      </c>
      <c r="F25" s="793">
        <f t="shared" si="0"/>
        <v>7.5243315774362385E-2</v>
      </c>
      <c r="J25" s="411"/>
      <c r="K25" s="411"/>
    </row>
    <row r="26" spans="1:11" s="299" customFormat="1" ht="9.6" customHeight="1">
      <c r="A26" s="666" t="s">
        <v>106</v>
      </c>
      <c r="B26" s="533" t="s">
        <v>64</v>
      </c>
      <c r="C26" s="656">
        <v>4.4015899999999997</v>
      </c>
      <c r="D26" s="656">
        <v>6.8293900000000001</v>
      </c>
      <c r="E26" s="656">
        <v>4.4015899999999997</v>
      </c>
      <c r="F26" s="792">
        <f t="shared" si="0"/>
        <v>-0.35549295032206396</v>
      </c>
      <c r="J26" s="411"/>
      <c r="K26" s="411"/>
    </row>
    <row r="27" spans="1:11" s="299" customFormat="1" ht="9.6" customHeight="1">
      <c r="A27" s="666"/>
      <c r="B27" s="533" t="s">
        <v>397</v>
      </c>
      <c r="C27" s="656">
        <v>10.18671</v>
      </c>
      <c r="D27" s="656">
        <v>20.386659999999999</v>
      </c>
      <c r="E27" s="656">
        <v>10.18671</v>
      </c>
      <c r="F27" s="792">
        <f t="shared" si="0"/>
        <v>-0.50032472214673707</v>
      </c>
      <c r="J27" s="411"/>
      <c r="K27" s="411"/>
    </row>
    <row r="28" spans="1:11" s="299" customFormat="1" ht="9.6" customHeight="1">
      <c r="A28" s="666"/>
      <c r="B28" s="533" t="s">
        <v>395</v>
      </c>
      <c r="C28" s="656">
        <v>20.390990000000002</v>
      </c>
      <c r="D28" s="656">
        <v>20.391100000000002</v>
      </c>
      <c r="E28" s="656">
        <v>20.390990000000002</v>
      </c>
      <c r="F28" s="792">
        <f t="shared" si="0"/>
        <v>-5.3945103500874225E-6</v>
      </c>
      <c r="J28" s="411"/>
      <c r="K28" s="411"/>
    </row>
    <row r="29" spans="1:11" s="299" customFormat="1" ht="9.6" customHeight="1">
      <c r="A29" s="666"/>
      <c r="B29" s="533" t="s">
        <v>396</v>
      </c>
      <c r="C29" s="656">
        <v>20.36852</v>
      </c>
      <c r="D29" s="656">
        <v>20.156399999999998</v>
      </c>
      <c r="E29" s="656">
        <v>20.36852</v>
      </c>
      <c r="F29" s="792">
        <f t="shared" si="0"/>
        <v>1.0523704629795017E-2</v>
      </c>
      <c r="J29" s="411"/>
      <c r="K29" s="411"/>
    </row>
    <row r="30" spans="1:11" s="299" customFormat="1" ht="9.6" customHeight="1">
      <c r="A30" s="667" t="s">
        <v>483</v>
      </c>
      <c r="B30" s="668"/>
      <c r="C30" s="669">
        <v>55.34781000000001</v>
      </c>
      <c r="D30" s="669">
        <v>67.763550000000009</v>
      </c>
      <c r="E30" s="669">
        <v>55.34781000000001</v>
      </c>
      <c r="F30" s="793">
        <f t="shared" si="0"/>
        <v>-0.18322151067941395</v>
      </c>
      <c r="J30" s="411"/>
      <c r="K30" s="411"/>
    </row>
    <row r="31" spans="1:11" s="299" customFormat="1" ht="9.6" customHeight="1">
      <c r="A31" s="666" t="s">
        <v>447</v>
      </c>
      <c r="B31" s="533" t="s">
        <v>453</v>
      </c>
      <c r="C31" s="656">
        <v>7.8878199999999996</v>
      </c>
      <c r="D31" s="656">
        <v>5.8799999999999998E-3</v>
      </c>
      <c r="E31" s="656">
        <v>7.8878199999999996</v>
      </c>
      <c r="F31" s="792">
        <f t="shared" si="0"/>
        <v>1340.4659863945578</v>
      </c>
      <c r="J31" s="411"/>
      <c r="K31" s="411"/>
    </row>
    <row r="32" spans="1:11" s="299" customFormat="1" ht="9.6" customHeight="1">
      <c r="A32" s="667" t="s">
        <v>484</v>
      </c>
      <c r="B32" s="668"/>
      <c r="C32" s="669">
        <v>7.8878199999999996</v>
      </c>
      <c r="D32" s="669">
        <v>5.8799999999999998E-3</v>
      </c>
      <c r="E32" s="669">
        <v>7.8878199999999996</v>
      </c>
      <c r="F32" s="793">
        <f t="shared" si="0"/>
        <v>1340.4659863945578</v>
      </c>
      <c r="J32" s="411"/>
      <c r="K32" s="411"/>
    </row>
    <row r="33" spans="1:11" s="299" customFormat="1" ht="9.6" customHeight="1">
      <c r="A33" s="666" t="s">
        <v>448</v>
      </c>
      <c r="B33" s="533" t="s">
        <v>454</v>
      </c>
      <c r="C33" s="656">
        <v>10.745760000000001</v>
      </c>
      <c r="D33" s="656">
        <v>1.1910000000000001</v>
      </c>
      <c r="E33" s="656">
        <v>10.745760000000001</v>
      </c>
      <c r="F33" s="792">
        <f t="shared" si="0"/>
        <v>8.0224685138539051</v>
      </c>
      <c r="J33" s="411"/>
      <c r="K33" s="411"/>
    </row>
    <row r="34" spans="1:11" s="299" customFormat="1" ht="9.6" customHeight="1">
      <c r="A34" s="667" t="s">
        <v>485</v>
      </c>
      <c r="B34" s="668"/>
      <c r="C34" s="669">
        <v>10.745760000000001</v>
      </c>
      <c r="D34" s="669">
        <v>1.1910000000000001</v>
      </c>
      <c r="E34" s="669">
        <v>10.745760000000001</v>
      </c>
      <c r="F34" s="793">
        <f t="shared" si="0"/>
        <v>8.0224685138539051</v>
      </c>
      <c r="J34" s="411"/>
      <c r="K34" s="411"/>
    </row>
    <row r="35" spans="1:11" s="299" customFormat="1" ht="9.6" customHeight="1">
      <c r="A35" s="666" t="s">
        <v>112</v>
      </c>
      <c r="B35" s="533" t="s">
        <v>72</v>
      </c>
      <c r="C35" s="656">
        <v>3.2</v>
      </c>
      <c r="D35" s="656">
        <v>2.8</v>
      </c>
      <c r="E35" s="656">
        <v>3.2</v>
      </c>
      <c r="F35" s="792">
        <f t="shared" si="0"/>
        <v>0.14285714285714302</v>
      </c>
      <c r="J35" s="411"/>
      <c r="K35" s="411"/>
    </row>
    <row r="36" spans="1:11" s="299" customFormat="1" ht="9.6" customHeight="1">
      <c r="A36" s="667" t="s">
        <v>486</v>
      </c>
      <c r="B36" s="668"/>
      <c r="C36" s="669">
        <v>3.2</v>
      </c>
      <c r="D36" s="669">
        <v>2.8</v>
      </c>
      <c r="E36" s="669">
        <v>3.2</v>
      </c>
      <c r="F36" s="793">
        <f t="shared" si="0"/>
        <v>0.14285714285714302</v>
      </c>
      <c r="J36" s="411"/>
      <c r="K36" s="411"/>
    </row>
    <row r="37" spans="1:11" s="299" customFormat="1" ht="9.6" customHeight="1">
      <c r="A37" s="666" t="s">
        <v>101</v>
      </c>
      <c r="B37" s="533" t="s">
        <v>307</v>
      </c>
      <c r="C37" s="656">
        <v>18.918289999999999</v>
      </c>
      <c r="D37" s="656">
        <v>19.016210000000001</v>
      </c>
      <c r="E37" s="656">
        <v>18.918289999999999</v>
      </c>
      <c r="F37" s="792">
        <f t="shared" si="0"/>
        <v>-5.1492910522129565E-3</v>
      </c>
      <c r="J37" s="411"/>
      <c r="K37" s="411"/>
    </row>
    <row r="38" spans="1:11" s="299" customFormat="1" ht="9.6" customHeight="1">
      <c r="A38" s="667" t="s">
        <v>487</v>
      </c>
      <c r="B38" s="668"/>
      <c r="C38" s="669">
        <v>18.918289999999999</v>
      </c>
      <c r="D38" s="669">
        <v>19.016210000000001</v>
      </c>
      <c r="E38" s="669">
        <v>18.918289999999999</v>
      </c>
      <c r="F38" s="793">
        <f t="shared" si="0"/>
        <v>-5.1492910522129565E-3</v>
      </c>
      <c r="J38" s="411"/>
      <c r="K38" s="411"/>
    </row>
    <row r="39" spans="1:11" s="533" customFormat="1" ht="18" customHeight="1">
      <c r="A39" s="666" t="s">
        <v>233</v>
      </c>
      <c r="B39" s="533" t="s">
        <v>57</v>
      </c>
      <c r="C39" s="656">
        <v>18.052</v>
      </c>
      <c r="D39" s="656">
        <v>9.3076899999999991</v>
      </c>
      <c r="E39" s="656">
        <v>18.052</v>
      </c>
      <c r="F39" s="792">
        <f t="shared" si="0"/>
        <v>0.93947155524088166</v>
      </c>
      <c r="J39" s="657"/>
      <c r="K39" s="657"/>
    </row>
    <row r="40" spans="1:11" s="299" customFormat="1" ht="9.6" customHeight="1">
      <c r="A40" s="667" t="s">
        <v>488</v>
      </c>
      <c r="B40" s="668"/>
      <c r="C40" s="669">
        <v>18.052</v>
      </c>
      <c r="D40" s="669">
        <v>9.3076899999999991</v>
      </c>
      <c r="E40" s="669">
        <v>18.052</v>
      </c>
      <c r="F40" s="793">
        <f t="shared" si="0"/>
        <v>0.93947155524088166</v>
      </c>
      <c r="J40" s="411"/>
      <c r="K40" s="411"/>
    </row>
    <row r="41" spans="1:11" s="299" customFormat="1" ht="9.6" customHeight="1">
      <c r="A41" s="666" t="s">
        <v>394</v>
      </c>
      <c r="B41" s="533" t="s">
        <v>583</v>
      </c>
      <c r="C41" s="656"/>
      <c r="D41" s="656">
        <v>0</v>
      </c>
      <c r="E41" s="656"/>
      <c r="F41" s="792" t="str">
        <f t="shared" si="0"/>
        <v/>
      </c>
      <c r="J41" s="411"/>
      <c r="K41" s="411"/>
    </row>
    <row r="42" spans="1:11" s="299" customFormat="1" ht="9.6" customHeight="1">
      <c r="A42" s="667" t="s">
        <v>489</v>
      </c>
      <c r="B42" s="668"/>
      <c r="C42" s="669"/>
      <c r="D42" s="669">
        <v>0</v>
      </c>
      <c r="E42" s="669"/>
      <c r="F42" s="793" t="str">
        <f t="shared" si="0"/>
        <v/>
      </c>
      <c r="J42" s="411"/>
      <c r="K42" s="411"/>
    </row>
    <row r="43" spans="1:11" s="299" customFormat="1" ht="9.6" customHeight="1">
      <c r="A43" s="666" t="s">
        <v>408</v>
      </c>
      <c r="B43" s="533" t="s">
        <v>412</v>
      </c>
      <c r="C43" s="656">
        <v>90.691609999999997</v>
      </c>
      <c r="D43" s="656">
        <v>90.378320000000002</v>
      </c>
      <c r="E43" s="656">
        <v>90.691609999999997</v>
      </c>
      <c r="F43" s="792">
        <f t="shared" si="0"/>
        <v>3.4664286744874317E-3</v>
      </c>
      <c r="J43" s="411"/>
      <c r="K43" s="411"/>
    </row>
    <row r="44" spans="1:11" s="299" customFormat="1" ht="9.6" customHeight="1">
      <c r="A44" s="667" t="s">
        <v>490</v>
      </c>
      <c r="B44" s="668"/>
      <c r="C44" s="669">
        <v>90.691609999999997</v>
      </c>
      <c r="D44" s="669">
        <v>90.378320000000002</v>
      </c>
      <c r="E44" s="669">
        <v>90.691609999999997</v>
      </c>
      <c r="F44" s="793">
        <f t="shared" si="0"/>
        <v>3.4664286744874317E-3</v>
      </c>
      <c r="J44" s="411"/>
      <c r="K44" s="411"/>
    </row>
    <row r="45" spans="1:11" s="299" customFormat="1" ht="19.95" customHeight="1">
      <c r="A45" s="655" t="s">
        <v>439</v>
      </c>
      <c r="B45" s="533" t="s">
        <v>443</v>
      </c>
      <c r="C45" s="656">
        <v>19.915039999999998</v>
      </c>
      <c r="D45" s="656">
        <v>19.462150000000001</v>
      </c>
      <c r="E45" s="656">
        <v>19.915039999999998</v>
      </c>
      <c r="F45" s="792">
        <f t="shared" si="0"/>
        <v>2.327029644720624E-2</v>
      </c>
      <c r="J45" s="411"/>
      <c r="K45" s="411"/>
    </row>
    <row r="46" spans="1:11" s="299" customFormat="1" ht="11.4" customHeight="1">
      <c r="A46" s="667" t="s">
        <v>491</v>
      </c>
      <c r="B46" s="668"/>
      <c r="C46" s="669">
        <v>19.915039999999998</v>
      </c>
      <c r="D46" s="669">
        <v>19.462150000000001</v>
      </c>
      <c r="E46" s="669">
        <v>19.915039999999998</v>
      </c>
      <c r="F46" s="793">
        <f t="shared" si="0"/>
        <v>2.327029644720624E-2</v>
      </c>
      <c r="J46" s="411"/>
      <c r="K46" s="411"/>
    </row>
    <row r="47" spans="1:11" s="299" customFormat="1" ht="11.4" customHeight="1">
      <c r="A47" s="666" t="s">
        <v>114</v>
      </c>
      <c r="B47" s="533" t="s">
        <v>309</v>
      </c>
      <c r="C47" s="656">
        <v>0</v>
      </c>
      <c r="D47" s="656">
        <v>0</v>
      </c>
      <c r="E47" s="656">
        <v>0</v>
      </c>
      <c r="F47" s="792" t="str">
        <f t="shared" si="0"/>
        <v/>
      </c>
      <c r="J47" s="411"/>
      <c r="K47" s="411"/>
    </row>
    <row r="48" spans="1:11" s="299" customFormat="1" ht="11.4" customHeight="1">
      <c r="A48" s="666"/>
      <c r="B48" s="533" t="s">
        <v>310</v>
      </c>
      <c r="C48" s="656">
        <v>0</v>
      </c>
      <c r="D48" s="656">
        <v>0</v>
      </c>
      <c r="E48" s="656">
        <v>0</v>
      </c>
      <c r="F48" s="792" t="str">
        <f t="shared" si="0"/>
        <v/>
      </c>
      <c r="J48" s="411"/>
      <c r="K48" s="411"/>
    </row>
    <row r="49" spans="1:11" s="299" customFormat="1" ht="11.4" customHeight="1">
      <c r="A49" s="667" t="s">
        <v>492</v>
      </c>
      <c r="B49" s="668"/>
      <c r="C49" s="669">
        <v>0</v>
      </c>
      <c r="D49" s="669">
        <v>0</v>
      </c>
      <c r="E49" s="669">
        <v>0</v>
      </c>
      <c r="F49" s="793" t="str">
        <f t="shared" si="0"/>
        <v/>
      </c>
      <c r="J49" s="411"/>
      <c r="K49" s="411"/>
    </row>
    <row r="50" spans="1:11" s="299" customFormat="1" ht="11.4" customHeight="1">
      <c r="A50" s="666" t="s">
        <v>392</v>
      </c>
      <c r="B50" s="533" t="s">
        <v>311</v>
      </c>
      <c r="C50" s="656">
        <v>544.22375</v>
      </c>
      <c r="D50" s="656">
        <v>786.88</v>
      </c>
      <c r="E50" s="656">
        <v>544.22375</v>
      </c>
      <c r="F50" s="792">
        <f t="shared" si="0"/>
        <v>-0.308377706893046</v>
      </c>
      <c r="J50" s="411"/>
      <c r="K50" s="411"/>
    </row>
    <row r="51" spans="1:11" s="299" customFormat="1" ht="11.4" customHeight="1">
      <c r="A51" s="666"/>
      <c r="B51" s="533" t="s">
        <v>588</v>
      </c>
      <c r="C51" s="656">
        <v>203.84419</v>
      </c>
      <c r="D51" s="656">
        <v>104.8</v>
      </c>
      <c r="E51" s="656">
        <v>203.84419</v>
      </c>
      <c r="F51" s="792">
        <f t="shared" si="0"/>
        <v>0.94507814885496177</v>
      </c>
      <c r="J51" s="411"/>
      <c r="K51" s="411"/>
    </row>
    <row r="52" spans="1:11" s="299" customFormat="1" ht="11.4" customHeight="1">
      <c r="A52" s="666"/>
      <c r="B52" s="533" t="s">
        <v>410</v>
      </c>
      <c r="C52" s="656">
        <v>565.96605</v>
      </c>
      <c r="D52" s="656">
        <v>364.11</v>
      </c>
      <c r="E52" s="656">
        <v>565.96605</v>
      </c>
      <c r="F52" s="792">
        <f t="shared" si="0"/>
        <v>0.55438205487352721</v>
      </c>
      <c r="J52" s="411"/>
      <c r="K52" s="411"/>
    </row>
    <row r="53" spans="1:11" s="299" customFormat="1" ht="11.4" customHeight="1">
      <c r="A53" s="666"/>
      <c r="B53" s="533" t="s">
        <v>312</v>
      </c>
      <c r="C53" s="656">
        <v>10.300599999999999</v>
      </c>
      <c r="D53" s="656">
        <v>10.14</v>
      </c>
      <c r="E53" s="656">
        <v>10.300599999999999</v>
      </c>
      <c r="F53" s="792">
        <f t="shared" si="0"/>
        <v>1.5838264299802729E-2</v>
      </c>
      <c r="J53" s="411"/>
      <c r="K53" s="411"/>
    </row>
    <row r="54" spans="1:11" s="299" customFormat="1" ht="11.4" customHeight="1">
      <c r="A54" s="667" t="s">
        <v>493</v>
      </c>
      <c r="B54" s="668"/>
      <c r="C54" s="669">
        <v>1324.3345899999999</v>
      </c>
      <c r="D54" s="669">
        <v>1265.93</v>
      </c>
      <c r="E54" s="669">
        <v>1324.3345899999999</v>
      </c>
      <c r="F54" s="793">
        <f t="shared" si="0"/>
        <v>4.6135718404650916E-2</v>
      </c>
      <c r="J54" s="411"/>
      <c r="K54" s="411"/>
    </row>
    <row r="55" spans="1:11" s="299" customFormat="1" ht="11.4" customHeight="1">
      <c r="A55" s="666" t="s">
        <v>455</v>
      </c>
      <c r="B55" s="533" t="s">
        <v>532</v>
      </c>
      <c r="C55" s="656">
        <v>59.895870000000002</v>
      </c>
      <c r="D55" s="656">
        <v>74.250879999999995</v>
      </c>
      <c r="E55" s="656">
        <v>59.895870000000002</v>
      </c>
      <c r="F55" s="792">
        <f t="shared" si="0"/>
        <v>-0.19333117668100352</v>
      </c>
      <c r="J55" s="411"/>
      <c r="K55" s="411"/>
    </row>
    <row r="56" spans="1:11" s="299" customFormat="1" ht="11.4" customHeight="1">
      <c r="A56" s="667" t="s">
        <v>494</v>
      </c>
      <c r="B56" s="668"/>
      <c r="C56" s="669">
        <v>59.895870000000002</v>
      </c>
      <c r="D56" s="669">
        <v>74.250879999999995</v>
      </c>
      <c r="E56" s="669">
        <v>59.895870000000002</v>
      </c>
      <c r="F56" s="793">
        <f t="shared" si="0"/>
        <v>-0.19333117668100352</v>
      </c>
      <c r="J56" s="411"/>
      <c r="K56" s="411"/>
    </row>
    <row r="57" spans="1:11" s="299" customFormat="1" ht="11.4" customHeight="1">
      <c r="A57" s="666" t="s">
        <v>113</v>
      </c>
      <c r="B57" s="533" t="s">
        <v>70</v>
      </c>
      <c r="C57" s="656">
        <v>3.597</v>
      </c>
      <c r="D57" s="656">
        <v>3.694</v>
      </c>
      <c r="E57" s="656">
        <v>3.597</v>
      </c>
      <c r="F57" s="792">
        <f t="shared" si="0"/>
        <v>-2.6258798050893373E-2</v>
      </c>
      <c r="J57" s="411"/>
      <c r="K57" s="411"/>
    </row>
    <row r="58" spans="1:11" s="299" customFormat="1" ht="11.4" customHeight="1">
      <c r="A58" s="667" t="s">
        <v>495</v>
      </c>
      <c r="B58" s="668"/>
      <c r="C58" s="669">
        <v>3.597</v>
      </c>
      <c r="D58" s="669">
        <v>3.694</v>
      </c>
      <c r="E58" s="669">
        <v>3.597</v>
      </c>
      <c r="F58" s="793">
        <f t="shared" si="0"/>
        <v>-2.6258798050893373E-2</v>
      </c>
      <c r="J58" s="411"/>
      <c r="K58" s="411"/>
    </row>
    <row r="59" spans="1:11" s="299" customFormat="1" ht="11.4" customHeight="1">
      <c r="A59" s="666" t="s">
        <v>445</v>
      </c>
      <c r="B59" s="533" t="s">
        <v>226</v>
      </c>
      <c r="C59" s="656">
        <v>2.96</v>
      </c>
      <c r="D59" s="656">
        <v>0</v>
      </c>
      <c r="E59" s="656">
        <v>2.96</v>
      </c>
      <c r="F59" s="792" t="str">
        <f t="shared" si="0"/>
        <v/>
      </c>
      <c r="J59" s="411"/>
      <c r="K59" s="411"/>
    </row>
    <row r="60" spans="1:11" s="299" customFormat="1" ht="11.4" customHeight="1">
      <c r="A60" s="667" t="s">
        <v>496</v>
      </c>
      <c r="B60" s="668"/>
      <c r="C60" s="669">
        <v>2.96</v>
      </c>
      <c r="D60" s="669">
        <v>0</v>
      </c>
      <c r="E60" s="669">
        <v>2.96</v>
      </c>
      <c r="F60" s="793" t="str">
        <f t="shared" si="0"/>
        <v/>
      </c>
      <c r="J60" s="411"/>
      <c r="K60" s="411"/>
    </row>
    <row r="61" spans="1:11" s="299" customFormat="1" ht="11.4" customHeight="1">
      <c r="A61" s="666" t="s">
        <v>108</v>
      </c>
      <c r="B61" s="533" t="s">
        <v>79</v>
      </c>
      <c r="C61" s="656">
        <v>5.9037800000000002</v>
      </c>
      <c r="D61" s="656">
        <v>0</v>
      </c>
      <c r="E61" s="656">
        <v>5.9037800000000002</v>
      </c>
      <c r="F61" s="792" t="str">
        <f t="shared" si="0"/>
        <v/>
      </c>
      <c r="J61" s="411"/>
      <c r="K61" s="411"/>
    </row>
    <row r="62" spans="1:11" s="299" customFormat="1" ht="11.4" customHeight="1">
      <c r="A62" s="667" t="s">
        <v>497</v>
      </c>
      <c r="B62" s="668"/>
      <c r="C62" s="669">
        <v>5.9037800000000002</v>
      </c>
      <c r="D62" s="669">
        <v>0</v>
      </c>
      <c r="E62" s="669">
        <v>5.9037800000000002</v>
      </c>
      <c r="F62" s="793" t="str">
        <f t="shared" si="0"/>
        <v/>
      </c>
      <c r="J62" s="411"/>
      <c r="K62" s="411"/>
    </row>
    <row r="63" spans="1:11" s="299" customFormat="1" ht="11.4" customHeight="1">
      <c r="A63" s="666" t="s">
        <v>234</v>
      </c>
      <c r="B63" s="533" t="s">
        <v>69</v>
      </c>
      <c r="C63" s="656">
        <v>4.9035500000000001</v>
      </c>
      <c r="D63" s="656">
        <v>5.5860000000000003</v>
      </c>
      <c r="E63" s="656">
        <v>4.9035500000000001</v>
      </c>
      <c r="F63" s="792">
        <f t="shared" si="0"/>
        <v>-0.12217150017901901</v>
      </c>
      <c r="J63" s="411"/>
      <c r="K63" s="411"/>
    </row>
    <row r="64" spans="1:11" s="299" customFormat="1" ht="11.4" customHeight="1">
      <c r="A64" s="666"/>
      <c r="B64" s="533" t="s">
        <v>313</v>
      </c>
      <c r="C64" s="656">
        <v>233.89415</v>
      </c>
      <c r="D64" s="656">
        <v>255.13400000000001</v>
      </c>
      <c r="E64" s="656">
        <v>233.89415</v>
      </c>
      <c r="F64" s="792">
        <f t="shared" si="0"/>
        <v>-8.3249782467252564E-2</v>
      </c>
      <c r="J64" s="411"/>
      <c r="K64" s="411"/>
    </row>
    <row r="65" spans="1:11" s="299" customFormat="1" ht="11.4" customHeight="1">
      <c r="A65" s="666"/>
      <c r="B65" s="533" t="s">
        <v>314</v>
      </c>
      <c r="C65" s="656">
        <v>90.122640000000004</v>
      </c>
      <c r="D65" s="656">
        <v>92.557000000000002</v>
      </c>
      <c r="E65" s="656">
        <v>90.122640000000004</v>
      </c>
      <c r="F65" s="792">
        <f t="shared" si="0"/>
        <v>-2.6301198180580632E-2</v>
      </c>
      <c r="J65" s="411"/>
      <c r="K65" s="411"/>
    </row>
    <row r="66" spans="1:11" s="299" customFormat="1" ht="11.4" customHeight="1">
      <c r="A66" s="666"/>
      <c r="B66" s="533" t="s">
        <v>60</v>
      </c>
      <c r="C66" s="656">
        <v>9.9670699999999997</v>
      </c>
      <c r="D66" s="656">
        <v>9.7219999999999995</v>
      </c>
      <c r="E66" s="656">
        <v>9.9670699999999997</v>
      </c>
      <c r="F66" s="792">
        <f t="shared" si="0"/>
        <v>2.520777617774117E-2</v>
      </c>
      <c r="J66" s="411"/>
      <c r="K66" s="411"/>
    </row>
    <row r="67" spans="1:11" s="299" customFormat="1" ht="11.4" customHeight="1">
      <c r="A67" s="667" t="s">
        <v>498</v>
      </c>
      <c r="B67" s="668"/>
      <c r="C67" s="669">
        <v>338.88740999999999</v>
      </c>
      <c r="D67" s="669">
        <v>362.99900000000002</v>
      </c>
      <c r="E67" s="669">
        <v>338.88740999999999</v>
      </c>
      <c r="F67" s="793">
        <f t="shared" si="0"/>
        <v>-6.6423295931944848E-2</v>
      </c>
      <c r="J67" s="411"/>
      <c r="K67" s="411"/>
    </row>
    <row r="68" spans="1:11" s="299" customFormat="1" ht="11.4" customHeight="1">
      <c r="A68" s="666" t="s">
        <v>235</v>
      </c>
      <c r="B68" s="533" t="s">
        <v>76</v>
      </c>
      <c r="C68" s="656">
        <v>16.313020000000002</v>
      </c>
      <c r="D68" s="656">
        <v>13.748060000000001</v>
      </c>
      <c r="E68" s="656">
        <v>16.313020000000002</v>
      </c>
      <c r="F68" s="792">
        <f t="shared" si="0"/>
        <v>0.186568868625828</v>
      </c>
      <c r="J68" s="411"/>
      <c r="K68" s="411"/>
    </row>
    <row r="69" spans="1:11" s="299" customFormat="1" ht="11.4" customHeight="1">
      <c r="A69" s="667" t="s">
        <v>499</v>
      </c>
      <c r="B69" s="668"/>
      <c r="C69" s="669">
        <v>16.313020000000002</v>
      </c>
      <c r="D69" s="669">
        <v>13.748060000000001</v>
      </c>
      <c r="E69" s="669">
        <v>16.313020000000002</v>
      </c>
      <c r="F69" s="793">
        <f t="shared" si="0"/>
        <v>0.186568868625828</v>
      </c>
      <c r="J69" s="411"/>
      <c r="K69" s="411"/>
    </row>
    <row r="70" spans="1:11" s="299" customFormat="1" ht="11.4" customHeight="1">
      <c r="A70" s="666" t="s">
        <v>97</v>
      </c>
      <c r="B70" s="533" t="s">
        <v>74</v>
      </c>
      <c r="C70" s="656">
        <v>45.714469999999999</v>
      </c>
      <c r="D70" s="656">
        <v>43.980359999999997</v>
      </c>
      <c r="E70" s="656">
        <v>45.714469999999999</v>
      </c>
      <c r="F70" s="792">
        <f t="shared" si="0"/>
        <v>3.9429190666015579E-2</v>
      </c>
      <c r="J70" s="411"/>
      <c r="K70" s="411"/>
    </row>
    <row r="71" spans="1:11" ht="11.4" customHeight="1">
      <c r="A71" s="794" t="s">
        <v>500</v>
      </c>
      <c r="B71" s="795"/>
      <c r="C71" s="796">
        <v>45.714469999999999</v>
      </c>
      <c r="D71" s="796">
        <v>43.980359999999997</v>
      </c>
      <c r="E71" s="796">
        <v>45.714469999999999</v>
      </c>
      <c r="F71" s="797">
        <f t="shared" ref="F71" si="1">+IF(D71=0,"",C71/D71-1)</f>
        <v>3.9429190666015579E-2</v>
      </c>
    </row>
    <row r="72" spans="1:11">
      <c r="A72" s="274"/>
      <c r="B72" s="274"/>
      <c r="C72" s="274"/>
      <c r="D72" s="274"/>
      <c r="E72" s="274"/>
      <c r="F72" s="670"/>
    </row>
    <row r="73" spans="1:11">
      <c r="F73" s="621"/>
    </row>
    <row r="74" spans="1:11">
      <c r="F74" s="621"/>
    </row>
    <row r="75" spans="1:11">
      <c r="F75" s="621"/>
    </row>
    <row r="76" spans="1:11">
      <c r="F76" s="621"/>
    </row>
    <row r="77" spans="1:11">
      <c r="F77" s="621"/>
    </row>
  </sheetData>
  <mergeCells count="3">
    <mergeCell ref="A1:A4"/>
    <mergeCell ref="B1:B4"/>
    <mergeCell ref="C1:F1"/>
  </mergeCells>
  <pageMargins left="0.4365" right="0.33950000000000002" top="0.88916666666666666" bottom="0.53349999999999997"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V66"/>
  <sheetViews>
    <sheetView showGridLines="0" view="pageBreakPreview" zoomScaleNormal="100" zoomScaleSheetLayoutView="100" zoomScalePageLayoutView="90" workbookViewId="0">
      <selection activeCell="A60" sqref="A60:F60"/>
    </sheetView>
  </sheetViews>
  <sheetFormatPr baseColWidth="10" defaultColWidth="9.28515625" defaultRowHeight="9.6"/>
  <cols>
    <col min="1" max="1" width="27" style="270" customWidth="1"/>
    <col min="2" max="2" width="22.7109375" style="270" customWidth="1"/>
    <col min="3" max="3" width="16.42578125" style="270" customWidth="1"/>
    <col min="4" max="4" width="17.7109375" style="270" customWidth="1"/>
    <col min="5" max="5" width="15.140625" style="270" customWidth="1"/>
    <col min="6" max="6" width="12.85546875" style="270" customWidth="1"/>
    <col min="7" max="16384" width="9.28515625" style="270"/>
  </cols>
  <sheetData>
    <row r="1" spans="1:6" s="299" customFormat="1" ht="11.25" customHeight="1">
      <c r="A1" s="949" t="s">
        <v>243</v>
      </c>
      <c r="B1" s="950" t="s">
        <v>52</v>
      </c>
      <c r="C1" s="950" t="s">
        <v>337</v>
      </c>
      <c r="D1" s="950"/>
      <c r="E1" s="950"/>
      <c r="F1" s="951"/>
    </row>
    <row r="2" spans="1:6" s="299" customFormat="1" ht="11.25" customHeight="1">
      <c r="A2" s="943"/>
      <c r="B2" s="946"/>
      <c r="C2" s="389" t="str">
        <f>UPPER('1. Resumen'!Q4)&amp;" "&amp;'1. Resumen'!Q5</f>
        <v>FEBRERO 2023</v>
      </c>
      <c r="D2" s="390" t="str">
        <f>UPPER('1. Resumen'!Q4)&amp;" "&amp;'1. Resumen'!Q5-1</f>
        <v>FEBRERO 2022</v>
      </c>
      <c r="E2" s="390">
        <v>2023</v>
      </c>
      <c r="F2" s="501" t="s">
        <v>589</v>
      </c>
    </row>
    <row r="3" spans="1:6" s="299" customFormat="1" ht="11.25" customHeight="1">
      <c r="A3" s="943"/>
      <c r="B3" s="946"/>
      <c r="C3" s="391">
        <f>'21. ANEXOII-1'!C4</f>
        <v>44959.71875</v>
      </c>
      <c r="D3" s="391">
        <f>'21. ANEXOII-1'!D4</f>
        <v>44614.822916666664</v>
      </c>
      <c r="E3" s="391">
        <f>'21. ANEXOII-1'!E4</f>
        <v>44959.71875</v>
      </c>
      <c r="F3" s="502" t="s">
        <v>334</v>
      </c>
    </row>
    <row r="4" spans="1:6" s="299" customFormat="1" ht="11.25" customHeight="1">
      <c r="A4" s="944"/>
      <c r="B4" s="947"/>
      <c r="C4" s="392">
        <f>+'8. Max Potencia'!D9</f>
        <v>44959.71875</v>
      </c>
      <c r="D4" s="392">
        <f>+'8. Max Potencia'!E9</f>
        <v>44614.822916666664</v>
      </c>
      <c r="E4" s="392">
        <f>+'22. ANEXOII-2'!E4</f>
        <v>44959.71875</v>
      </c>
      <c r="F4" s="503" t="s">
        <v>335</v>
      </c>
    </row>
    <row r="5" spans="1:6" s="299" customFormat="1" ht="9" customHeight="1">
      <c r="A5" s="798" t="s">
        <v>105</v>
      </c>
      <c r="B5" s="799" t="s">
        <v>225</v>
      </c>
      <c r="C5" s="800">
        <v>6.8206699999999998</v>
      </c>
      <c r="D5" s="800">
        <v>0</v>
      </c>
      <c r="E5" s="800">
        <v>6.8206699999999998</v>
      </c>
      <c r="F5" s="801" t="str">
        <f t="shared" ref="F5:F54" si="0">+IF(D5=0,"",C5/D5-1)</f>
        <v/>
      </c>
    </row>
    <row r="6" spans="1:6" s="299" customFormat="1" ht="9" customHeight="1">
      <c r="A6" s="521" t="s">
        <v>501</v>
      </c>
      <c r="B6" s="400"/>
      <c r="C6" s="401">
        <v>6.8206699999999998</v>
      </c>
      <c r="D6" s="401">
        <v>0</v>
      </c>
      <c r="E6" s="401">
        <v>6.8206699999999998</v>
      </c>
      <c r="F6" s="786" t="str">
        <f t="shared" si="0"/>
        <v/>
      </c>
    </row>
    <row r="7" spans="1:6" s="299" customFormat="1" ht="9" customHeight="1">
      <c r="A7" s="520" t="s">
        <v>393</v>
      </c>
      <c r="B7" s="299" t="s">
        <v>83</v>
      </c>
      <c r="C7" s="493">
        <v>1.1706000000000001</v>
      </c>
      <c r="D7" s="493">
        <v>2.8462000000000001</v>
      </c>
      <c r="E7" s="493">
        <v>1.1706000000000001</v>
      </c>
      <c r="F7" s="787">
        <f t="shared" si="0"/>
        <v>-0.58871477759820112</v>
      </c>
    </row>
    <row r="8" spans="1:6" s="299" customFormat="1" ht="9" customHeight="1">
      <c r="A8" s="520"/>
      <c r="B8" s="299" t="s">
        <v>82</v>
      </c>
      <c r="C8" s="493">
        <v>4.3773</v>
      </c>
      <c r="D8" s="493">
        <v>2.911</v>
      </c>
      <c r="E8" s="493">
        <v>4.3773</v>
      </c>
      <c r="F8" s="787">
        <f t="shared" si="0"/>
        <v>0.50371006526966666</v>
      </c>
    </row>
    <row r="9" spans="1:6" s="299" customFormat="1" ht="9" customHeight="1">
      <c r="A9" s="520"/>
      <c r="B9" s="299" t="s">
        <v>407</v>
      </c>
      <c r="C9" s="493">
        <v>2.4011</v>
      </c>
      <c r="D9" s="493">
        <v>2.4030999999999998</v>
      </c>
      <c r="E9" s="493">
        <v>2.4011</v>
      </c>
      <c r="F9" s="787">
        <f t="shared" si="0"/>
        <v>-8.3225833298650187E-4</v>
      </c>
    </row>
    <row r="10" spans="1:6" s="299" customFormat="1" ht="9" customHeight="1">
      <c r="A10" s="520"/>
      <c r="B10" s="299" t="s">
        <v>442</v>
      </c>
      <c r="C10" s="493">
        <v>2.0017</v>
      </c>
      <c r="D10" s="493">
        <v>2.1562999999999999</v>
      </c>
      <c r="E10" s="493">
        <v>2.0017</v>
      </c>
      <c r="F10" s="787">
        <f t="shared" si="0"/>
        <v>-7.1696888188099939E-2</v>
      </c>
    </row>
    <row r="11" spans="1:6" s="299" customFormat="1" ht="9" customHeight="1">
      <c r="A11" s="521" t="s">
        <v>502</v>
      </c>
      <c r="B11" s="400"/>
      <c r="C11" s="401">
        <v>9.9506999999999994</v>
      </c>
      <c r="D11" s="401">
        <v>10.316599999999999</v>
      </c>
      <c r="E11" s="401">
        <v>9.9506999999999994</v>
      </c>
      <c r="F11" s="786">
        <f t="shared" si="0"/>
        <v>-3.5467111257584838E-2</v>
      </c>
    </row>
    <row r="12" spans="1:6" s="299" customFormat="1" ht="9" customHeight="1">
      <c r="A12" s="520" t="s">
        <v>236</v>
      </c>
      <c r="B12" s="299" t="s">
        <v>315</v>
      </c>
      <c r="C12" s="493">
        <v>0</v>
      </c>
      <c r="D12" s="493">
        <v>0</v>
      </c>
      <c r="E12" s="493">
        <v>0</v>
      </c>
      <c r="F12" s="787" t="str">
        <f t="shared" si="0"/>
        <v/>
      </c>
    </row>
    <row r="13" spans="1:6" s="299" customFormat="1" ht="9" customHeight="1">
      <c r="A13" s="521" t="s">
        <v>503</v>
      </c>
      <c r="B13" s="400"/>
      <c r="C13" s="401">
        <v>0</v>
      </c>
      <c r="D13" s="401">
        <v>0</v>
      </c>
      <c r="E13" s="401">
        <v>0</v>
      </c>
      <c r="F13" s="786" t="str">
        <f t="shared" si="0"/>
        <v/>
      </c>
    </row>
    <row r="14" spans="1:6" s="299" customFormat="1" ht="9" customHeight="1">
      <c r="A14" s="520" t="s">
        <v>446</v>
      </c>
      <c r="B14" s="299" t="s">
        <v>80</v>
      </c>
      <c r="C14" s="493">
        <v>0.51100000000000001</v>
      </c>
      <c r="D14" s="493">
        <v>0</v>
      </c>
      <c r="E14" s="493">
        <v>0.51100000000000001</v>
      </c>
      <c r="F14" s="787" t="str">
        <f t="shared" si="0"/>
        <v/>
      </c>
    </row>
    <row r="15" spans="1:6" s="299" customFormat="1" ht="9" customHeight="1">
      <c r="A15" s="521" t="s">
        <v>504</v>
      </c>
      <c r="B15" s="400"/>
      <c r="C15" s="401">
        <v>0.51100000000000001</v>
      </c>
      <c r="D15" s="401">
        <v>0</v>
      </c>
      <c r="E15" s="401">
        <v>0.51100000000000001</v>
      </c>
      <c r="F15" s="786" t="str">
        <f t="shared" si="0"/>
        <v/>
      </c>
    </row>
    <row r="16" spans="1:6" s="299" customFormat="1" ht="9" customHeight="1">
      <c r="A16" s="520" t="s">
        <v>422</v>
      </c>
      <c r="B16" s="299" t="s">
        <v>433</v>
      </c>
      <c r="C16" s="493">
        <v>19.980229999999999</v>
      </c>
      <c r="D16" s="493">
        <v>19.959029999999998</v>
      </c>
      <c r="E16" s="493">
        <v>19.980229999999999</v>
      </c>
      <c r="F16" s="787">
        <f t="shared" si="0"/>
        <v>1.0621758672642034E-3</v>
      </c>
    </row>
    <row r="17" spans="1:6" s="299" customFormat="1" ht="9" customHeight="1">
      <c r="A17" s="521" t="s">
        <v>505</v>
      </c>
      <c r="B17" s="400"/>
      <c r="C17" s="401">
        <v>19.980229999999999</v>
      </c>
      <c r="D17" s="401">
        <v>19.959029999999998</v>
      </c>
      <c r="E17" s="401">
        <v>19.980229999999999</v>
      </c>
      <c r="F17" s="786">
        <f t="shared" si="0"/>
        <v>1.0621758672642034E-3</v>
      </c>
    </row>
    <row r="18" spans="1:6" s="299" customFormat="1" ht="9" customHeight="1">
      <c r="A18" s="520" t="s">
        <v>102</v>
      </c>
      <c r="B18" s="299" t="s">
        <v>59</v>
      </c>
      <c r="C18" s="493">
        <v>18.830680000000001</v>
      </c>
      <c r="D18" s="493">
        <v>18.51557</v>
      </c>
      <c r="E18" s="493">
        <v>18.830680000000001</v>
      </c>
      <c r="F18" s="787">
        <f t="shared" si="0"/>
        <v>1.7018649709406697E-2</v>
      </c>
    </row>
    <row r="19" spans="1:6" s="299" customFormat="1" ht="9" customHeight="1">
      <c r="A19" s="521" t="s">
        <v>506</v>
      </c>
      <c r="B19" s="400"/>
      <c r="C19" s="401">
        <v>18.830680000000001</v>
      </c>
      <c r="D19" s="401">
        <v>18.51557</v>
      </c>
      <c r="E19" s="401">
        <v>18.830680000000001</v>
      </c>
      <c r="F19" s="786">
        <f t="shared" si="0"/>
        <v>1.7018649709406697E-2</v>
      </c>
    </row>
    <row r="20" spans="1:6" s="299" customFormat="1" ht="9" customHeight="1">
      <c r="A20" s="520" t="s">
        <v>237</v>
      </c>
      <c r="B20" s="299" t="s">
        <v>316</v>
      </c>
      <c r="C20" s="493">
        <v>0</v>
      </c>
      <c r="D20" s="493">
        <v>0</v>
      </c>
      <c r="E20" s="493">
        <v>0</v>
      </c>
      <c r="F20" s="787" t="str">
        <f t="shared" si="0"/>
        <v/>
      </c>
    </row>
    <row r="21" spans="1:6" s="299" customFormat="1" ht="9" customHeight="1">
      <c r="A21" s="521" t="s">
        <v>507</v>
      </c>
      <c r="B21" s="400"/>
      <c r="C21" s="401">
        <v>0</v>
      </c>
      <c r="D21" s="401">
        <v>0</v>
      </c>
      <c r="E21" s="401">
        <v>0</v>
      </c>
      <c r="F21" s="786" t="str">
        <f t="shared" si="0"/>
        <v/>
      </c>
    </row>
    <row r="22" spans="1:6" s="299" customFormat="1" ht="9" customHeight="1">
      <c r="A22" s="520" t="s">
        <v>93</v>
      </c>
      <c r="B22" s="299" t="s">
        <v>317</v>
      </c>
      <c r="C22" s="493">
        <v>109.95885000000001</v>
      </c>
      <c r="D22" s="493">
        <v>108.54145</v>
      </c>
      <c r="E22" s="493">
        <v>109.95885000000001</v>
      </c>
      <c r="F22" s="787">
        <f t="shared" si="0"/>
        <v>1.3058605721593119E-2</v>
      </c>
    </row>
    <row r="23" spans="1:6" s="299" customFormat="1" ht="9" customHeight="1">
      <c r="A23" s="520"/>
      <c r="B23" s="299" t="s">
        <v>585</v>
      </c>
      <c r="C23" s="493">
        <v>0</v>
      </c>
      <c r="D23" s="493">
        <v>2.1795900000000001</v>
      </c>
      <c r="E23" s="493">
        <v>0</v>
      </c>
      <c r="F23" s="787"/>
    </row>
    <row r="24" spans="1:6" s="299" customFormat="1" ht="9" customHeight="1">
      <c r="A24" s="521" t="s">
        <v>508</v>
      </c>
      <c r="B24" s="400"/>
      <c r="C24" s="401">
        <v>109.95885000000001</v>
      </c>
      <c r="D24" s="401">
        <v>110.72104</v>
      </c>
      <c r="E24" s="401">
        <v>109.95885000000001</v>
      </c>
      <c r="F24" s="786">
        <f t="shared" si="0"/>
        <v>-6.8838768132957195E-3</v>
      </c>
    </row>
    <row r="25" spans="1:6" s="299" customFormat="1" ht="9" customHeight="1">
      <c r="A25" s="520" t="s">
        <v>409</v>
      </c>
      <c r="B25" s="299" t="s">
        <v>438</v>
      </c>
      <c r="C25" s="493">
        <v>0</v>
      </c>
      <c r="D25" s="493">
        <v>0</v>
      </c>
      <c r="E25" s="493">
        <v>0</v>
      </c>
      <c r="F25" s="787" t="str">
        <f t="shared" si="0"/>
        <v/>
      </c>
    </row>
    <row r="26" spans="1:6" s="299" customFormat="1" ht="9" customHeight="1">
      <c r="A26" s="521" t="s">
        <v>509</v>
      </c>
      <c r="B26" s="400"/>
      <c r="C26" s="401">
        <v>0</v>
      </c>
      <c r="D26" s="401">
        <v>0</v>
      </c>
      <c r="E26" s="401">
        <v>0</v>
      </c>
      <c r="F26" s="786" t="str">
        <f t="shared" si="0"/>
        <v/>
      </c>
    </row>
    <row r="27" spans="1:6" s="299" customFormat="1" ht="9" customHeight="1">
      <c r="A27" s="520" t="s">
        <v>384</v>
      </c>
      <c r="B27" s="299" t="s">
        <v>388</v>
      </c>
      <c r="C27" s="493">
        <v>20.89264</v>
      </c>
      <c r="D27" s="493">
        <v>20.125959999999999</v>
      </c>
      <c r="E27" s="493">
        <v>20.89264</v>
      </c>
      <c r="F27" s="787">
        <f t="shared" si="0"/>
        <v>3.8094083462354211E-2</v>
      </c>
    </row>
    <row r="28" spans="1:6" s="299" customFormat="1" ht="9" customHeight="1">
      <c r="A28" s="521" t="s">
        <v>510</v>
      </c>
      <c r="B28" s="400"/>
      <c r="C28" s="401">
        <v>20.89264</v>
      </c>
      <c r="D28" s="401">
        <v>20.125959999999999</v>
      </c>
      <c r="E28" s="401">
        <v>20.89264</v>
      </c>
      <c r="F28" s="786">
        <f t="shared" si="0"/>
        <v>3.8094083462354211E-2</v>
      </c>
    </row>
    <row r="29" spans="1:6" s="299" customFormat="1" ht="9" customHeight="1">
      <c r="A29" s="520" t="s">
        <v>100</v>
      </c>
      <c r="B29" s="299" t="s">
        <v>630</v>
      </c>
      <c r="C29" s="493">
        <v>0</v>
      </c>
      <c r="D29" s="493">
        <v>26.05641</v>
      </c>
      <c r="E29" s="493">
        <v>0</v>
      </c>
      <c r="F29" s="787">
        <f t="shared" si="0"/>
        <v>-1</v>
      </c>
    </row>
    <row r="30" spans="1:6" s="299" customFormat="1" ht="9" customHeight="1">
      <c r="A30" s="521" t="s">
        <v>511</v>
      </c>
      <c r="B30" s="400"/>
      <c r="C30" s="401">
        <v>0</v>
      </c>
      <c r="D30" s="401">
        <v>26.05641</v>
      </c>
      <c r="E30" s="401">
        <v>0</v>
      </c>
      <c r="F30" s="786">
        <f t="shared" si="0"/>
        <v>-1</v>
      </c>
    </row>
    <row r="31" spans="1:6" s="299" customFormat="1" ht="9" customHeight="1">
      <c r="A31" s="520" t="s">
        <v>115</v>
      </c>
      <c r="B31" s="299" t="s">
        <v>318</v>
      </c>
      <c r="C31" s="493">
        <v>0</v>
      </c>
      <c r="D31" s="493">
        <v>0</v>
      </c>
      <c r="E31" s="493">
        <v>0</v>
      </c>
      <c r="F31" s="787" t="str">
        <f t="shared" si="0"/>
        <v/>
      </c>
    </row>
    <row r="32" spans="1:6" s="299" customFormat="1" ht="9" customHeight="1">
      <c r="A32" s="521" t="s">
        <v>512</v>
      </c>
      <c r="B32" s="400"/>
      <c r="C32" s="401">
        <v>0</v>
      </c>
      <c r="D32" s="401">
        <v>0</v>
      </c>
      <c r="E32" s="401">
        <v>0</v>
      </c>
      <c r="F32" s="786" t="str">
        <f t="shared" si="0"/>
        <v/>
      </c>
    </row>
    <row r="33" spans="1:6" s="299" customFormat="1" ht="9" customHeight="1">
      <c r="A33" s="520" t="s">
        <v>109</v>
      </c>
      <c r="B33" s="299" t="s">
        <v>434</v>
      </c>
      <c r="C33" s="493">
        <v>20.023940000000003</v>
      </c>
      <c r="D33" s="493">
        <v>19.968820000000001</v>
      </c>
      <c r="E33" s="493">
        <v>20.023940000000003</v>
      </c>
      <c r="F33" s="787">
        <f t="shared" si="0"/>
        <v>2.7603033128649201E-3</v>
      </c>
    </row>
    <row r="34" spans="1:6" s="299" customFormat="1" ht="9" customHeight="1">
      <c r="A34" s="520"/>
      <c r="B34" s="299" t="s">
        <v>67</v>
      </c>
      <c r="C34" s="493">
        <v>4.2210200000000002</v>
      </c>
      <c r="D34" s="493">
        <v>7.4912200000000002</v>
      </c>
      <c r="E34" s="493">
        <v>4.2210200000000002</v>
      </c>
      <c r="F34" s="787">
        <f t="shared" si="0"/>
        <v>-0.4365377068087708</v>
      </c>
    </row>
    <row r="35" spans="1:6" s="299" customFormat="1" ht="9" customHeight="1">
      <c r="A35" s="521" t="s">
        <v>513</v>
      </c>
      <c r="B35" s="400"/>
      <c r="C35" s="401">
        <v>24.244960000000003</v>
      </c>
      <c r="D35" s="401">
        <v>27.460039999999999</v>
      </c>
      <c r="E35" s="401">
        <v>24.244960000000003</v>
      </c>
      <c r="F35" s="786">
        <f t="shared" si="0"/>
        <v>-0.11708213098014408</v>
      </c>
    </row>
    <row r="36" spans="1:6" s="299" customFormat="1" ht="9" customHeight="1">
      <c r="A36" s="520" t="s">
        <v>88</v>
      </c>
      <c r="B36" s="299" t="s">
        <v>319</v>
      </c>
      <c r="C36" s="493">
        <v>43.795900000000003</v>
      </c>
      <c r="D36" s="493">
        <v>42.807389999999998</v>
      </c>
      <c r="E36" s="493">
        <v>43.795900000000003</v>
      </c>
      <c r="F36" s="787">
        <f t="shared" si="0"/>
        <v>2.3092040883595288E-2</v>
      </c>
    </row>
    <row r="37" spans="1:6" s="299" customFormat="1" ht="9" customHeight="1">
      <c r="A37" s="520"/>
      <c r="B37" s="299" t="s">
        <v>320</v>
      </c>
      <c r="C37" s="493">
        <v>40.177509999999998</v>
      </c>
      <c r="D37" s="493">
        <v>169.51241999999999</v>
      </c>
      <c r="E37" s="493">
        <v>40.177509999999998</v>
      </c>
      <c r="F37" s="787">
        <f t="shared" si="0"/>
        <v>-0.76298191011608474</v>
      </c>
    </row>
    <row r="38" spans="1:6" s="299" customFormat="1" ht="9" customHeight="1">
      <c r="A38" s="520"/>
      <c r="B38" s="299" t="s">
        <v>321</v>
      </c>
      <c r="C38" s="493">
        <v>22.42971</v>
      </c>
      <c r="D38" s="493">
        <v>31.3628</v>
      </c>
      <c r="E38" s="493">
        <v>22.42971</v>
      </c>
      <c r="F38" s="787">
        <f t="shared" si="0"/>
        <v>-0.28483075490708742</v>
      </c>
    </row>
    <row r="39" spans="1:6" s="299" customFormat="1" ht="9" customHeight="1">
      <c r="A39" s="520"/>
      <c r="B39" s="299" t="s">
        <v>322</v>
      </c>
      <c r="C39" s="493">
        <v>0</v>
      </c>
      <c r="D39" s="493">
        <v>0.21573999999999999</v>
      </c>
      <c r="E39" s="493">
        <v>0</v>
      </c>
      <c r="F39" s="787">
        <f t="shared" si="0"/>
        <v>-1</v>
      </c>
    </row>
    <row r="40" spans="1:6" s="299" customFormat="1" ht="9" customHeight="1">
      <c r="A40" s="520"/>
      <c r="B40" s="299" t="s">
        <v>323</v>
      </c>
      <c r="C40" s="493">
        <v>7.4420999999999999</v>
      </c>
      <c r="D40" s="493">
        <v>43.877959999999995</v>
      </c>
      <c r="E40" s="493">
        <v>7.4420999999999999</v>
      </c>
      <c r="F40" s="787">
        <f t="shared" si="0"/>
        <v>-0.83039092975151985</v>
      </c>
    </row>
    <row r="41" spans="1:6" s="299" customFormat="1" ht="9" customHeight="1">
      <c r="A41" s="520"/>
      <c r="B41" s="299" t="s">
        <v>324</v>
      </c>
      <c r="C41" s="493">
        <v>3.8185600000000002</v>
      </c>
      <c r="D41" s="493">
        <v>3.8429899999999999</v>
      </c>
      <c r="E41" s="493">
        <v>3.8185600000000002</v>
      </c>
      <c r="F41" s="787">
        <f t="shared" si="0"/>
        <v>-6.3570292922957572E-3</v>
      </c>
    </row>
    <row r="42" spans="1:6" s="299" customFormat="1" ht="9" customHeight="1">
      <c r="A42" s="520"/>
      <c r="B42" s="299" t="s">
        <v>325</v>
      </c>
      <c r="C42" s="493">
        <v>7.7198399999999996</v>
      </c>
      <c r="D42" s="493">
        <v>8.15076</v>
      </c>
      <c r="E42" s="493">
        <v>7.7198399999999996</v>
      </c>
      <c r="F42" s="787">
        <f t="shared" si="0"/>
        <v>-5.2868689545514824E-2</v>
      </c>
    </row>
    <row r="43" spans="1:6" s="299" customFormat="1" ht="9" customHeight="1">
      <c r="A43" s="520"/>
      <c r="B43" s="299" t="s">
        <v>326</v>
      </c>
      <c r="C43" s="493">
        <v>0</v>
      </c>
      <c r="D43" s="493">
        <v>0</v>
      </c>
      <c r="E43" s="493">
        <v>0</v>
      </c>
      <c r="F43" s="787" t="str">
        <f t="shared" si="0"/>
        <v/>
      </c>
    </row>
    <row r="44" spans="1:6" s="299" customFormat="1" ht="9" customHeight="1">
      <c r="A44" s="520"/>
      <c r="B44" s="299" t="s">
        <v>327</v>
      </c>
      <c r="C44" s="493">
        <v>3.9209400000000003</v>
      </c>
      <c r="D44" s="493">
        <v>3.6586699999999999</v>
      </c>
      <c r="E44" s="493">
        <v>3.9209400000000003</v>
      </c>
      <c r="F44" s="787">
        <f t="shared" si="0"/>
        <v>7.168451923786523E-2</v>
      </c>
    </row>
    <row r="45" spans="1:6" s="299" customFormat="1" ht="9" customHeight="1">
      <c r="A45" s="520"/>
      <c r="B45" s="299" t="s">
        <v>328</v>
      </c>
      <c r="C45" s="493">
        <v>0.50044999999999995</v>
      </c>
      <c r="D45" s="493">
        <v>0.43784000000000001</v>
      </c>
      <c r="E45" s="493">
        <v>0.50044999999999995</v>
      </c>
      <c r="F45" s="787">
        <f t="shared" si="0"/>
        <v>0.14299744198794073</v>
      </c>
    </row>
    <row r="46" spans="1:6" s="299" customFormat="1" ht="9" customHeight="1">
      <c r="A46" s="520"/>
      <c r="B46" s="299" t="s">
        <v>329</v>
      </c>
      <c r="C46" s="493">
        <v>0.36009999999999998</v>
      </c>
      <c r="D46" s="493">
        <v>0.32530999999999999</v>
      </c>
      <c r="E46" s="493">
        <v>0.36009999999999998</v>
      </c>
      <c r="F46" s="787">
        <f t="shared" si="0"/>
        <v>0.10694414558421195</v>
      </c>
    </row>
    <row r="47" spans="1:6" s="299" customFormat="1" ht="9" customHeight="1">
      <c r="A47" s="520"/>
      <c r="B47" s="299" t="s">
        <v>330</v>
      </c>
      <c r="C47" s="493">
        <v>85.839130000000011</v>
      </c>
      <c r="D47" s="493">
        <v>105.19221999999999</v>
      </c>
      <c r="E47" s="493">
        <v>85.839130000000011</v>
      </c>
      <c r="F47" s="787">
        <f t="shared" si="0"/>
        <v>-0.18397833984300338</v>
      </c>
    </row>
    <row r="48" spans="1:6" s="299" customFormat="1" ht="9" customHeight="1">
      <c r="A48" s="521" t="s">
        <v>514</v>
      </c>
      <c r="B48" s="400"/>
      <c r="C48" s="401">
        <v>216.00424000000001</v>
      </c>
      <c r="D48" s="401">
        <v>409.38409999999988</v>
      </c>
      <c r="E48" s="401">
        <v>216.00424000000001</v>
      </c>
      <c r="F48" s="786">
        <f t="shared" si="0"/>
        <v>-0.47236778370239574</v>
      </c>
    </row>
    <row r="49" spans="1:22" s="299" customFormat="1" ht="9" customHeight="1">
      <c r="A49" s="520" t="s">
        <v>107</v>
      </c>
      <c r="B49" s="299" t="s">
        <v>224</v>
      </c>
      <c r="C49" s="493">
        <v>2.0389999999999998E-2</v>
      </c>
      <c r="D49" s="493">
        <v>0</v>
      </c>
      <c r="E49" s="493">
        <v>2.0389999999999998E-2</v>
      </c>
      <c r="F49" s="787" t="str">
        <f t="shared" si="0"/>
        <v/>
      </c>
    </row>
    <row r="50" spans="1:22" s="299" customFormat="1" ht="9" customHeight="1">
      <c r="A50" s="521" t="s">
        <v>515</v>
      </c>
      <c r="B50" s="400"/>
      <c r="C50" s="401">
        <v>2.0389999999999998E-2</v>
      </c>
      <c r="D50" s="401">
        <v>0</v>
      </c>
      <c r="E50" s="401">
        <v>2.0389999999999998E-2</v>
      </c>
      <c r="F50" s="786" t="str">
        <f t="shared" si="0"/>
        <v/>
      </c>
    </row>
    <row r="51" spans="1:22" s="299" customFormat="1" ht="9" customHeight="1">
      <c r="A51" s="520" t="s">
        <v>98</v>
      </c>
      <c r="B51" s="299" t="s">
        <v>411</v>
      </c>
      <c r="C51" s="493">
        <v>278.49730999999997</v>
      </c>
      <c r="D51" s="493">
        <v>282.49957000000001</v>
      </c>
      <c r="E51" s="493">
        <v>278.49730999999997</v>
      </c>
      <c r="F51" s="787">
        <f t="shared" si="0"/>
        <v>-1.4167313599804943E-2</v>
      </c>
    </row>
    <row r="52" spans="1:22" s="299" customFormat="1" ht="9" customHeight="1">
      <c r="A52" s="521" t="s">
        <v>516</v>
      </c>
      <c r="B52" s="400"/>
      <c r="C52" s="401">
        <v>278.49730999999997</v>
      </c>
      <c r="D52" s="401">
        <v>282.49957000000001</v>
      </c>
      <c r="E52" s="401">
        <v>278.49730999999997</v>
      </c>
      <c r="F52" s="786">
        <f t="shared" si="0"/>
        <v>-1.4167313599804943E-2</v>
      </c>
    </row>
    <row r="53" spans="1:22" s="299" customFormat="1" ht="9" customHeight="1">
      <c r="A53" s="520" t="s">
        <v>103</v>
      </c>
      <c r="B53" s="299" t="s">
        <v>331</v>
      </c>
      <c r="C53" s="493">
        <v>60.794280000000001</v>
      </c>
      <c r="D53" s="493">
        <v>0</v>
      </c>
      <c r="E53" s="493">
        <v>60.794280000000001</v>
      </c>
      <c r="F53" s="787" t="str">
        <f t="shared" si="0"/>
        <v/>
      </c>
    </row>
    <row r="54" spans="1:22" s="299" customFormat="1" ht="9" customHeight="1">
      <c r="A54" s="802" t="s">
        <v>517</v>
      </c>
      <c r="B54" s="803"/>
      <c r="C54" s="804">
        <v>60.794280000000001</v>
      </c>
      <c r="D54" s="804">
        <v>0</v>
      </c>
      <c r="E54" s="804">
        <v>60.794280000000001</v>
      </c>
      <c r="F54" s="805" t="str">
        <f t="shared" si="0"/>
        <v/>
      </c>
    </row>
    <row r="55" spans="1:22" s="326" customFormat="1" ht="12" customHeight="1">
      <c r="A55" s="499" t="s">
        <v>386</v>
      </c>
      <c r="B55" s="506"/>
      <c r="C55" s="806">
        <v>7397.0539199999985</v>
      </c>
      <c r="D55" s="806">
        <v>7146.7645799999946</v>
      </c>
      <c r="E55" s="806">
        <v>7389.7757799999981</v>
      </c>
      <c r="F55" s="807">
        <f>+IF(D55=0,"",C55/D55-1)</f>
        <v>3.5021349478955965E-2</v>
      </c>
      <c r="G55" s="270"/>
      <c r="H55" s="270"/>
      <c r="I55" s="270"/>
      <c r="J55" s="270"/>
      <c r="K55" s="270"/>
      <c r="L55" s="270"/>
      <c r="M55" s="270"/>
      <c r="N55" s="270"/>
      <c r="O55" s="270"/>
      <c r="P55" s="270"/>
      <c r="Q55" s="270"/>
      <c r="R55" s="270"/>
      <c r="S55" s="270"/>
      <c r="T55" s="270"/>
      <c r="U55" s="270"/>
      <c r="V55" s="270"/>
    </row>
    <row r="56" spans="1:22" s="326" customFormat="1" ht="12" customHeight="1">
      <c r="A56" s="395" t="s">
        <v>332</v>
      </c>
      <c r="B56" s="386"/>
      <c r="C56" s="385">
        <f>+'8. Max Potencia'!D16</f>
        <v>0</v>
      </c>
      <c r="D56" s="385">
        <f>+'8. Max Potencia'!E16</f>
        <v>0</v>
      </c>
      <c r="E56" s="388">
        <v>0</v>
      </c>
      <c r="F56" s="505">
        <v>0</v>
      </c>
      <c r="G56" s="270"/>
      <c r="H56" s="270"/>
      <c r="I56" s="270"/>
      <c r="J56" s="270"/>
      <c r="K56" s="270"/>
      <c r="L56" s="270"/>
      <c r="M56" s="270"/>
      <c r="N56" s="270"/>
      <c r="O56" s="270"/>
      <c r="P56" s="270"/>
      <c r="Q56" s="270"/>
      <c r="R56" s="270"/>
      <c r="S56" s="270"/>
      <c r="T56" s="270"/>
      <c r="U56" s="270"/>
      <c r="V56" s="270"/>
    </row>
    <row r="57" spans="1:22" s="326" customFormat="1" ht="12" customHeight="1">
      <c r="A57" s="506" t="s">
        <v>333</v>
      </c>
      <c r="B57" s="506"/>
      <c r="C57" s="385">
        <v>0</v>
      </c>
      <c r="D57" s="385">
        <v>0</v>
      </c>
      <c r="E57" s="388">
        <v>0</v>
      </c>
      <c r="F57" s="505">
        <v>0</v>
      </c>
      <c r="G57" s="270"/>
      <c r="H57" s="270"/>
      <c r="I57" s="270"/>
      <c r="J57" s="270"/>
      <c r="K57" s="270"/>
      <c r="L57" s="270"/>
      <c r="M57" s="270"/>
      <c r="N57" s="270"/>
      <c r="O57" s="270"/>
      <c r="P57" s="270"/>
      <c r="Q57" s="270"/>
      <c r="R57" s="270"/>
      <c r="S57" s="270"/>
      <c r="T57" s="270"/>
      <c r="U57" s="270"/>
      <c r="V57" s="270"/>
    </row>
    <row r="58" spans="1:22" ht="12" customHeight="1">
      <c r="A58" s="543" t="s">
        <v>428</v>
      </c>
      <c r="B58" s="506"/>
      <c r="C58" s="385">
        <f>+C55+C56-C57</f>
        <v>7397.0539199999985</v>
      </c>
      <c r="D58" s="385">
        <f>+D55+D56-D57</f>
        <v>7146.7645799999946</v>
      </c>
      <c r="E58" s="385">
        <f>+E55+E56-E57</f>
        <v>7389.7757799999981</v>
      </c>
      <c r="F58" s="504">
        <f>+IF(D58=0,"",C58/D58-1)</f>
        <v>3.5021349478955965E-2</v>
      </c>
    </row>
    <row r="59" spans="1:22" ht="7.2" customHeight="1">
      <c r="A59" s="299"/>
    </row>
    <row r="60" spans="1:22" ht="27.75" customHeight="1">
      <c r="A60" s="941" t="s">
        <v>525</v>
      </c>
      <c r="B60" s="941"/>
      <c r="C60" s="941"/>
      <c r="D60" s="941"/>
      <c r="E60" s="941"/>
      <c r="F60" s="941"/>
    </row>
    <row r="61" spans="1:22" ht="7.95" customHeight="1">
      <c r="A61" s="952"/>
      <c r="B61" s="952"/>
      <c r="C61" s="952"/>
      <c r="D61" s="952"/>
      <c r="E61" s="952"/>
      <c r="F61" s="952"/>
      <c r="G61" s="533"/>
    </row>
    <row r="62" spans="1:22" ht="11.25" customHeight="1">
      <c r="A62" s="728" t="s">
        <v>586</v>
      </c>
      <c r="B62" s="706"/>
      <c r="C62" s="706"/>
      <c r="D62" s="706"/>
      <c r="E62" s="706"/>
      <c r="F62" s="706"/>
      <c r="G62" s="533"/>
    </row>
    <row r="63" spans="1:22" ht="11.25" customHeight="1">
      <c r="A63" s="533" t="s">
        <v>629</v>
      </c>
      <c r="B63" s="706"/>
      <c r="C63" s="706"/>
      <c r="D63" s="706"/>
      <c r="E63" s="706"/>
      <c r="F63" s="706"/>
      <c r="G63" s="533"/>
    </row>
    <row r="64" spans="1:22" ht="11.25" customHeight="1">
      <c r="A64" s="533"/>
      <c r="B64" s="706"/>
      <c r="C64" s="706"/>
      <c r="D64" s="706"/>
      <c r="E64" s="706"/>
      <c r="F64" s="706"/>
      <c r="G64" s="533"/>
    </row>
    <row r="65" spans="1:7" ht="10.199999999999999" customHeight="1">
      <c r="A65" s="533"/>
      <c r="B65" s="706"/>
      <c r="C65" s="706"/>
      <c r="D65" s="706"/>
      <c r="E65" s="706"/>
      <c r="F65" s="706"/>
      <c r="G65" s="533"/>
    </row>
    <row r="66" spans="1:7">
      <c r="A66" s="533"/>
    </row>
  </sheetData>
  <mergeCells count="5">
    <mergeCell ref="A1:A4"/>
    <mergeCell ref="B1:B4"/>
    <mergeCell ref="C1:F1"/>
    <mergeCell ref="A60:F60"/>
    <mergeCell ref="A61:F61"/>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50"/>
  <sheetViews>
    <sheetView showGridLines="0" view="pageBreakPreview" zoomScaleNormal="100" zoomScaleSheetLayoutView="100" zoomScalePageLayoutView="90" workbookViewId="0">
      <selection activeCell="C15" sqref="C15"/>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3" t="s">
        <v>345</v>
      </c>
      <c r="B3" s="271"/>
    </row>
    <row r="4" spans="1:13" ht="11.25" customHeight="1">
      <c r="B4" s="271"/>
    </row>
    <row r="5" spans="1:13" ht="11.25" customHeight="1">
      <c r="A5" s="272" t="s">
        <v>391</v>
      </c>
      <c r="C5" s="271">
        <v>7397.0539200000003</v>
      </c>
    </row>
    <row r="6" spans="1:13" ht="11.25" customHeight="1">
      <c r="A6" s="272" t="s">
        <v>346</v>
      </c>
      <c r="C6" s="271" t="s">
        <v>631</v>
      </c>
    </row>
    <row r="7" spans="1:13" ht="11.25" customHeight="1">
      <c r="A7" s="272" t="s">
        <v>347</v>
      </c>
      <c r="C7" s="271" t="s">
        <v>632</v>
      </c>
    </row>
    <row r="8" spans="1:13" ht="11.25" customHeight="1"/>
    <row r="9" spans="1:13" ht="14.25" customHeight="1">
      <c r="A9" s="953" t="s">
        <v>338</v>
      </c>
      <c r="B9" s="956" t="s">
        <v>339</v>
      </c>
      <c r="C9" s="957"/>
      <c r="D9" s="957"/>
      <c r="E9" s="957"/>
      <c r="F9" s="958"/>
      <c r="G9" s="956" t="s">
        <v>340</v>
      </c>
      <c r="H9" s="957"/>
      <c r="I9" s="957"/>
      <c r="J9" s="957"/>
      <c r="K9" s="958"/>
    </row>
    <row r="10" spans="1:13" ht="26.25" customHeight="1">
      <c r="A10" s="954"/>
      <c r="B10" s="393" t="s">
        <v>341</v>
      </c>
      <c r="C10" s="393" t="s">
        <v>192</v>
      </c>
      <c r="D10" s="393" t="s">
        <v>332</v>
      </c>
      <c r="E10" s="393" t="s">
        <v>333</v>
      </c>
      <c r="F10" s="394" t="s">
        <v>344</v>
      </c>
      <c r="G10" s="393" t="s">
        <v>341</v>
      </c>
      <c r="H10" s="393" t="s">
        <v>192</v>
      </c>
      <c r="I10" s="393" t="s">
        <v>332</v>
      </c>
      <c r="J10" s="393" t="s">
        <v>333</v>
      </c>
      <c r="K10" s="394" t="s">
        <v>344</v>
      </c>
      <c r="L10" s="36"/>
      <c r="M10" s="46"/>
    </row>
    <row r="11" spans="1:13" ht="11.25" customHeight="1">
      <c r="A11" s="955"/>
      <c r="B11" s="393" t="s">
        <v>342</v>
      </c>
      <c r="C11" s="393" t="s">
        <v>343</v>
      </c>
      <c r="D11" s="393" t="s">
        <v>343</v>
      </c>
      <c r="E11" s="393" t="s">
        <v>343</v>
      </c>
      <c r="F11" s="393" t="s">
        <v>343</v>
      </c>
      <c r="G11" s="393" t="s">
        <v>342</v>
      </c>
      <c r="H11" s="393" t="s">
        <v>343</v>
      </c>
      <c r="I11" s="393" t="s">
        <v>343</v>
      </c>
      <c r="J11" s="393" t="s">
        <v>343</v>
      </c>
      <c r="K11" s="393" t="s">
        <v>343</v>
      </c>
      <c r="L11" s="36"/>
      <c r="M11" s="46"/>
    </row>
    <row r="12" spans="1:13" ht="15" customHeight="1">
      <c r="A12" s="777" t="s">
        <v>633</v>
      </c>
      <c r="B12" s="778" t="s">
        <v>563</v>
      </c>
      <c r="C12" s="778">
        <v>7556.3810100000001</v>
      </c>
      <c r="D12" s="778">
        <v>0</v>
      </c>
      <c r="E12" s="778">
        <v>0</v>
      </c>
      <c r="F12" s="778">
        <v>7556.3810100000001</v>
      </c>
      <c r="G12" s="778" t="s">
        <v>632</v>
      </c>
      <c r="H12" s="778">
        <v>7317.0998099999997</v>
      </c>
      <c r="I12" s="778">
        <v>0</v>
      </c>
      <c r="J12" s="778">
        <v>0</v>
      </c>
      <c r="K12" s="778">
        <v>7317.0998099999997</v>
      </c>
      <c r="L12" s="205"/>
      <c r="M12" s="46"/>
    </row>
    <row r="13" spans="1:13" ht="15" customHeight="1">
      <c r="A13" s="777" t="s">
        <v>631</v>
      </c>
      <c r="B13" s="778" t="s">
        <v>541</v>
      </c>
      <c r="C13" s="778">
        <v>7679.1948499999999</v>
      </c>
      <c r="D13" s="778">
        <v>0</v>
      </c>
      <c r="E13" s="778">
        <v>0</v>
      </c>
      <c r="F13" s="778">
        <v>7679.1948499999999</v>
      </c>
      <c r="G13" s="779" t="s">
        <v>632</v>
      </c>
      <c r="H13" s="779">
        <v>7397.0539200000003</v>
      </c>
      <c r="I13" s="779">
        <v>0</v>
      </c>
      <c r="J13" s="779">
        <v>0</v>
      </c>
      <c r="K13" s="779">
        <v>7397.0539200000003</v>
      </c>
      <c r="L13" s="5"/>
    </row>
    <row r="14" spans="1:13" ht="15" customHeight="1">
      <c r="A14" s="777" t="s">
        <v>634</v>
      </c>
      <c r="B14" s="778" t="s">
        <v>441</v>
      </c>
      <c r="C14" s="778">
        <v>7679.8545000000004</v>
      </c>
      <c r="D14" s="778">
        <v>0</v>
      </c>
      <c r="E14" s="778">
        <v>0</v>
      </c>
      <c r="F14" s="778">
        <v>7679.8545000000004</v>
      </c>
      <c r="G14" s="778" t="s">
        <v>537</v>
      </c>
      <c r="H14" s="778">
        <v>7293.6776799999998</v>
      </c>
      <c r="I14" s="778">
        <v>0</v>
      </c>
      <c r="J14" s="778">
        <v>0</v>
      </c>
      <c r="K14" s="778">
        <v>7293.6776799999998</v>
      </c>
      <c r="L14" s="15"/>
    </row>
    <row r="15" spans="1:13" ht="15" customHeight="1">
      <c r="A15" s="777" t="s">
        <v>635</v>
      </c>
      <c r="B15" s="778" t="s">
        <v>440</v>
      </c>
      <c r="C15" s="778">
        <v>7366.6165600000004</v>
      </c>
      <c r="D15" s="778">
        <v>0</v>
      </c>
      <c r="E15" s="778">
        <v>0</v>
      </c>
      <c r="F15" s="778">
        <v>7366.6165600000004</v>
      </c>
      <c r="G15" s="778" t="s">
        <v>565</v>
      </c>
      <c r="H15" s="778">
        <v>7128.3750899999995</v>
      </c>
      <c r="I15" s="778">
        <v>0</v>
      </c>
      <c r="J15" s="778">
        <v>0</v>
      </c>
      <c r="K15" s="778">
        <v>7128.3750899999995</v>
      </c>
      <c r="L15" s="12"/>
    </row>
    <row r="16" spans="1:13" ht="15" customHeight="1">
      <c r="A16" s="777" t="s">
        <v>636</v>
      </c>
      <c r="B16" s="778" t="s">
        <v>590</v>
      </c>
      <c r="C16" s="778">
        <v>6526.6602199999998</v>
      </c>
      <c r="D16" s="778">
        <v>0</v>
      </c>
      <c r="E16" s="778">
        <v>0</v>
      </c>
      <c r="F16" s="778">
        <v>6526.6602199999998</v>
      </c>
      <c r="G16" s="778" t="s">
        <v>536</v>
      </c>
      <c r="H16" s="778">
        <v>7137.0249400000002</v>
      </c>
      <c r="I16" s="778">
        <v>0</v>
      </c>
      <c r="J16" s="778">
        <v>0</v>
      </c>
      <c r="K16" s="778">
        <v>7137.0249400000002</v>
      </c>
      <c r="L16" s="22"/>
    </row>
    <row r="17" spans="1:12" ht="15" customHeight="1">
      <c r="A17" s="777" t="s">
        <v>637</v>
      </c>
      <c r="B17" s="778" t="s">
        <v>441</v>
      </c>
      <c r="C17" s="778">
        <v>7405.2030100000002</v>
      </c>
      <c r="D17" s="778">
        <v>0</v>
      </c>
      <c r="E17" s="778">
        <v>0</v>
      </c>
      <c r="F17" s="778">
        <v>7405.2030100000002</v>
      </c>
      <c r="G17" s="778" t="s">
        <v>638</v>
      </c>
      <c r="H17" s="778">
        <v>7099.7890799999996</v>
      </c>
      <c r="I17" s="778">
        <v>0</v>
      </c>
      <c r="J17" s="778">
        <v>0</v>
      </c>
      <c r="K17" s="778">
        <v>7099.7890799999996</v>
      </c>
      <c r="L17" s="22"/>
    </row>
    <row r="18" spans="1:12" ht="15" customHeight="1">
      <c r="A18" s="777" t="s">
        <v>639</v>
      </c>
      <c r="B18" s="778" t="s">
        <v>640</v>
      </c>
      <c r="C18" s="778">
        <v>7446.7248099999997</v>
      </c>
      <c r="D18" s="778">
        <v>0</v>
      </c>
      <c r="E18" s="778">
        <v>0</v>
      </c>
      <c r="F18" s="778">
        <v>7446.7248099999997</v>
      </c>
      <c r="G18" s="778" t="s">
        <v>632</v>
      </c>
      <c r="H18" s="778">
        <v>7240.6057899999996</v>
      </c>
      <c r="I18" s="778">
        <v>0</v>
      </c>
      <c r="J18" s="778">
        <v>0</v>
      </c>
      <c r="K18" s="778">
        <v>7240.6057899999996</v>
      </c>
      <c r="L18" s="22"/>
    </row>
    <row r="19" spans="1:12" ht="15" customHeight="1">
      <c r="A19" s="777" t="s">
        <v>641</v>
      </c>
      <c r="B19" s="778" t="s">
        <v>440</v>
      </c>
      <c r="C19" s="778">
        <v>7321.9530999999997</v>
      </c>
      <c r="D19" s="778">
        <v>0</v>
      </c>
      <c r="E19" s="778">
        <v>0</v>
      </c>
      <c r="F19" s="778">
        <v>7321.9530999999997</v>
      </c>
      <c r="G19" s="778" t="s">
        <v>518</v>
      </c>
      <c r="H19" s="778">
        <v>7195.1781099999998</v>
      </c>
      <c r="I19" s="778">
        <v>0</v>
      </c>
      <c r="J19" s="778">
        <v>0</v>
      </c>
      <c r="K19" s="778">
        <v>7195.1781099999998</v>
      </c>
      <c r="L19" s="22"/>
    </row>
    <row r="20" spans="1:12" ht="15" customHeight="1">
      <c r="A20" s="777" t="s">
        <v>642</v>
      </c>
      <c r="B20" s="778" t="s">
        <v>541</v>
      </c>
      <c r="C20" s="778">
        <v>7434.1263200000003</v>
      </c>
      <c r="D20" s="778">
        <v>0</v>
      </c>
      <c r="E20" s="778">
        <v>0</v>
      </c>
      <c r="F20" s="778">
        <v>7434.1263200000003</v>
      </c>
      <c r="G20" s="778" t="s">
        <v>632</v>
      </c>
      <c r="H20" s="778">
        <v>7252.52387</v>
      </c>
      <c r="I20" s="778">
        <v>0</v>
      </c>
      <c r="J20" s="778">
        <v>0</v>
      </c>
      <c r="K20" s="778">
        <v>7252.52387</v>
      </c>
      <c r="L20" s="24"/>
    </row>
    <row r="21" spans="1:12" ht="15" customHeight="1">
      <c r="A21" s="777" t="s">
        <v>643</v>
      </c>
      <c r="B21" s="778" t="s">
        <v>441</v>
      </c>
      <c r="C21" s="778">
        <v>7412.1970700000002</v>
      </c>
      <c r="D21" s="778">
        <v>0</v>
      </c>
      <c r="E21" s="778">
        <v>0</v>
      </c>
      <c r="F21" s="778">
        <v>7412.1970700000002</v>
      </c>
      <c r="G21" s="778" t="s">
        <v>632</v>
      </c>
      <c r="H21" s="778">
        <v>7145.3621899999998</v>
      </c>
      <c r="I21" s="778">
        <v>0</v>
      </c>
      <c r="J21" s="778">
        <v>0</v>
      </c>
      <c r="K21" s="778">
        <v>7145.3621899999998</v>
      </c>
      <c r="L21" s="22"/>
    </row>
    <row r="22" spans="1:12" ht="15" customHeight="1">
      <c r="A22" s="777" t="s">
        <v>644</v>
      </c>
      <c r="B22" s="778" t="s">
        <v>441</v>
      </c>
      <c r="C22" s="778">
        <v>7329.4509799999996</v>
      </c>
      <c r="D22" s="778">
        <v>0</v>
      </c>
      <c r="E22" s="778">
        <v>0</v>
      </c>
      <c r="F22" s="778">
        <v>7329.4509799999996</v>
      </c>
      <c r="G22" s="778" t="s">
        <v>518</v>
      </c>
      <c r="H22" s="778">
        <v>7144.14923</v>
      </c>
      <c r="I22" s="778">
        <v>0</v>
      </c>
      <c r="J22" s="778">
        <v>0</v>
      </c>
      <c r="K22" s="778">
        <v>7144.14923</v>
      </c>
      <c r="L22" s="22"/>
    </row>
    <row r="23" spans="1:12" ht="15" customHeight="1">
      <c r="A23" s="777" t="s">
        <v>645</v>
      </c>
      <c r="B23" s="778" t="s">
        <v>646</v>
      </c>
      <c r="C23" s="778">
        <v>6369.8456299999998</v>
      </c>
      <c r="D23" s="778">
        <v>0</v>
      </c>
      <c r="E23" s="778">
        <v>0</v>
      </c>
      <c r="F23" s="778">
        <v>6369.8456299999998</v>
      </c>
      <c r="G23" s="778" t="s">
        <v>564</v>
      </c>
      <c r="H23" s="778">
        <v>6976.6850100000001</v>
      </c>
      <c r="I23" s="778">
        <v>0</v>
      </c>
      <c r="J23" s="778">
        <v>0</v>
      </c>
      <c r="K23" s="778">
        <v>6976.6850100000001</v>
      </c>
      <c r="L23" s="22"/>
    </row>
    <row r="24" spans="1:12" ht="15" customHeight="1">
      <c r="A24" s="777" t="s">
        <v>647</v>
      </c>
      <c r="B24" s="778" t="s">
        <v>440</v>
      </c>
      <c r="C24" s="778">
        <v>7566.9838</v>
      </c>
      <c r="D24" s="778">
        <v>0</v>
      </c>
      <c r="E24" s="778">
        <v>0</v>
      </c>
      <c r="F24" s="778">
        <v>7566.9838</v>
      </c>
      <c r="G24" s="778" t="s">
        <v>518</v>
      </c>
      <c r="H24" s="778">
        <v>7389.7798599999996</v>
      </c>
      <c r="I24" s="778">
        <v>0</v>
      </c>
      <c r="J24" s="778">
        <v>0</v>
      </c>
      <c r="K24" s="778">
        <v>7389.7798599999996</v>
      </c>
      <c r="L24" s="22"/>
    </row>
    <row r="25" spans="1:12" ht="15" customHeight="1">
      <c r="A25" s="777" t="s">
        <v>648</v>
      </c>
      <c r="B25" s="778" t="s">
        <v>456</v>
      </c>
      <c r="C25" s="778">
        <v>7653.6745300000002</v>
      </c>
      <c r="D25" s="778">
        <v>0</v>
      </c>
      <c r="E25" s="778">
        <v>0</v>
      </c>
      <c r="F25" s="778">
        <v>7653.6745300000002</v>
      </c>
      <c r="G25" s="778" t="s">
        <v>632</v>
      </c>
      <c r="H25" s="778">
        <v>7324.5401199999997</v>
      </c>
      <c r="I25" s="778">
        <v>0</v>
      </c>
      <c r="J25" s="778">
        <v>0</v>
      </c>
      <c r="K25" s="778">
        <v>7324.5401199999997</v>
      </c>
      <c r="L25" s="22"/>
    </row>
    <row r="26" spans="1:12" ht="15" customHeight="1">
      <c r="A26" s="777" t="s">
        <v>649</v>
      </c>
      <c r="B26" s="778" t="s">
        <v>441</v>
      </c>
      <c r="C26" s="778">
        <v>7618.70514</v>
      </c>
      <c r="D26" s="778">
        <v>0</v>
      </c>
      <c r="E26" s="778">
        <v>0</v>
      </c>
      <c r="F26" s="778">
        <v>7618.70514</v>
      </c>
      <c r="G26" s="778" t="s">
        <v>632</v>
      </c>
      <c r="H26" s="778">
        <v>7275.3740299999999</v>
      </c>
      <c r="I26" s="778">
        <v>0</v>
      </c>
      <c r="J26" s="778">
        <v>0</v>
      </c>
      <c r="K26" s="778">
        <v>7275.3740299999999</v>
      </c>
      <c r="L26" s="22"/>
    </row>
    <row r="27" spans="1:12" ht="15" customHeight="1">
      <c r="A27" s="777" t="s">
        <v>650</v>
      </c>
      <c r="B27" s="778" t="s">
        <v>456</v>
      </c>
      <c r="C27" s="778">
        <v>7593.0210699999998</v>
      </c>
      <c r="D27" s="778">
        <v>0</v>
      </c>
      <c r="E27" s="778">
        <v>0</v>
      </c>
      <c r="F27" s="778">
        <v>7593.0210699999998</v>
      </c>
      <c r="G27" s="778" t="s">
        <v>426</v>
      </c>
      <c r="H27" s="778">
        <v>7214.6915900000004</v>
      </c>
      <c r="I27" s="778">
        <v>0</v>
      </c>
      <c r="J27" s="778">
        <v>0</v>
      </c>
      <c r="K27" s="778">
        <v>7214.6915900000004</v>
      </c>
      <c r="L27" s="22"/>
    </row>
    <row r="28" spans="1:12" ht="15" customHeight="1">
      <c r="A28" s="777" t="s">
        <v>651</v>
      </c>
      <c r="B28" s="778" t="s">
        <v>441</v>
      </c>
      <c r="C28" s="778">
        <v>7550.8372799999997</v>
      </c>
      <c r="D28" s="778">
        <v>0</v>
      </c>
      <c r="E28" s="778">
        <v>0</v>
      </c>
      <c r="F28" s="778">
        <v>7550.8372799999997</v>
      </c>
      <c r="G28" s="778" t="s">
        <v>537</v>
      </c>
      <c r="H28" s="778">
        <v>7207.7449200000001</v>
      </c>
      <c r="I28" s="778">
        <v>0</v>
      </c>
      <c r="J28" s="778">
        <v>0</v>
      </c>
      <c r="K28" s="778">
        <v>7207.7449200000001</v>
      </c>
      <c r="L28" s="22"/>
    </row>
    <row r="29" spans="1:12" ht="15" customHeight="1">
      <c r="A29" s="777" t="s">
        <v>652</v>
      </c>
      <c r="B29" s="778" t="s">
        <v>566</v>
      </c>
      <c r="C29" s="778">
        <v>7205.9679500000002</v>
      </c>
      <c r="D29" s="778">
        <v>0</v>
      </c>
      <c r="E29" s="778">
        <v>0</v>
      </c>
      <c r="F29" s="778">
        <v>7205.9679500000002</v>
      </c>
      <c r="G29" s="778" t="s">
        <v>591</v>
      </c>
      <c r="H29" s="778">
        <v>7202.0051400000002</v>
      </c>
      <c r="I29" s="778">
        <v>0</v>
      </c>
      <c r="J29" s="778">
        <v>0</v>
      </c>
      <c r="K29" s="778">
        <v>7202.0051400000002</v>
      </c>
      <c r="L29" s="22"/>
    </row>
    <row r="30" spans="1:12" ht="15" customHeight="1">
      <c r="A30" s="777" t="s">
        <v>653</v>
      </c>
      <c r="B30" s="778" t="s">
        <v>566</v>
      </c>
      <c r="C30" s="778">
        <v>6482.27304</v>
      </c>
      <c r="D30" s="778">
        <v>0</v>
      </c>
      <c r="E30" s="778">
        <v>0</v>
      </c>
      <c r="F30" s="778">
        <v>6482.27304</v>
      </c>
      <c r="G30" s="778" t="s">
        <v>592</v>
      </c>
      <c r="H30" s="778">
        <v>7091.0769399999999</v>
      </c>
      <c r="I30" s="778">
        <v>0</v>
      </c>
      <c r="J30" s="778">
        <v>0</v>
      </c>
      <c r="K30" s="778">
        <v>7091.0769399999999</v>
      </c>
      <c r="L30" s="22"/>
    </row>
    <row r="31" spans="1:12" ht="15" customHeight="1">
      <c r="A31" s="777" t="s">
        <v>654</v>
      </c>
      <c r="B31" s="778" t="s">
        <v>541</v>
      </c>
      <c r="C31" s="778">
        <v>7432.6383500000002</v>
      </c>
      <c r="D31" s="778">
        <v>0</v>
      </c>
      <c r="E31" s="778">
        <v>0</v>
      </c>
      <c r="F31" s="778">
        <v>7432.6383500000002</v>
      </c>
      <c r="G31" s="778" t="s">
        <v>537</v>
      </c>
      <c r="H31" s="778">
        <v>7291.4085299999997</v>
      </c>
      <c r="I31" s="778">
        <v>0</v>
      </c>
      <c r="J31" s="778">
        <v>0</v>
      </c>
      <c r="K31" s="778">
        <v>7291.4085299999997</v>
      </c>
      <c r="L31" s="30"/>
    </row>
    <row r="32" spans="1:12" ht="15" customHeight="1">
      <c r="A32" s="777" t="s">
        <v>655</v>
      </c>
      <c r="B32" s="778" t="s">
        <v>456</v>
      </c>
      <c r="C32" s="778">
        <v>7713.3941400000003</v>
      </c>
      <c r="D32" s="778">
        <v>0</v>
      </c>
      <c r="E32" s="778">
        <v>0</v>
      </c>
      <c r="F32" s="778">
        <v>7713.3941400000003</v>
      </c>
      <c r="G32" s="778" t="s">
        <v>656</v>
      </c>
      <c r="H32" s="778">
        <v>7317.0217899999998</v>
      </c>
      <c r="I32" s="778">
        <v>0</v>
      </c>
      <c r="J32" s="778">
        <v>0</v>
      </c>
      <c r="K32" s="778">
        <v>7317.0217899999998</v>
      </c>
      <c r="L32" s="22"/>
    </row>
    <row r="33" spans="1:12" ht="15" customHeight="1">
      <c r="A33" s="777" t="s">
        <v>657</v>
      </c>
      <c r="B33" s="779" t="s">
        <v>441</v>
      </c>
      <c r="C33" s="779">
        <v>7757.5731500000002</v>
      </c>
      <c r="D33" s="779">
        <v>0</v>
      </c>
      <c r="E33" s="779">
        <v>0</v>
      </c>
      <c r="F33" s="779">
        <v>7757.5731500000002</v>
      </c>
      <c r="G33" s="778" t="s">
        <v>518</v>
      </c>
      <c r="H33" s="778">
        <v>7383.7579699999997</v>
      </c>
      <c r="I33" s="778">
        <v>0</v>
      </c>
      <c r="J33" s="778">
        <v>0</v>
      </c>
      <c r="K33" s="778">
        <v>7383.7579699999997</v>
      </c>
      <c r="L33" s="22"/>
    </row>
    <row r="34" spans="1:12" ht="15" customHeight="1">
      <c r="A34" s="777" t="s">
        <v>658</v>
      </c>
      <c r="B34" s="778" t="s">
        <v>441</v>
      </c>
      <c r="C34" s="778">
        <v>7697.4099399999996</v>
      </c>
      <c r="D34" s="778">
        <v>0</v>
      </c>
      <c r="E34" s="778">
        <v>0</v>
      </c>
      <c r="F34" s="778">
        <v>7697.4099399999996</v>
      </c>
      <c r="G34" s="778" t="s">
        <v>536</v>
      </c>
      <c r="H34" s="778">
        <v>7315.6419299999998</v>
      </c>
      <c r="I34" s="778">
        <v>0</v>
      </c>
      <c r="J34" s="778">
        <v>0</v>
      </c>
      <c r="K34" s="778">
        <v>7315.6419299999998</v>
      </c>
      <c r="L34" s="15"/>
    </row>
    <row r="35" spans="1:12" ht="15" customHeight="1">
      <c r="A35" s="777" t="s">
        <v>659</v>
      </c>
      <c r="B35" s="778" t="s">
        <v>660</v>
      </c>
      <c r="C35" s="778">
        <v>7681.33194</v>
      </c>
      <c r="D35" s="778">
        <v>0</v>
      </c>
      <c r="E35" s="778">
        <v>0</v>
      </c>
      <c r="F35" s="778">
        <v>7681.33194</v>
      </c>
      <c r="G35" s="778" t="s">
        <v>661</v>
      </c>
      <c r="H35" s="778">
        <v>7296.8620799999999</v>
      </c>
      <c r="I35" s="778">
        <v>0</v>
      </c>
      <c r="J35" s="778">
        <v>0</v>
      </c>
      <c r="K35" s="778">
        <v>7296.8620799999999</v>
      </c>
      <c r="L35" s="16"/>
    </row>
    <row r="36" spans="1:12" ht="15" customHeight="1">
      <c r="A36" s="777" t="s">
        <v>662</v>
      </c>
      <c r="B36" s="778" t="s">
        <v>441</v>
      </c>
      <c r="C36" s="778">
        <v>7427.8066200000003</v>
      </c>
      <c r="D36" s="778">
        <v>0</v>
      </c>
      <c r="E36" s="778">
        <v>0</v>
      </c>
      <c r="F36" s="778">
        <v>7427.8066200000003</v>
      </c>
      <c r="G36" s="778" t="s">
        <v>565</v>
      </c>
      <c r="H36" s="778">
        <v>7145.7608099999998</v>
      </c>
      <c r="I36" s="778">
        <v>0</v>
      </c>
      <c r="J36" s="778">
        <v>0</v>
      </c>
      <c r="K36" s="778">
        <v>7145.7608099999998</v>
      </c>
      <c r="L36" s="15"/>
    </row>
    <row r="37" spans="1:12" ht="15" customHeight="1">
      <c r="A37" s="777" t="s">
        <v>663</v>
      </c>
      <c r="B37" s="778" t="s">
        <v>590</v>
      </c>
      <c r="C37" s="778">
        <v>6409.7243799999997</v>
      </c>
      <c r="D37" s="778">
        <v>0</v>
      </c>
      <c r="E37" s="778">
        <v>0</v>
      </c>
      <c r="F37" s="778">
        <v>6409.7243799999997</v>
      </c>
      <c r="G37" s="778" t="s">
        <v>592</v>
      </c>
      <c r="H37" s="778">
        <v>6909.4837699999998</v>
      </c>
      <c r="I37" s="778">
        <v>0</v>
      </c>
      <c r="J37" s="778">
        <v>0</v>
      </c>
      <c r="K37" s="778">
        <v>6909.4837699999998</v>
      </c>
      <c r="L37" s="15"/>
    </row>
    <row r="38" spans="1:12" ht="15" customHeight="1">
      <c r="A38" s="777" t="s">
        <v>664</v>
      </c>
      <c r="B38" s="778" t="s">
        <v>440</v>
      </c>
      <c r="C38" s="778">
        <v>7460.9659600000005</v>
      </c>
      <c r="D38" s="778">
        <v>0</v>
      </c>
      <c r="E38" s="778">
        <v>0</v>
      </c>
      <c r="F38" s="778">
        <v>7460.9659600000005</v>
      </c>
      <c r="G38" s="778" t="s">
        <v>426</v>
      </c>
      <c r="H38" s="778">
        <v>7159.0483299999996</v>
      </c>
      <c r="I38" s="778">
        <v>0</v>
      </c>
      <c r="J38" s="778">
        <v>0</v>
      </c>
      <c r="K38" s="778">
        <v>7159.0483299999996</v>
      </c>
      <c r="L38" s="15"/>
    </row>
    <row r="39" spans="1:12" ht="15" customHeight="1">
      <c r="A39" s="777" t="s">
        <v>665</v>
      </c>
      <c r="B39" s="778" t="s">
        <v>541</v>
      </c>
      <c r="C39" s="778">
        <v>7657.1620599999997</v>
      </c>
      <c r="D39" s="778">
        <v>0</v>
      </c>
      <c r="E39" s="778">
        <v>0</v>
      </c>
      <c r="F39" s="778">
        <v>7657.1620599999997</v>
      </c>
      <c r="G39" s="778" t="s">
        <v>426</v>
      </c>
      <c r="H39" s="778">
        <v>7315.2418600000001</v>
      </c>
      <c r="I39" s="778">
        <v>0</v>
      </c>
      <c r="J39" s="778">
        <v>0</v>
      </c>
      <c r="K39" s="778">
        <v>7315.2418600000001</v>
      </c>
      <c r="L39" s="15"/>
    </row>
    <row r="40" spans="1:12" ht="13.2">
      <c r="A40" s="196"/>
      <c r="B40" s="111"/>
      <c r="C40" s="111"/>
      <c r="D40" s="111"/>
      <c r="E40" s="111"/>
      <c r="F40" s="111"/>
      <c r="G40" s="111"/>
      <c r="H40" s="111"/>
      <c r="I40" s="111"/>
      <c r="J40" s="111"/>
      <c r="K40" s="198"/>
    </row>
    <row r="41" spans="1:12" ht="12">
      <c r="A41" s="770"/>
      <c r="B41" s="111" t="s">
        <v>562</v>
      </c>
      <c r="C41" s="111"/>
      <c r="D41" s="111"/>
      <c r="E41" s="111"/>
      <c r="F41" s="111"/>
      <c r="G41" s="111"/>
      <c r="H41" s="111"/>
      <c r="I41" s="111"/>
      <c r="J41" s="111"/>
      <c r="K41" s="198"/>
    </row>
    <row r="42" spans="1:12" ht="13.2">
      <c r="A42" s="196"/>
      <c r="B42" s="111"/>
      <c r="C42" s="111"/>
      <c r="D42" s="111"/>
      <c r="E42" s="111"/>
      <c r="F42" s="111"/>
      <c r="G42" s="111"/>
      <c r="H42" s="111"/>
      <c r="I42" s="111"/>
      <c r="J42" s="111"/>
      <c r="K42" s="198"/>
    </row>
    <row r="43" spans="1:12" ht="13.2">
      <c r="A43" s="196"/>
      <c r="B43" s="111"/>
      <c r="C43" s="111"/>
      <c r="D43" s="111"/>
      <c r="E43" s="111"/>
      <c r="F43" s="111"/>
      <c r="G43" s="111"/>
      <c r="H43" s="111"/>
      <c r="I43" s="111"/>
      <c r="J43" s="111"/>
      <c r="K43" s="198"/>
    </row>
    <row r="44" spans="1:12" ht="13.2">
      <c r="A44" s="196"/>
      <c r="B44" s="111"/>
      <c r="C44" s="111"/>
      <c r="D44" s="111"/>
      <c r="E44" s="111"/>
      <c r="F44" s="111"/>
      <c r="G44" s="111"/>
      <c r="H44" s="111"/>
      <c r="I44" s="111"/>
      <c r="J44" s="111"/>
      <c r="K44" s="198"/>
    </row>
    <row r="45" spans="1:12" ht="13.2">
      <c r="A45" s="196"/>
      <c r="B45" s="197"/>
      <c r="C45" s="197"/>
      <c r="D45" s="197"/>
      <c r="E45" s="197"/>
      <c r="F45" s="197"/>
      <c r="G45" s="197"/>
      <c r="H45" s="197"/>
      <c r="I45" s="197"/>
      <c r="J45" s="197"/>
      <c r="K45" s="198"/>
    </row>
    <row r="46" spans="1:12" ht="13.2">
      <c r="A46" s="196"/>
      <c r="B46" s="197"/>
      <c r="C46" s="197"/>
      <c r="D46" s="197"/>
      <c r="E46" s="197"/>
      <c r="F46" s="197"/>
      <c r="G46" s="197"/>
      <c r="H46" s="197"/>
      <c r="I46" s="197"/>
      <c r="J46" s="197"/>
      <c r="K46" s="198"/>
    </row>
    <row r="47" spans="1:12" ht="13.2">
      <c r="A47" s="196"/>
      <c r="B47" s="200"/>
      <c r="C47" s="198"/>
      <c r="D47" s="198"/>
      <c r="E47" s="198"/>
      <c r="F47" s="198"/>
      <c r="G47" s="197"/>
      <c r="H47" s="197"/>
      <c r="I47" s="197"/>
      <c r="J47" s="197"/>
      <c r="K47" s="198"/>
    </row>
    <row r="48" spans="1:12" ht="13.2">
      <c r="A48" s="201"/>
      <c r="B48" s="202"/>
      <c r="C48" s="202"/>
      <c r="D48" s="202"/>
      <c r="E48" s="202"/>
      <c r="F48" s="202"/>
      <c r="G48" s="202"/>
      <c r="H48" s="197"/>
      <c r="I48" s="197"/>
      <c r="J48" s="197"/>
      <c r="K48" s="198"/>
    </row>
    <row r="49" spans="1:11" ht="13.2">
      <c r="A49" s="201"/>
      <c r="B49" s="202"/>
      <c r="C49" s="202"/>
      <c r="D49" s="202"/>
      <c r="E49" s="202"/>
      <c r="F49" s="202"/>
      <c r="G49" s="202"/>
      <c r="H49" s="197"/>
      <c r="I49" s="197"/>
      <c r="J49" s="197"/>
      <c r="K49" s="197"/>
    </row>
    <row r="50" spans="1:11" ht="13.2">
      <c r="A50" s="201"/>
      <c r="B50" s="202"/>
      <c r="C50" s="202"/>
      <c r="D50" s="202"/>
      <c r="E50" s="202"/>
      <c r="F50" s="202"/>
      <c r="G50" s="202"/>
      <c r="H50" s="197"/>
      <c r="I50" s="197"/>
      <c r="J50" s="197"/>
      <c r="K50" s="197"/>
    </row>
  </sheetData>
  <mergeCells count="3">
    <mergeCell ref="A9:A11"/>
    <mergeCell ref="B9:F9"/>
    <mergeCell ref="G9:K9"/>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44"/>
  <sheetViews>
    <sheetView showGridLines="0" view="pageBreakPreview" zoomScaleNormal="100" zoomScaleSheetLayoutView="100" workbookViewId="0">
      <selection activeCell="D14" sqref="D14"/>
    </sheetView>
  </sheetViews>
  <sheetFormatPr baseColWidth="10" defaultColWidth="9.28515625" defaultRowHeight="9.6"/>
  <cols>
    <col min="1" max="1" width="15.28515625" style="558" customWidth="1"/>
    <col min="2" max="2" width="17.7109375" style="558" customWidth="1"/>
    <col min="3" max="3" width="12.85546875" style="558" bestFit="1" customWidth="1"/>
    <col min="4" max="4" width="56" style="558" customWidth="1"/>
    <col min="5" max="5" width="12.28515625" style="558" customWidth="1"/>
    <col min="6" max="6" width="10.42578125"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67.8" customHeight="1">
      <c r="A3" s="568" t="s">
        <v>593</v>
      </c>
      <c r="B3" s="568" t="s">
        <v>600</v>
      </c>
      <c r="C3" s="566">
        <v>44958.142361111109</v>
      </c>
      <c r="D3" s="567" t="s">
        <v>792</v>
      </c>
      <c r="E3" s="568">
        <v>26.84</v>
      </c>
      <c r="F3" s="568"/>
      <c r="H3" s="563"/>
      <c r="I3" s="565"/>
    </row>
    <row r="4" spans="1:9" ht="81.599999999999994" customHeight="1">
      <c r="A4" s="568" t="s">
        <v>690</v>
      </c>
      <c r="B4" s="568" t="s">
        <v>691</v>
      </c>
      <c r="C4" s="566">
        <v>44958.354166666664</v>
      </c>
      <c r="D4" s="567" t="s">
        <v>790</v>
      </c>
      <c r="E4" s="568">
        <v>27.5</v>
      </c>
      <c r="F4" s="568"/>
      <c r="G4" s="569"/>
      <c r="H4" s="569"/>
      <c r="I4" s="570"/>
    </row>
    <row r="5" spans="1:9" ht="48.6" customHeight="1">
      <c r="A5" s="568" t="s">
        <v>444</v>
      </c>
      <c r="B5" s="568" t="s">
        <v>594</v>
      </c>
      <c r="C5" s="566">
        <v>44958.428472222222</v>
      </c>
      <c r="D5" s="567" t="s">
        <v>692</v>
      </c>
      <c r="E5" s="568">
        <v>9.4600000000000009</v>
      </c>
      <c r="F5" s="568"/>
      <c r="G5" s="569"/>
      <c r="H5" s="569"/>
      <c r="I5" s="571"/>
    </row>
    <row r="6" spans="1:9" ht="50.4" customHeight="1">
      <c r="A6" s="568" t="s">
        <v>444</v>
      </c>
      <c r="B6" s="568" t="s">
        <v>594</v>
      </c>
      <c r="C6" s="566">
        <v>44958.440972222219</v>
      </c>
      <c r="D6" s="567" t="s">
        <v>693</v>
      </c>
      <c r="E6" s="568">
        <v>4.78</v>
      </c>
      <c r="F6" s="568"/>
      <c r="G6" s="569"/>
      <c r="H6" s="569"/>
      <c r="I6" s="572"/>
    </row>
    <row r="7" spans="1:9" ht="66.599999999999994" customHeight="1">
      <c r="A7" s="568" t="s">
        <v>596</v>
      </c>
      <c r="B7" s="568" t="s">
        <v>597</v>
      </c>
      <c r="C7" s="566">
        <v>44958.449305555558</v>
      </c>
      <c r="D7" s="567" t="s">
        <v>694</v>
      </c>
      <c r="E7" s="568"/>
      <c r="F7" s="568">
        <v>0.85</v>
      </c>
      <c r="G7" s="569"/>
      <c r="H7" s="569"/>
      <c r="I7" s="573"/>
    </row>
    <row r="8" spans="1:9" ht="57" customHeight="1">
      <c r="A8" s="568" t="s">
        <v>690</v>
      </c>
      <c r="B8" s="568" t="s">
        <v>691</v>
      </c>
      <c r="C8" s="566">
        <v>44959.314583333333</v>
      </c>
      <c r="D8" s="567" t="s">
        <v>791</v>
      </c>
      <c r="E8" s="568">
        <v>11.98</v>
      </c>
      <c r="F8" s="568"/>
      <c r="G8" s="569"/>
      <c r="H8" s="569"/>
      <c r="I8" s="572"/>
    </row>
    <row r="9" spans="1:9" ht="54.6" customHeight="1">
      <c r="A9" s="568" t="s">
        <v>596</v>
      </c>
      <c r="B9" s="568" t="s">
        <v>695</v>
      </c>
      <c r="C9" s="566">
        <v>44959.605555555558</v>
      </c>
      <c r="D9" s="567" t="s">
        <v>696</v>
      </c>
      <c r="E9" s="574">
        <v>0.32</v>
      </c>
      <c r="F9" s="574"/>
      <c r="G9" s="569"/>
      <c r="H9" s="569"/>
      <c r="I9" s="572"/>
    </row>
    <row r="10" spans="1:9" ht="78.599999999999994" customHeight="1">
      <c r="A10" s="568" t="s">
        <v>444</v>
      </c>
      <c r="B10" s="568" t="s">
        <v>697</v>
      </c>
      <c r="C10" s="566">
        <v>44959.779166666667</v>
      </c>
      <c r="D10" s="567" t="s">
        <v>698</v>
      </c>
      <c r="E10" s="574">
        <v>46.99</v>
      </c>
      <c r="F10" s="574"/>
      <c r="G10" s="569"/>
      <c r="H10" s="569"/>
      <c r="I10" s="572"/>
    </row>
    <row r="11" spans="1:9" ht="40.799999999999997" customHeight="1">
      <c r="A11" s="568" t="s">
        <v>538</v>
      </c>
      <c r="B11" s="568" t="s">
        <v>549</v>
      </c>
      <c r="C11" s="566">
        <v>44960.037499999999</v>
      </c>
      <c r="D11" s="567" t="s">
        <v>699</v>
      </c>
      <c r="E11" s="574">
        <v>2.8</v>
      </c>
      <c r="F11" s="574"/>
      <c r="G11" s="569"/>
      <c r="H11" s="569"/>
      <c r="I11" s="572"/>
    </row>
    <row r="12" spans="1:9" ht="57.6" customHeight="1">
      <c r="A12" s="752" t="s">
        <v>444</v>
      </c>
      <c r="B12" s="752" t="s">
        <v>599</v>
      </c>
      <c r="C12" s="753">
        <v>44960.241666666669</v>
      </c>
      <c r="D12" s="754" t="s">
        <v>700</v>
      </c>
      <c r="E12" s="755">
        <v>5.05</v>
      </c>
      <c r="F12" s="755"/>
    </row>
    <row r="13" spans="1:9" ht="43.2" customHeight="1">
      <c r="A13" s="568" t="s">
        <v>570</v>
      </c>
      <c r="B13" s="568" t="s">
        <v>571</v>
      </c>
      <c r="C13" s="566">
        <v>44961.569444444445</v>
      </c>
      <c r="D13" s="567" t="s">
        <v>701</v>
      </c>
      <c r="E13" s="574">
        <v>0.23</v>
      </c>
      <c r="F13" s="574"/>
    </row>
    <row r="14" spans="1:9" ht="48.6" customHeight="1">
      <c r="A14" s="568" t="s">
        <v>535</v>
      </c>
      <c r="B14" s="568" t="s">
        <v>546</v>
      </c>
      <c r="C14" s="566">
        <v>44961.838194444441</v>
      </c>
      <c r="D14" s="567" t="s">
        <v>702</v>
      </c>
      <c r="E14" s="574">
        <v>9.0500000000000007</v>
      </c>
      <c r="F14" s="574"/>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sheetData>
  <pageMargins left="0.4365" right="0.33950000000000002" top="0.88916666666666666"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36"/>
  <sheetViews>
    <sheetView showGridLines="0" view="pageBreakPreview" zoomScaleNormal="100" zoomScaleSheetLayoutView="100" zoomScalePageLayoutView="145" workbookViewId="0">
      <selection activeCell="D14" sqref="D14"/>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1.85546875"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c r="E2" s="562" t="s">
        <v>351</v>
      </c>
      <c r="F2" s="562" t="s">
        <v>352</v>
      </c>
      <c r="G2" s="563"/>
      <c r="H2" s="564"/>
      <c r="I2" s="565"/>
    </row>
    <row r="3" spans="1:9" ht="70.8" customHeight="1">
      <c r="A3" s="568" t="s">
        <v>703</v>
      </c>
      <c r="B3" s="568" t="s">
        <v>704</v>
      </c>
      <c r="C3" s="566">
        <v>44962.069444444445</v>
      </c>
      <c r="D3" s="567" t="s">
        <v>793</v>
      </c>
      <c r="E3" s="568"/>
      <c r="F3" s="568">
        <v>55.1</v>
      </c>
      <c r="G3" s="569"/>
      <c r="H3" s="569"/>
      <c r="I3" s="573"/>
    </row>
    <row r="4" spans="1:9" ht="58.2" customHeight="1">
      <c r="A4" s="568" t="s">
        <v>705</v>
      </c>
      <c r="B4" s="568" t="s">
        <v>706</v>
      </c>
      <c r="C4" s="566">
        <v>44962.234722222223</v>
      </c>
      <c r="D4" s="567" t="s">
        <v>707</v>
      </c>
      <c r="E4" s="568">
        <v>0.02</v>
      </c>
      <c r="F4" s="568"/>
      <c r="G4" s="569"/>
      <c r="H4" s="569"/>
      <c r="I4" s="573"/>
    </row>
    <row r="5" spans="1:9" ht="43.8" customHeight="1">
      <c r="A5" s="568" t="s">
        <v>708</v>
      </c>
      <c r="B5" s="568" t="s">
        <v>709</v>
      </c>
      <c r="C5" s="566">
        <v>44962.327777777777</v>
      </c>
      <c r="D5" s="567" t="s">
        <v>710</v>
      </c>
      <c r="E5" s="568">
        <v>5.9</v>
      </c>
      <c r="F5" s="568"/>
      <c r="G5" s="569"/>
      <c r="H5" s="569"/>
      <c r="I5" s="573"/>
    </row>
    <row r="6" spans="1:9" ht="52.2" customHeight="1">
      <c r="A6" s="568" t="s">
        <v>444</v>
      </c>
      <c r="B6" s="568" t="s">
        <v>711</v>
      </c>
      <c r="C6" s="566">
        <v>44962.522916666669</v>
      </c>
      <c r="D6" s="567" t="s">
        <v>712</v>
      </c>
      <c r="E6" s="568">
        <v>2.4300000000000002</v>
      </c>
      <c r="F6" s="568"/>
      <c r="G6" s="569"/>
      <c r="H6" s="569"/>
      <c r="I6" s="573"/>
    </row>
    <row r="7" spans="1:9" ht="54" customHeight="1">
      <c r="A7" s="568" t="s">
        <v>596</v>
      </c>
      <c r="B7" s="568" t="s">
        <v>713</v>
      </c>
      <c r="C7" s="566">
        <v>44962.579861111109</v>
      </c>
      <c r="D7" s="567" t="s">
        <v>714</v>
      </c>
      <c r="E7" s="568"/>
      <c r="F7" s="568">
        <v>35</v>
      </c>
      <c r="G7" s="569"/>
      <c r="H7" s="569"/>
      <c r="I7" s="573"/>
    </row>
    <row r="8" spans="1:9" ht="50.4" customHeight="1">
      <c r="A8" s="568" t="s">
        <v>593</v>
      </c>
      <c r="B8" s="568" t="s">
        <v>715</v>
      </c>
      <c r="C8" s="566">
        <v>44964.650694444441</v>
      </c>
      <c r="D8" s="567" t="s">
        <v>716</v>
      </c>
      <c r="E8" s="568"/>
      <c r="F8" s="568">
        <v>5</v>
      </c>
    </row>
    <row r="9" spans="1:9" ht="75" customHeight="1">
      <c r="A9" s="568" t="s">
        <v>533</v>
      </c>
      <c r="B9" s="568" t="s">
        <v>717</v>
      </c>
      <c r="C9" s="566">
        <v>44965.55972222222</v>
      </c>
      <c r="D9" s="567" t="s">
        <v>794</v>
      </c>
      <c r="E9" s="568">
        <v>87.78</v>
      </c>
      <c r="F9" s="568">
        <v>26.7</v>
      </c>
    </row>
    <row r="10" spans="1:9" ht="81.599999999999994" customHeight="1">
      <c r="A10" s="568" t="s">
        <v>444</v>
      </c>
      <c r="B10" s="568" t="s">
        <v>718</v>
      </c>
      <c r="C10" s="566">
        <v>44965.672222222223</v>
      </c>
      <c r="D10" s="567" t="s">
        <v>795</v>
      </c>
      <c r="E10" s="568">
        <v>6.4</v>
      </c>
      <c r="F10" s="568"/>
    </row>
    <row r="11" spans="1:9" ht="68.400000000000006" customHeight="1">
      <c r="A11" s="568" t="s">
        <v>708</v>
      </c>
      <c r="B11" s="568" t="s">
        <v>709</v>
      </c>
      <c r="C11" s="566">
        <v>44966.781944444447</v>
      </c>
      <c r="D11" s="567" t="s">
        <v>719</v>
      </c>
      <c r="E11" s="568">
        <v>9.9</v>
      </c>
      <c r="F11" s="568"/>
    </row>
    <row r="12" spans="1:9" ht="39" customHeight="1">
      <c r="A12" s="568" t="s">
        <v>538</v>
      </c>
      <c r="B12" s="568" t="s">
        <v>549</v>
      </c>
      <c r="C12" s="566">
        <v>44966.879861111112</v>
      </c>
      <c r="D12" s="567" t="s">
        <v>720</v>
      </c>
      <c r="E12" s="568">
        <v>4</v>
      </c>
      <c r="F12" s="568"/>
    </row>
    <row r="13" spans="1:9" ht="45" customHeight="1">
      <c r="A13" s="568" t="s">
        <v>538</v>
      </c>
      <c r="B13" s="568" t="s">
        <v>549</v>
      </c>
      <c r="C13" s="566">
        <v>44968.915277777778</v>
      </c>
      <c r="D13" s="567" t="s">
        <v>721</v>
      </c>
      <c r="E13" s="568">
        <v>3.05</v>
      </c>
      <c r="F13" s="568"/>
    </row>
    <row r="14" spans="1:9" ht="54" customHeight="1">
      <c r="A14" s="568" t="s">
        <v>444</v>
      </c>
      <c r="B14" s="568" t="s">
        <v>594</v>
      </c>
      <c r="C14" s="566">
        <v>44969.461805555555</v>
      </c>
      <c r="D14" s="567" t="s">
        <v>722</v>
      </c>
      <c r="E14" s="568">
        <v>5.75</v>
      </c>
      <c r="F14" s="568"/>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sheetPr>
    <tabColor theme="4"/>
  </sheetPr>
  <dimension ref="A1:I48"/>
  <sheetViews>
    <sheetView showGridLines="0" view="pageBreakPreview" zoomScaleNormal="100" zoomScaleSheetLayoutView="100" workbookViewId="0">
      <selection activeCell="D14" sqref="D14"/>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1.28515625" style="558" customWidth="1"/>
    <col min="5" max="5" width="12.140625" style="558" customWidth="1"/>
    <col min="6" max="6" width="12"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45.6" customHeight="1">
      <c r="A3" s="568" t="s">
        <v>595</v>
      </c>
      <c r="B3" s="568" t="s">
        <v>598</v>
      </c>
      <c r="C3" s="566">
        <v>44969.628472222219</v>
      </c>
      <c r="D3" s="567" t="s">
        <v>723</v>
      </c>
      <c r="E3" s="568">
        <v>5.4</v>
      </c>
      <c r="F3" s="568"/>
      <c r="G3" s="569"/>
      <c r="H3" s="569"/>
      <c r="I3" s="573"/>
    </row>
    <row r="4" spans="1:9" ht="51" customHeight="1">
      <c r="A4" s="568" t="s">
        <v>569</v>
      </c>
      <c r="B4" s="568" t="s">
        <v>724</v>
      </c>
      <c r="C4" s="566">
        <v>44969.782638888886</v>
      </c>
      <c r="D4" s="567" t="s">
        <v>725</v>
      </c>
      <c r="E4" s="568">
        <v>7.1</v>
      </c>
      <c r="F4" s="568"/>
      <c r="G4" s="569"/>
      <c r="H4" s="569"/>
      <c r="I4" s="573"/>
    </row>
    <row r="5" spans="1:9" ht="99.6" customHeight="1">
      <c r="A5" s="568" t="s">
        <v>535</v>
      </c>
      <c r="B5" s="568" t="s">
        <v>726</v>
      </c>
      <c r="C5" s="566">
        <v>44971.313888888886</v>
      </c>
      <c r="D5" s="567" t="s">
        <v>796</v>
      </c>
      <c r="E5" s="568">
        <v>20.03</v>
      </c>
      <c r="F5" s="568"/>
      <c r="G5" s="569"/>
      <c r="H5" s="569"/>
      <c r="I5" s="573"/>
    </row>
    <row r="6" spans="1:9" ht="55.95" customHeight="1">
      <c r="A6" s="568" t="s">
        <v>727</v>
      </c>
      <c r="B6" s="568" t="s">
        <v>728</v>
      </c>
      <c r="C6" s="566">
        <v>44972.537499999999</v>
      </c>
      <c r="D6" s="567" t="s">
        <v>729</v>
      </c>
      <c r="E6" s="568">
        <v>31.1</v>
      </c>
      <c r="F6" s="568"/>
      <c r="G6" s="569"/>
      <c r="H6" s="569"/>
      <c r="I6" s="573"/>
    </row>
    <row r="7" spans="1:9" ht="52.8" customHeight="1">
      <c r="A7" s="568" t="s">
        <v>730</v>
      </c>
      <c r="B7" s="568" t="s">
        <v>731</v>
      </c>
      <c r="C7" s="566">
        <v>44973.324305555558</v>
      </c>
      <c r="D7" s="567" t="s">
        <v>732</v>
      </c>
      <c r="E7" s="568">
        <v>6.8</v>
      </c>
      <c r="F7" s="568"/>
      <c r="G7" s="569"/>
      <c r="H7" s="569"/>
      <c r="I7" s="573"/>
    </row>
    <row r="8" spans="1:9" ht="69.599999999999994" customHeight="1">
      <c r="A8" s="568" t="s">
        <v>593</v>
      </c>
      <c r="B8" s="568" t="s">
        <v>733</v>
      </c>
      <c r="C8" s="566">
        <v>44973.520138888889</v>
      </c>
      <c r="D8" s="567" t="s">
        <v>797</v>
      </c>
      <c r="E8" s="568"/>
      <c r="F8" s="568">
        <v>19.8</v>
      </c>
    </row>
    <row r="9" spans="1:9" ht="48.6" customHeight="1">
      <c r="A9" s="568" t="s">
        <v>734</v>
      </c>
      <c r="B9" s="568" t="s">
        <v>735</v>
      </c>
      <c r="C9" s="566">
        <v>44973.574305555558</v>
      </c>
      <c r="D9" s="567" t="s">
        <v>736</v>
      </c>
      <c r="E9" s="568"/>
      <c r="F9" s="568">
        <v>120</v>
      </c>
    </row>
    <row r="10" spans="1:9" ht="67.8" customHeight="1">
      <c r="A10" s="568" t="s">
        <v>444</v>
      </c>
      <c r="B10" s="568" t="s">
        <v>737</v>
      </c>
      <c r="C10" s="566">
        <v>44973.71597222222</v>
      </c>
      <c r="D10" s="567" t="s">
        <v>798</v>
      </c>
      <c r="E10" s="568">
        <v>22.5</v>
      </c>
      <c r="F10" s="568"/>
    </row>
    <row r="11" spans="1:9" ht="55.2" customHeight="1">
      <c r="A11" s="568" t="s">
        <v>547</v>
      </c>
      <c r="B11" s="568" t="s">
        <v>738</v>
      </c>
      <c r="C11" s="566">
        <v>44973.823611111111</v>
      </c>
      <c r="D11" s="567" t="s">
        <v>739</v>
      </c>
      <c r="E11" s="568"/>
      <c r="F11" s="568">
        <v>26</v>
      </c>
    </row>
    <row r="12" spans="1:9" ht="40.799999999999997" customHeight="1">
      <c r="A12" s="568" t="s">
        <v>538</v>
      </c>
      <c r="B12" s="568" t="s">
        <v>549</v>
      </c>
      <c r="C12" s="566">
        <v>44974.770138888889</v>
      </c>
      <c r="D12" s="567" t="s">
        <v>740</v>
      </c>
      <c r="E12" s="568">
        <v>4.5999999999999996</v>
      </c>
      <c r="F12" s="568"/>
    </row>
    <row r="13" spans="1:9" ht="78.599999999999994" customHeight="1">
      <c r="A13" s="568" t="s">
        <v>741</v>
      </c>
      <c r="B13" s="568" t="s">
        <v>742</v>
      </c>
      <c r="C13" s="566">
        <v>44975.723611111112</v>
      </c>
      <c r="D13" s="567" t="s">
        <v>743</v>
      </c>
      <c r="E13" s="568">
        <v>1.75</v>
      </c>
      <c r="F13" s="568">
        <v>23.23</v>
      </c>
    </row>
    <row r="14" spans="1:9">
      <c r="E14" s="575"/>
      <c r="F14" s="575"/>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row r="45" spans="5:6">
      <c r="E45" s="575"/>
      <c r="F45" s="575"/>
    </row>
    <row r="46" spans="5:6">
      <c r="E46" s="575"/>
      <c r="F46" s="575"/>
    </row>
    <row r="47" spans="5:6">
      <c r="E47" s="575"/>
      <c r="F47" s="575"/>
    </row>
    <row r="48" spans="5:6">
      <c r="E48" s="575"/>
      <c r="F48"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sheetPr>
  <dimension ref="A1:W68"/>
  <sheetViews>
    <sheetView showGridLines="0" view="pageBreakPreview" zoomScaleNormal="100" zoomScaleSheetLayoutView="100" zoomScalePageLayoutView="85" workbookViewId="0">
      <selection activeCell="Q12" sqref="Q12"/>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85546875" style="46" customWidth="1"/>
    <col min="14" max="14" width="9.28515625" style="276"/>
    <col min="15" max="16" width="10.140625" style="276" bestFit="1" customWidth="1"/>
    <col min="17" max="17" width="14.7109375" style="276" customWidth="1"/>
    <col min="18" max="18" width="9.28515625" style="276"/>
    <col min="19" max="22" width="9.28515625" style="665"/>
    <col min="23" max="23" width="9.28515625" style="296"/>
    <col min="24" max="16384" width="9.28515625" style="46"/>
  </cols>
  <sheetData>
    <row r="1" spans="1:17" ht="27.75" customHeight="1">
      <c r="A1" s="835" t="s">
        <v>22</v>
      </c>
      <c r="B1" s="835"/>
      <c r="C1" s="835"/>
      <c r="D1" s="835"/>
      <c r="E1" s="835"/>
      <c r="F1" s="835"/>
      <c r="G1" s="835"/>
      <c r="H1" s="835"/>
      <c r="I1" s="835"/>
      <c r="J1" s="835"/>
      <c r="K1" s="835"/>
      <c r="L1" s="835"/>
      <c r="M1" s="835"/>
      <c r="N1" s="671"/>
      <c r="O1" s="671"/>
      <c r="P1" s="671"/>
      <c r="Q1" s="671"/>
    </row>
    <row r="2" spans="1:17" ht="11.25" customHeight="1">
      <c r="A2" s="41"/>
      <c r="B2" s="40"/>
      <c r="C2" s="65"/>
      <c r="D2" s="65"/>
      <c r="E2" s="65"/>
      <c r="F2" s="65"/>
      <c r="G2" s="65"/>
      <c r="H2" s="65"/>
      <c r="I2" s="65"/>
      <c r="J2" s="65"/>
      <c r="K2" s="40"/>
      <c r="L2" s="40"/>
      <c r="M2" s="40"/>
      <c r="N2" s="671"/>
      <c r="O2" s="671"/>
      <c r="P2" s="671"/>
      <c r="Q2" s="671"/>
    </row>
    <row r="3" spans="1:17" ht="21.75" customHeight="1">
      <c r="A3" s="40"/>
      <c r="B3" s="42"/>
      <c r="C3" s="842" t="str">
        <f>+UPPER(Q4)&amp;" "&amp;Q5</f>
        <v>FEBRERO 2023</v>
      </c>
      <c r="D3" s="842"/>
      <c r="E3" s="842"/>
      <c r="F3" s="842"/>
      <c r="G3" s="842"/>
      <c r="H3" s="842"/>
      <c r="I3" s="842"/>
      <c r="J3" s="842"/>
      <c r="K3" s="842"/>
      <c r="L3" s="40"/>
      <c r="M3" s="40"/>
      <c r="N3" s="671"/>
      <c r="O3" s="671"/>
      <c r="P3" s="671"/>
      <c r="Q3" s="671"/>
    </row>
    <row r="4" spans="1:17" ht="11.25" customHeight="1">
      <c r="A4" s="40"/>
      <c r="B4" s="42"/>
      <c r="C4" s="40"/>
      <c r="D4" s="40"/>
      <c r="E4" s="40"/>
      <c r="F4" s="40"/>
      <c r="G4" s="40"/>
      <c r="H4" s="40"/>
      <c r="I4" s="40"/>
      <c r="J4" s="40"/>
      <c r="K4" s="40"/>
      <c r="L4" s="40"/>
      <c r="M4" s="40"/>
      <c r="N4" s="672"/>
      <c r="O4" s="672"/>
      <c r="P4" s="671" t="s">
        <v>205</v>
      </c>
      <c r="Q4" s="673" t="s">
        <v>611</v>
      </c>
    </row>
    <row r="5" spans="1:17" ht="11.25" customHeight="1">
      <c r="A5" s="47"/>
      <c r="B5" s="48"/>
      <c r="C5" s="49"/>
      <c r="D5" s="49"/>
      <c r="E5" s="49"/>
      <c r="F5" s="49"/>
      <c r="G5" s="49"/>
      <c r="H5" s="49"/>
      <c r="I5" s="49"/>
      <c r="J5" s="49"/>
      <c r="K5" s="49"/>
      <c r="L5" s="49"/>
      <c r="M5" s="40"/>
      <c r="N5" s="672"/>
      <c r="O5" s="672"/>
      <c r="P5" s="671" t="s">
        <v>206</v>
      </c>
      <c r="Q5" s="672">
        <v>2023</v>
      </c>
    </row>
    <row r="6" spans="1:17" ht="17.25" customHeight="1">
      <c r="A6" s="60" t="s">
        <v>383</v>
      </c>
      <c r="B6" s="40"/>
      <c r="C6" s="40"/>
      <c r="D6" s="40"/>
      <c r="E6" s="40"/>
      <c r="F6" s="40"/>
      <c r="G6" s="40"/>
      <c r="H6" s="40"/>
      <c r="I6" s="40"/>
      <c r="J6" s="40"/>
      <c r="K6" s="40"/>
      <c r="L6" s="40"/>
      <c r="M6" s="40"/>
      <c r="N6" s="671"/>
      <c r="O6" s="671"/>
      <c r="P6" s="671"/>
      <c r="Q6" s="674">
        <v>44958</v>
      </c>
    </row>
    <row r="7" spans="1:17" ht="11.25" customHeight="1">
      <c r="A7" s="40"/>
      <c r="B7" s="40"/>
      <c r="C7" s="40"/>
      <c r="D7" s="40"/>
      <c r="E7" s="40"/>
      <c r="F7" s="40"/>
      <c r="G7" s="40"/>
      <c r="H7" s="40"/>
      <c r="I7" s="40"/>
      <c r="J7" s="40"/>
      <c r="K7" s="40"/>
      <c r="L7" s="40"/>
      <c r="M7" s="40"/>
      <c r="N7" s="671"/>
      <c r="O7" s="671"/>
      <c r="P7" s="671"/>
      <c r="Q7" s="671">
        <v>28</v>
      </c>
    </row>
    <row r="8" spans="1:17" ht="11.25" customHeight="1">
      <c r="A8" s="43"/>
      <c r="B8" s="43"/>
      <c r="C8" s="43"/>
      <c r="D8" s="43"/>
      <c r="E8" s="43"/>
      <c r="F8" s="43"/>
      <c r="G8" s="43"/>
      <c r="H8" s="43"/>
      <c r="I8" s="43"/>
      <c r="J8" s="43"/>
      <c r="K8" s="43"/>
      <c r="L8" s="43"/>
      <c r="M8" s="43"/>
      <c r="N8" s="675"/>
      <c r="O8" s="675"/>
      <c r="P8" s="675"/>
      <c r="Q8" s="675"/>
    </row>
    <row r="9" spans="1:17" ht="14.25" customHeight="1">
      <c r="A9" s="40" t="str">
        <f>"1.1. Producción de energía eléctrica en "&amp;LOWER(Q4)&amp;" "&amp;Q5&amp;" en comparación al mismo mes del año anterior"</f>
        <v>1.1. Producción de energía eléctrica en febrero 2023 en comparación al mismo mes del año anterior</v>
      </c>
      <c r="B9" s="40"/>
      <c r="C9" s="40"/>
      <c r="D9" s="40"/>
      <c r="E9" s="40"/>
      <c r="F9" s="40"/>
      <c r="G9" s="40"/>
      <c r="H9" s="40"/>
      <c r="I9" s="40"/>
      <c r="J9" s="40"/>
      <c r="K9" s="40"/>
      <c r="L9" s="40"/>
      <c r="M9" s="40"/>
      <c r="N9" s="671"/>
      <c r="O9" s="671"/>
      <c r="P9" s="671"/>
      <c r="Q9" s="671"/>
    </row>
    <row r="10" spans="1:17" ht="11.25" customHeight="1">
      <c r="A10" s="47"/>
      <c r="B10" s="44"/>
      <c r="C10" s="44"/>
      <c r="D10" s="44"/>
      <c r="E10" s="44"/>
      <c r="F10" s="44"/>
      <c r="G10" s="44"/>
      <c r="H10" s="44"/>
      <c r="I10" s="44"/>
      <c r="J10" s="44"/>
      <c r="K10" s="44"/>
      <c r="L10" s="44"/>
      <c r="M10" s="44"/>
      <c r="N10" s="672"/>
      <c r="O10" s="672"/>
      <c r="P10" s="672"/>
      <c r="Q10" s="672"/>
    </row>
    <row r="11" spans="1:17" ht="11.25" customHeight="1">
      <c r="A11" s="50"/>
      <c r="B11" s="50"/>
      <c r="C11" s="50"/>
      <c r="D11" s="50"/>
      <c r="E11" s="50"/>
      <c r="F11" s="50"/>
      <c r="G11" s="50"/>
      <c r="H11" s="50"/>
      <c r="I11" s="50"/>
      <c r="J11" s="50"/>
      <c r="K11" s="50"/>
      <c r="L11" s="50"/>
      <c r="M11" s="50"/>
      <c r="N11" s="676"/>
      <c r="O11" s="676"/>
      <c r="P11" s="676"/>
      <c r="Q11" s="676"/>
    </row>
    <row r="12" spans="1:17" ht="27" customHeight="1">
      <c r="A12" s="62" t="s">
        <v>23</v>
      </c>
      <c r="B12" s="840" t="s">
        <v>803</v>
      </c>
      <c r="C12" s="840"/>
      <c r="D12" s="840"/>
      <c r="E12" s="840"/>
      <c r="F12" s="840"/>
      <c r="G12" s="840"/>
      <c r="H12" s="840"/>
      <c r="I12" s="840"/>
      <c r="J12" s="840"/>
      <c r="K12" s="840"/>
      <c r="L12" s="840"/>
      <c r="M12" s="840"/>
      <c r="N12" s="672"/>
      <c r="O12" s="672"/>
      <c r="P12" s="672"/>
      <c r="Q12" s="672"/>
    </row>
    <row r="13" spans="1:17" ht="12.75" customHeight="1">
      <c r="A13" s="40"/>
      <c r="B13" s="64"/>
      <c r="C13" s="64"/>
      <c r="D13" s="64"/>
      <c r="E13" s="64"/>
      <c r="F13" s="64"/>
      <c r="G13" s="64"/>
      <c r="H13" s="64"/>
      <c r="I13" s="64"/>
      <c r="J13" s="64"/>
      <c r="K13" s="64"/>
      <c r="L13" s="64"/>
      <c r="M13" s="44"/>
      <c r="N13" s="672"/>
      <c r="O13" s="672"/>
      <c r="P13" s="672"/>
      <c r="Q13" s="672"/>
    </row>
    <row r="14" spans="1:17" ht="28.5" customHeight="1">
      <c r="A14" s="62" t="s">
        <v>23</v>
      </c>
      <c r="B14" s="840" t="s">
        <v>666</v>
      </c>
      <c r="C14" s="840"/>
      <c r="D14" s="840"/>
      <c r="E14" s="840"/>
      <c r="F14" s="840"/>
      <c r="G14" s="840"/>
      <c r="H14" s="840"/>
      <c r="I14" s="840"/>
      <c r="J14" s="840"/>
      <c r="K14" s="840"/>
      <c r="L14" s="840"/>
      <c r="M14" s="840"/>
      <c r="N14" s="672"/>
      <c r="O14" s="672"/>
      <c r="P14" s="672"/>
      <c r="Q14" s="672"/>
    </row>
    <row r="15" spans="1:17" ht="15" customHeight="1">
      <c r="A15" s="63"/>
      <c r="B15" s="64"/>
      <c r="C15" s="64"/>
      <c r="D15" s="64"/>
      <c r="E15" s="64"/>
      <c r="F15" s="64"/>
      <c r="G15" s="64"/>
      <c r="H15" s="64"/>
      <c r="I15" s="64"/>
      <c r="J15" s="64"/>
      <c r="K15" s="64"/>
      <c r="L15" s="64"/>
      <c r="M15" s="44"/>
      <c r="N15" s="672"/>
      <c r="O15" s="672"/>
      <c r="P15" s="672"/>
      <c r="Q15" s="672"/>
    </row>
    <row r="16" spans="1:17" ht="59.25" customHeight="1">
      <c r="A16" s="62" t="s">
        <v>23</v>
      </c>
      <c r="B16" s="840" t="s">
        <v>667</v>
      </c>
      <c r="C16" s="840"/>
      <c r="D16" s="840"/>
      <c r="E16" s="840"/>
      <c r="F16" s="840"/>
      <c r="G16" s="840"/>
      <c r="H16" s="840"/>
      <c r="I16" s="840"/>
      <c r="J16" s="840"/>
      <c r="K16" s="840"/>
      <c r="L16" s="840"/>
      <c r="M16" s="840"/>
      <c r="N16" s="672"/>
      <c r="O16" s="672"/>
      <c r="P16" s="672"/>
      <c r="Q16" s="672"/>
    </row>
    <row r="17" spans="1:18" ht="17.25" customHeight="1">
      <c r="A17" s="44"/>
      <c r="B17" s="44"/>
      <c r="C17" s="44"/>
      <c r="D17" s="44"/>
      <c r="E17" s="44"/>
      <c r="F17" s="44"/>
      <c r="G17" s="44"/>
      <c r="H17" s="44"/>
      <c r="I17" s="44"/>
      <c r="J17" s="44"/>
      <c r="K17" s="44"/>
      <c r="L17" s="44"/>
      <c r="M17" s="44"/>
      <c r="N17" s="672"/>
      <c r="O17" s="672"/>
      <c r="P17" s="672"/>
      <c r="Q17" s="672"/>
    </row>
    <row r="18" spans="1:18" ht="25.5" customHeight="1">
      <c r="A18" s="61" t="s">
        <v>23</v>
      </c>
      <c r="B18" s="839" t="s">
        <v>804</v>
      </c>
      <c r="C18" s="839"/>
      <c r="D18" s="839"/>
      <c r="E18" s="839"/>
      <c r="F18" s="839"/>
      <c r="G18" s="839"/>
      <c r="H18" s="839"/>
      <c r="I18" s="839"/>
      <c r="J18" s="839"/>
      <c r="K18" s="839"/>
      <c r="L18" s="839"/>
      <c r="M18" s="839"/>
      <c r="N18" s="672"/>
      <c r="O18" s="672"/>
      <c r="P18" s="672"/>
      <c r="Q18" s="672"/>
    </row>
    <row r="19" spans="1:18" ht="42.75" customHeight="1">
      <c r="A19" s="44"/>
      <c r="B19" s="44"/>
      <c r="C19" s="44"/>
      <c r="D19" s="44"/>
      <c r="E19" s="44"/>
      <c r="F19" s="44"/>
      <c r="G19" s="44"/>
      <c r="H19" s="44"/>
      <c r="I19" s="44"/>
      <c r="J19" s="44"/>
      <c r="K19" s="44"/>
      <c r="L19" s="44"/>
      <c r="M19" s="44"/>
      <c r="N19" s="672"/>
      <c r="O19" s="672"/>
      <c r="P19" s="672"/>
      <c r="Q19" s="672"/>
    </row>
    <row r="20" spans="1:18" ht="15.75" customHeight="1">
      <c r="A20" s="44"/>
      <c r="B20" s="44"/>
      <c r="C20" s="841" t="str">
        <f>+UPPER(Q4)&amp;" "&amp;Q5</f>
        <v>FEBRERO 2023</v>
      </c>
      <c r="D20" s="841"/>
      <c r="E20" s="841"/>
      <c r="F20" s="40"/>
      <c r="G20" s="40"/>
      <c r="H20" s="40"/>
      <c r="I20" s="841" t="str">
        <f>+UPPER(Q4)&amp;" "&amp;Q5-1</f>
        <v>FEBRERO 2022</v>
      </c>
      <c r="J20" s="841"/>
      <c r="K20" s="841"/>
      <c r="L20" s="841"/>
      <c r="M20" s="44"/>
      <c r="Q20" s="672"/>
    </row>
    <row r="21" spans="1:18" ht="11.25" customHeight="1">
      <c r="A21" s="44"/>
      <c r="B21" s="44"/>
      <c r="C21" s="44"/>
      <c r="D21" s="44"/>
      <c r="E21" s="44"/>
      <c r="F21" s="44"/>
      <c r="G21" s="44"/>
      <c r="H21" s="44"/>
      <c r="I21" s="44"/>
      <c r="J21" s="44"/>
      <c r="K21" s="44"/>
      <c r="L21" s="44"/>
      <c r="M21" s="44"/>
      <c r="Q21" s="672"/>
    </row>
    <row r="22" spans="1:18" ht="11.25" customHeight="1">
      <c r="A22" s="51"/>
      <c r="B22" s="52"/>
      <c r="C22" s="52"/>
      <c r="D22" s="52"/>
      <c r="E22" s="52"/>
      <c r="F22" s="52"/>
      <c r="G22" s="52"/>
      <c r="H22" s="52"/>
      <c r="I22" s="52"/>
      <c r="J22" s="52"/>
      <c r="K22" s="52"/>
      <c r="L22" s="52"/>
      <c r="M22" s="52"/>
      <c r="N22" s="677" t="s">
        <v>30</v>
      </c>
      <c r="O22" s="678"/>
      <c r="P22" s="678"/>
    </row>
    <row r="23" spans="1:18" ht="11.25" customHeight="1">
      <c r="A23" s="51"/>
      <c r="B23" s="52"/>
      <c r="C23" s="52"/>
      <c r="D23" s="52"/>
      <c r="E23" s="52"/>
      <c r="F23" s="52"/>
      <c r="G23" s="52"/>
      <c r="H23" s="52"/>
      <c r="I23" s="52"/>
      <c r="J23" s="52"/>
      <c r="K23" s="52"/>
      <c r="L23" s="52"/>
      <c r="M23" s="52"/>
      <c r="N23" s="677" t="s">
        <v>24</v>
      </c>
      <c r="O23" s="826">
        <v>2930.4305026500006</v>
      </c>
      <c r="P23" s="826">
        <v>2887.08964904</v>
      </c>
      <c r="Q23" s="679"/>
    </row>
    <row r="24" spans="1:18" ht="11.25" customHeight="1">
      <c r="A24" s="44"/>
      <c r="B24" s="44"/>
      <c r="C24" s="44"/>
      <c r="D24" s="44"/>
      <c r="E24" s="43"/>
      <c r="F24" s="44"/>
      <c r="G24" s="44"/>
      <c r="H24" s="44"/>
      <c r="I24" s="44"/>
      <c r="J24" s="44"/>
      <c r="K24" s="44"/>
      <c r="L24" s="44"/>
      <c r="M24" s="43"/>
      <c r="N24" s="679" t="s">
        <v>25</v>
      </c>
      <c r="O24" s="827">
        <v>1412.7406565250005</v>
      </c>
      <c r="P24" s="827">
        <v>1220.1452458575002</v>
      </c>
      <c r="Q24" s="680"/>
      <c r="R24" s="680"/>
    </row>
    <row r="25" spans="1:18" ht="11.25" customHeight="1">
      <c r="A25" s="44"/>
      <c r="B25" s="44"/>
      <c r="C25" s="44"/>
      <c r="D25" s="44"/>
      <c r="E25" s="44"/>
      <c r="F25" s="44"/>
      <c r="G25" s="44"/>
      <c r="H25" s="44"/>
      <c r="I25" s="44"/>
      <c r="J25" s="53"/>
      <c r="K25" s="53"/>
      <c r="L25" s="44"/>
      <c r="M25" s="44"/>
      <c r="N25" s="679" t="s">
        <v>26</v>
      </c>
      <c r="O25" s="827">
        <v>0</v>
      </c>
      <c r="P25" s="827">
        <v>0</v>
      </c>
      <c r="Q25" s="677"/>
    </row>
    <row r="26" spans="1:18" ht="11.25" customHeight="1">
      <c r="A26" s="44"/>
      <c r="B26" s="44"/>
      <c r="C26" s="44"/>
      <c r="D26" s="44"/>
      <c r="E26" s="44"/>
      <c r="F26" s="44"/>
      <c r="G26" s="44"/>
      <c r="H26" s="44"/>
      <c r="I26" s="44"/>
      <c r="J26" s="53"/>
      <c r="K26" s="53"/>
      <c r="L26" s="44"/>
      <c r="M26" s="44"/>
      <c r="N26" s="677" t="s">
        <v>572</v>
      </c>
      <c r="O26" s="826">
        <v>6.0439482299999998</v>
      </c>
      <c r="P26" s="826">
        <v>4.5894430424999992</v>
      </c>
      <c r="Q26" s="677"/>
    </row>
    <row r="27" spans="1:18" ht="11.25" customHeight="1">
      <c r="A27" s="44"/>
      <c r="B27" s="44"/>
      <c r="C27" s="44"/>
      <c r="D27" s="44"/>
      <c r="E27" s="44"/>
      <c r="F27" s="44"/>
      <c r="G27" s="44"/>
      <c r="H27" s="44"/>
      <c r="I27" s="44"/>
      <c r="J27" s="53"/>
      <c r="K27" s="44"/>
      <c r="L27" s="44"/>
      <c r="M27" s="44"/>
      <c r="N27" s="677" t="s">
        <v>27</v>
      </c>
      <c r="O27" s="826">
        <v>17.0847209625</v>
      </c>
      <c r="P27" s="826">
        <v>20.130939565000002</v>
      </c>
      <c r="Q27" s="677"/>
    </row>
    <row r="28" spans="1:18" ht="11.25" customHeight="1">
      <c r="A28" s="44"/>
      <c r="B28" s="44"/>
      <c r="C28" s="53"/>
      <c r="D28" s="53"/>
      <c r="E28" s="53"/>
      <c r="F28" s="53"/>
      <c r="G28" s="53"/>
      <c r="H28" s="53"/>
      <c r="I28" s="53"/>
      <c r="J28" s="53"/>
      <c r="K28" s="53"/>
      <c r="L28" s="44"/>
      <c r="M28" s="44"/>
      <c r="N28" s="677" t="s">
        <v>28</v>
      </c>
      <c r="O28" s="826">
        <v>105.83284567250001</v>
      </c>
      <c r="P28" s="826">
        <v>126.1483259525</v>
      </c>
      <c r="Q28" s="677"/>
    </row>
    <row r="29" spans="1:18" ht="11.25" customHeight="1">
      <c r="A29" s="44"/>
      <c r="B29" s="44"/>
      <c r="C29" s="53"/>
      <c r="D29" s="53"/>
      <c r="E29" s="53"/>
      <c r="F29" s="53"/>
      <c r="G29" s="53"/>
      <c r="H29" s="53"/>
      <c r="I29" s="53"/>
      <c r="J29" s="53"/>
      <c r="K29" s="53"/>
      <c r="L29" s="44"/>
      <c r="M29" s="44"/>
      <c r="N29" s="677" t="s">
        <v>29</v>
      </c>
      <c r="O29" s="826">
        <v>54.311310517500011</v>
      </c>
      <c r="P29" s="826">
        <v>63.138670817499992</v>
      </c>
      <c r="Q29" s="677"/>
    </row>
    <row r="30" spans="1:18" ht="11.25" customHeight="1">
      <c r="A30" s="44"/>
      <c r="B30" s="44"/>
      <c r="C30" s="53"/>
      <c r="D30" s="53"/>
      <c r="E30" s="53"/>
      <c r="F30" s="53"/>
      <c r="G30" s="53"/>
      <c r="H30" s="53"/>
      <c r="I30" s="53"/>
      <c r="J30" s="53"/>
      <c r="K30" s="53"/>
      <c r="L30" s="44"/>
      <c r="M30" s="44"/>
      <c r="N30" s="677"/>
      <c r="O30" s="677"/>
      <c r="P30" s="677"/>
      <c r="Q30" s="677"/>
    </row>
    <row r="31" spans="1:18" ht="11.25" customHeight="1">
      <c r="A31" s="44"/>
      <c r="B31" s="44"/>
      <c r="C31" s="53"/>
      <c r="D31" s="53"/>
      <c r="E31" s="53"/>
      <c r="F31" s="53"/>
      <c r="G31" s="53"/>
      <c r="H31" s="53"/>
      <c r="I31" s="53"/>
      <c r="J31" s="53"/>
      <c r="K31" s="53"/>
      <c r="L31" s="44"/>
      <c r="M31" s="44"/>
      <c r="O31" s="620"/>
      <c r="P31" s="620"/>
      <c r="Q31" s="681"/>
    </row>
    <row r="32" spans="1:18" ht="11.25" customHeight="1">
      <c r="A32" s="44"/>
      <c r="B32" s="44"/>
      <c r="C32" s="53"/>
      <c r="D32" s="53"/>
      <c r="E32" s="53"/>
      <c r="F32" s="53"/>
      <c r="G32" s="53"/>
      <c r="H32" s="53"/>
      <c r="I32" s="53"/>
      <c r="J32" s="53"/>
      <c r="K32" s="53"/>
      <c r="L32" s="44"/>
      <c r="M32" s="44"/>
      <c r="Q32" s="672"/>
    </row>
    <row r="33" spans="1:17" ht="11.25" customHeight="1">
      <c r="A33" s="44"/>
      <c r="B33" s="44"/>
      <c r="C33" s="53"/>
      <c r="D33" s="53"/>
      <c r="E33" s="53"/>
      <c r="F33" s="53"/>
      <c r="G33" s="53"/>
      <c r="H33" s="53"/>
      <c r="I33" s="53"/>
      <c r="J33" s="53"/>
      <c r="K33" s="53"/>
      <c r="L33" s="44"/>
      <c r="M33" s="44"/>
      <c r="Q33" s="672"/>
    </row>
    <row r="34" spans="1:17" ht="11.25" customHeight="1">
      <c r="A34" s="44"/>
      <c r="B34" s="44"/>
      <c r="C34" s="53"/>
      <c r="D34" s="53"/>
      <c r="E34" s="53"/>
      <c r="F34" s="53"/>
      <c r="G34" s="53"/>
      <c r="H34" s="53"/>
      <c r="I34" s="53"/>
      <c r="J34" s="53"/>
      <c r="K34" s="53"/>
      <c r="L34" s="44"/>
      <c r="M34" s="44"/>
      <c r="Q34" s="672"/>
    </row>
    <row r="35" spans="1:17" ht="11.25" customHeight="1">
      <c r="A35" s="54"/>
      <c r="B35" s="54"/>
      <c r="C35" s="55"/>
      <c r="D35" s="55"/>
      <c r="E35" s="55"/>
      <c r="F35" s="55"/>
      <c r="G35" s="55"/>
      <c r="H35" s="55"/>
      <c r="I35" s="55"/>
      <c r="J35" s="54"/>
      <c r="K35" s="54"/>
      <c r="L35" s="54"/>
      <c r="M35" s="54"/>
      <c r="Q35" s="672"/>
    </row>
    <row r="36" spans="1:17" ht="11.25" customHeight="1">
      <c r="A36" s="54"/>
      <c r="B36" s="54"/>
      <c r="C36" s="55"/>
      <c r="D36" s="55"/>
      <c r="E36" s="55"/>
      <c r="F36" s="55"/>
      <c r="G36" s="55"/>
      <c r="H36" s="55"/>
      <c r="I36" s="55"/>
      <c r="J36" s="54"/>
      <c r="K36" s="54"/>
      <c r="L36" s="54"/>
      <c r="M36" s="54"/>
      <c r="Q36" s="672"/>
    </row>
    <row r="37" spans="1:17" ht="11.25" customHeight="1">
      <c r="A37" s="54"/>
      <c r="B37" s="54"/>
      <c r="C37" s="55"/>
      <c r="D37" s="55"/>
      <c r="E37" s="55"/>
      <c r="F37" s="55"/>
      <c r="G37" s="55"/>
      <c r="H37" s="55"/>
      <c r="I37" s="55"/>
      <c r="J37" s="54"/>
      <c r="K37" s="54"/>
      <c r="L37" s="54"/>
      <c r="M37" s="54"/>
      <c r="N37" s="672"/>
      <c r="O37" s="672"/>
      <c r="P37" s="672"/>
      <c r="Q37" s="672"/>
    </row>
    <row r="38" spans="1:17" ht="11.25" customHeight="1">
      <c r="A38" s="54"/>
      <c r="B38" s="54"/>
      <c r="C38" s="55"/>
      <c r="D38" s="55"/>
      <c r="E38" s="55"/>
      <c r="F38" s="55"/>
      <c r="G38" s="55"/>
      <c r="H38" s="55"/>
      <c r="I38" s="55"/>
      <c r="J38" s="54"/>
      <c r="K38" s="54"/>
      <c r="L38" s="54"/>
      <c r="M38" s="54"/>
      <c r="N38" s="672"/>
      <c r="O38" s="672"/>
      <c r="P38" s="672"/>
      <c r="Q38" s="672"/>
    </row>
    <row r="39" spans="1:17" ht="11.25" customHeight="1">
      <c r="A39" s="54"/>
      <c r="B39" s="54"/>
      <c r="C39" s="55"/>
      <c r="D39" s="55"/>
      <c r="E39" s="55"/>
      <c r="F39" s="55"/>
      <c r="G39" s="55"/>
      <c r="H39" s="55"/>
      <c r="I39" s="55"/>
      <c r="J39" s="54"/>
      <c r="K39" s="54"/>
      <c r="L39" s="54"/>
      <c r="M39" s="54"/>
      <c r="N39" s="672"/>
      <c r="O39" s="672"/>
      <c r="P39" s="672"/>
      <c r="Q39" s="672"/>
    </row>
    <row r="40" spans="1:17" ht="11.25" customHeight="1">
      <c r="A40" s="54"/>
      <c r="B40" s="54"/>
      <c r="C40" s="55"/>
      <c r="D40" s="55"/>
      <c r="E40" s="55"/>
      <c r="F40" s="55"/>
      <c r="G40" s="55"/>
      <c r="H40" s="55"/>
      <c r="I40" s="55"/>
      <c r="J40" s="54"/>
      <c r="K40" s="54"/>
      <c r="L40" s="54"/>
      <c r="M40" s="54"/>
      <c r="N40" s="672"/>
      <c r="O40" s="672"/>
      <c r="P40" s="672"/>
      <c r="Q40" s="672"/>
    </row>
    <row r="41" spans="1:17" ht="11.25" customHeight="1">
      <c r="A41" s="54"/>
      <c r="B41" s="54"/>
      <c r="C41" s="54"/>
      <c r="D41" s="55"/>
      <c r="E41" s="55"/>
      <c r="F41" s="55"/>
      <c r="G41" s="55"/>
      <c r="H41" s="54"/>
      <c r="I41" s="54"/>
      <c r="J41" s="54"/>
      <c r="K41" s="54"/>
      <c r="L41" s="54"/>
      <c r="M41" s="54"/>
      <c r="N41" s="672"/>
      <c r="O41" s="672"/>
      <c r="P41" s="672"/>
      <c r="Q41" s="672"/>
    </row>
    <row r="42" spans="1:17" ht="11.25" customHeight="1">
      <c r="A42" s="54"/>
      <c r="B42" s="54"/>
      <c r="C42" s="55"/>
      <c r="D42" s="55"/>
      <c r="E42" s="55"/>
      <c r="F42" s="55"/>
      <c r="G42" s="55"/>
      <c r="H42" s="55"/>
      <c r="I42" s="55"/>
      <c r="J42" s="54"/>
      <c r="K42" s="54"/>
      <c r="L42" s="54"/>
      <c r="M42" s="54"/>
      <c r="N42" s="672"/>
      <c r="O42" s="672"/>
      <c r="P42" s="672"/>
      <c r="Q42" s="672"/>
    </row>
    <row r="43" spans="1:17" ht="11.25" customHeight="1">
      <c r="A43" s="54"/>
      <c r="B43" s="54"/>
      <c r="C43" s="55"/>
      <c r="D43" s="55"/>
      <c r="E43" s="55"/>
      <c r="F43" s="55"/>
      <c r="G43" s="55"/>
      <c r="H43" s="55"/>
      <c r="I43" s="55"/>
      <c r="J43" s="54"/>
      <c r="K43" s="54"/>
      <c r="L43" s="54"/>
      <c r="M43" s="54"/>
      <c r="N43" s="672"/>
      <c r="O43" s="672"/>
      <c r="P43" s="672"/>
      <c r="Q43" s="672"/>
    </row>
    <row r="44" spans="1:17" ht="11.25" customHeight="1">
      <c r="A44" s="54"/>
      <c r="B44" s="54"/>
      <c r="C44" s="55"/>
      <c r="D44" s="55"/>
      <c r="E44" s="55"/>
      <c r="F44" s="55"/>
      <c r="G44" s="55"/>
      <c r="H44" s="55"/>
      <c r="I44" s="55"/>
      <c r="J44" s="54"/>
      <c r="K44" s="54"/>
      <c r="L44" s="54"/>
      <c r="M44" s="54"/>
      <c r="N44" s="672"/>
      <c r="O44" s="672"/>
      <c r="P44" s="672"/>
      <c r="Q44" s="672"/>
    </row>
    <row r="45" spans="1:17" ht="11.25" customHeight="1">
      <c r="A45" s="54"/>
      <c r="B45" s="54"/>
      <c r="C45" s="55"/>
      <c r="D45" s="55"/>
      <c r="E45" s="55"/>
      <c r="F45" s="55"/>
      <c r="G45" s="55"/>
      <c r="H45" s="55"/>
      <c r="I45" s="55"/>
      <c r="J45" s="54"/>
      <c r="K45" s="54"/>
      <c r="L45" s="54"/>
      <c r="M45" s="54"/>
      <c r="N45" s="672"/>
      <c r="O45" s="672"/>
      <c r="P45" s="672"/>
      <c r="Q45" s="672"/>
    </row>
    <row r="46" spans="1:17" ht="11.25" customHeight="1">
      <c r="A46" s="54"/>
      <c r="B46" s="54"/>
      <c r="C46" s="54"/>
      <c r="D46" s="54"/>
      <c r="E46" s="54"/>
      <c r="F46" s="54"/>
      <c r="G46" s="54"/>
      <c r="H46" s="54"/>
      <c r="I46" s="54"/>
      <c r="J46" s="54"/>
      <c r="K46" s="54"/>
      <c r="L46" s="54"/>
      <c r="M46" s="54"/>
      <c r="N46" s="672"/>
      <c r="O46" s="672"/>
      <c r="P46" s="672"/>
      <c r="Q46" s="672"/>
    </row>
    <row r="47" spans="1:17" ht="16.5" customHeight="1">
      <c r="A47" s="54"/>
      <c r="B47" s="838" t="str">
        <f>"Total = "&amp;TEXT(ROUND(SUM(O23:O29),2),"0 000,00")&amp;" GWh"</f>
        <v>Total = 4 526,44 GWh</v>
      </c>
      <c r="C47" s="838"/>
      <c r="D47" s="838"/>
      <c r="E47" s="838"/>
      <c r="F47" s="54"/>
      <c r="G47" s="54"/>
      <c r="H47" s="837" t="str">
        <f>"Total = "&amp;TEXT(ROUND(SUM(P23:P29),2),"0 000,00")&amp;" GWh"</f>
        <v>Total = 4 321,24 GWh</v>
      </c>
      <c r="I47" s="837"/>
      <c r="J47" s="837"/>
      <c r="K47" s="837"/>
      <c r="L47" s="54"/>
      <c r="M47" s="54"/>
      <c r="N47" s="672"/>
      <c r="O47" s="672"/>
      <c r="P47" s="672"/>
      <c r="Q47" s="672"/>
    </row>
    <row r="48" spans="1:17" ht="11.25" customHeight="1">
      <c r="H48" s="54"/>
      <c r="I48" s="54"/>
      <c r="J48" s="54"/>
      <c r="K48" s="54"/>
      <c r="L48" s="54"/>
      <c r="M48" s="54"/>
      <c r="N48" s="672"/>
      <c r="O48" s="672"/>
      <c r="P48" s="672"/>
      <c r="Q48" s="672"/>
    </row>
    <row r="49" spans="1:17" ht="11.25" customHeight="1">
      <c r="B49" s="836" t="str">
        <f>"Gráfico 1: Comparación de producción mensual de electricidad en "&amp;Q4&amp;" por tipo de recurso energético."</f>
        <v>Gráfico 1: Comparación de producción mensual de electricidad en febrero por tipo de recurso energético.</v>
      </c>
      <c r="C49" s="836"/>
      <c r="D49" s="836"/>
      <c r="E49" s="836"/>
      <c r="F49" s="836"/>
      <c r="G49" s="836"/>
      <c r="H49" s="836"/>
      <c r="I49" s="836"/>
      <c r="J49" s="836"/>
      <c r="K49" s="836"/>
      <c r="L49" s="836"/>
      <c r="M49" s="227"/>
      <c r="N49" s="682"/>
      <c r="O49" s="672"/>
      <c r="P49" s="672"/>
      <c r="Q49" s="672"/>
    </row>
    <row r="50" spans="1:17" ht="11.25" customHeight="1">
      <c r="B50" s="555"/>
      <c r="C50" s="555"/>
      <c r="D50" s="555"/>
      <c r="E50" s="555"/>
      <c r="F50" s="555"/>
      <c r="G50" s="555"/>
      <c r="H50" s="555"/>
      <c r="I50" s="555"/>
      <c r="J50" s="555"/>
      <c r="K50" s="555"/>
      <c r="L50" s="555"/>
      <c r="M50" s="227"/>
      <c r="N50" s="682"/>
      <c r="O50" s="672"/>
      <c r="P50" s="672"/>
      <c r="Q50" s="672"/>
    </row>
    <row r="51" spans="1:17" ht="11.25" customHeight="1">
      <c r="A51" s="54"/>
      <c r="B51" s="54"/>
      <c r="C51" s="45"/>
      <c r="D51" s="45"/>
      <c r="E51" s="54"/>
      <c r="F51" s="54"/>
      <c r="G51" s="54"/>
      <c r="H51" s="54"/>
      <c r="I51" s="54"/>
      <c r="J51" s="54"/>
      <c r="K51" s="54"/>
      <c r="L51" s="54"/>
      <c r="M51" s="54"/>
      <c r="N51" s="672"/>
      <c r="O51" s="672"/>
      <c r="P51" s="672"/>
      <c r="Q51" s="672"/>
    </row>
    <row r="52" spans="1:17" ht="11.25" customHeight="1">
      <c r="A52" s="54"/>
      <c r="B52" s="54"/>
      <c r="C52" s="54"/>
      <c r="D52" s="54"/>
      <c r="E52" s="54"/>
      <c r="F52" s="54"/>
      <c r="G52" s="54"/>
      <c r="H52" s="54"/>
      <c r="I52" s="54"/>
      <c r="J52" s="54"/>
      <c r="K52" s="54"/>
      <c r="L52" s="54"/>
      <c r="M52" s="54"/>
      <c r="N52" s="672"/>
      <c r="O52" s="672"/>
      <c r="P52" s="672"/>
      <c r="Q52" s="672"/>
    </row>
    <row r="53" spans="1:17" ht="11.25" customHeight="1">
      <c r="A53" s="54"/>
      <c r="B53" s="54"/>
      <c r="C53" s="54"/>
      <c r="D53" s="54"/>
      <c r="E53" s="54"/>
      <c r="F53" s="54"/>
      <c r="G53" s="54"/>
      <c r="H53" s="54"/>
      <c r="I53" s="54"/>
      <c r="J53" s="54"/>
      <c r="K53" s="54"/>
      <c r="L53" s="54"/>
      <c r="M53" s="54"/>
      <c r="N53" s="672"/>
      <c r="O53" s="672"/>
      <c r="P53" s="672"/>
      <c r="Q53" s="672"/>
    </row>
    <row r="54" spans="1:17" ht="11.25" customHeight="1">
      <c r="A54" s="54"/>
      <c r="B54" s="54"/>
      <c r="C54" s="54"/>
      <c r="D54" s="54"/>
      <c r="E54" s="54"/>
      <c r="F54" s="54"/>
      <c r="G54" s="54"/>
      <c r="H54" s="54"/>
      <c r="I54" s="54"/>
      <c r="J54" s="54"/>
      <c r="K54" s="54"/>
      <c r="L54" s="54"/>
      <c r="M54" s="54"/>
      <c r="N54" s="672"/>
      <c r="O54" s="672"/>
      <c r="P54" s="672"/>
      <c r="Q54" s="672"/>
    </row>
    <row r="55" spans="1:17" ht="11.25" customHeight="1">
      <c r="A55" s="9"/>
      <c r="B55" s="56"/>
      <c r="C55" s="56"/>
      <c r="D55" s="56"/>
      <c r="E55" s="56"/>
      <c r="F55" s="56"/>
      <c r="G55" s="56"/>
      <c r="H55" s="56"/>
      <c r="I55" s="56"/>
      <c r="J55" s="56"/>
      <c r="K55" s="57"/>
      <c r="L55" s="58"/>
    </row>
    <row r="56" spans="1:17" ht="11.25" customHeight="1">
      <c r="A56" s="9"/>
      <c r="B56" s="56"/>
      <c r="C56" s="56"/>
      <c r="D56" s="56"/>
      <c r="E56" s="56"/>
      <c r="F56" s="56"/>
      <c r="G56" s="56"/>
      <c r="H56" s="56"/>
      <c r="I56" s="56"/>
      <c r="J56" s="56"/>
      <c r="K56" s="57"/>
      <c r="L56" s="58"/>
    </row>
    <row r="57" spans="1:17" ht="11.25" customHeight="1">
      <c r="A57" s="59"/>
      <c r="B57" s="59"/>
      <c r="C57" s="59"/>
      <c r="D57" s="59"/>
      <c r="E57" s="59"/>
      <c r="F57" s="59"/>
      <c r="G57" s="59"/>
      <c r="H57" s="59"/>
      <c r="I57" s="59"/>
      <c r="J57" s="59"/>
      <c r="K57" s="59"/>
      <c r="L57" s="59"/>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4">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sheetData>
  <mergeCells count="11">
    <mergeCell ref="A1:M1"/>
    <mergeCell ref="B49:L49"/>
    <mergeCell ref="H47:K47"/>
    <mergeCell ref="B47:E47"/>
    <mergeCell ref="B18:M18"/>
    <mergeCell ref="B12:M12"/>
    <mergeCell ref="B14:M14"/>
    <mergeCell ref="B16:M16"/>
    <mergeCell ref="C20:E20"/>
    <mergeCell ref="I20:L20"/>
    <mergeCell ref="C3:K3"/>
  </mergeCells>
  <pageMargins left="0.4365" right="0.33950000000000002" top="0.97950980392156861" bottom="0.43745098039215685"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587E-95F2-429F-AD4A-B1F42F77AA6B}">
  <sheetPr>
    <tabColor theme="4"/>
  </sheetPr>
  <dimension ref="A1:I47"/>
  <sheetViews>
    <sheetView showGridLines="0" view="pageBreakPreview" zoomScaleNormal="100" zoomScaleSheetLayoutView="100" workbookViewId="0">
      <selection activeCell="D14" sqref="D14"/>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348</v>
      </c>
      <c r="B1" s="557"/>
      <c r="C1" s="557"/>
      <c r="D1" s="557"/>
      <c r="E1" s="557"/>
      <c r="F1" s="557"/>
    </row>
    <row r="2" spans="1:9" ht="30" customHeight="1">
      <c r="A2" s="559" t="s">
        <v>243</v>
      </c>
      <c r="B2" s="560" t="s">
        <v>349</v>
      </c>
      <c r="C2" s="559" t="s">
        <v>338</v>
      </c>
      <c r="D2" s="561" t="s">
        <v>350</v>
      </c>
      <c r="E2" s="562" t="s">
        <v>351</v>
      </c>
      <c r="F2" s="562" t="s">
        <v>352</v>
      </c>
      <c r="G2" s="563"/>
      <c r="H2" s="564"/>
      <c r="I2" s="565"/>
    </row>
    <row r="3" spans="1:9" ht="46.2" customHeight="1">
      <c r="A3" s="568" t="s">
        <v>542</v>
      </c>
      <c r="B3" s="568" t="s">
        <v>744</v>
      </c>
      <c r="C3" s="566">
        <v>44976.520833333336</v>
      </c>
      <c r="D3" s="567" t="s">
        <v>745</v>
      </c>
      <c r="E3" s="568">
        <v>2.16</v>
      </c>
      <c r="F3" s="568"/>
      <c r="G3" s="569"/>
      <c r="H3" s="569"/>
      <c r="I3" s="573"/>
    </row>
    <row r="4" spans="1:9" ht="55.8" customHeight="1">
      <c r="A4" s="568" t="s">
        <v>595</v>
      </c>
      <c r="B4" s="568" t="s">
        <v>746</v>
      </c>
      <c r="C4" s="566">
        <v>44977.519444444442</v>
      </c>
      <c r="D4" s="567" t="s">
        <v>747</v>
      </c>
      <c r="E4" s="568">
        <v>4.8</v>
      </c>
      <c r="F4" s="568"/>
      <c r="G4" s="569"/>
      <c r="H4" s="569"/>
      <c r="I4" s="573"/>
    </row>
    <row r="5" spans="1:9" ht="48.6" customHeight="1">
      <c r="A5" s="568" t="s">
        <v>538</v>
      </c>
      <c r="B5" s="568" t="s">
        <v>543</v>
      </c>
      <c r="C5" s="566">
        <v>44977.584027777775</v>
      </c>
      <c r="D5" s="567" t="s">
        <v>748</v>
      </c>
      <c r="E5" s="568">
        <v>5.0999999999999996</v>
      </c>
      <c r="F5" s="568"/>
      <c r="G5" s="569"/>
      <c r="H5" s="569"/>
      <c r="I5" s="573"/>
    </row>
    <row r="6" spans="1:9" ht="50.4" customHeight="1">
      <c r="A6" s="568" t="s">
        <v>444</v>
      </c>
      <c r="B6" s="568" t="s">
        <v>594</v>
      </c>
      <c r="C6" s="566">
        <v>44978.272916666669</v>
      </c>
      <c r="D6" s="567" t="s">
        <v>749</v>
      </c>
      <c r="E6" s="568">
        <v>7.1</v>
      </c>
      <c r="F6" s="568"/>
      <c r="G6" s="569"/>
      <c r="H6" s="569"/>
      <c r="I6" s="573"/>
    </row>
    <row r="7" spans="1:9" ht="56.4" customHeight="1">
      <c r="A7" s="568" t="s">
        <v>444</v>
      </c>
      <c r="B7" s="568" t="s">
        <v>750</v>
      </c>
      <c r="C7" s="566">
        <v>44978.524305555555</v>
      </c>
      <c r="D7" s="567" t="s">
        <v>751</v>
      </c>
      <c r="E7" s="568">
        <v>18.399999999999999</v>
      </c>
      <c r="F7" s="568"/>
      <c r="G7" s="569"/>
      <c r="H7" s="569"/>
      <c r="I7" s="573"/>
    </row>
    <row r="8" spans="1:9" ht="55.2" customHeight="1">
      <c r="A8" s="568" t="s">
        <v>730</v>
      </c>
      <c r="B8" s="568" t="s">
        <v>731</v>
      </c>
      <c r="C8" s="566">
        <v>44978.638194444444</v>
      </c>
      <c r="D8" s="567" t="s">
        <v>752</v>
      </c>
      <c r="E8" s="568">
        <v>7.88</v>
      </c>
      <c r="F8" s="568"/>
    </row>
    <row r="9" spans="1:9" ht="50.4" customHeight="1">
      <c r="A9" s="568" t="s">
        <v>753</v>
      </c>
      <c r="B9" s="568" t="s">
        <v>754</v>
      </c>
      <c r="C9" s="566">
        <v>44978.667361111111</v>
      </c>
      <c r="D9" s="567" t="s">
        <v>755</v>
      </c>
      <c r="E9" s="568"/>
      <c r="F9" s="568">
        <v>19.14</v>
      </c>
    </row>
    <row r="10" spans="1:9" ht="55.8" customHeight="1">
      <c r="A10" s="568" t="s">
        <v>596</v>
      </c>
      <c r="B10" s="568" t="s">
        <v>713</v>
      </c>
      <c r="C10" s="566">
        <v>44978.779861111114</v>
      </c>
      <c r="D10" s="567" t="s">
        <v>756</v>
      </c>
      <c r="E10" s="568"/>
      <c r="F10" s="568">
        <v>93.11</v>
      </c>
    </row>
    <row r="11" spans="1:9" ht="53.4" customHeight="1">
      <c r="A11" s="568" t="s">
        <v>595</v>
      </c>
      <c r="B11" s="568" t="s">
        <v>746</v>
      </c>
      <c r="C11" s="566">
        <v>44979.583333333336</v>
      </c>
      <c r="D11" s="567" t="s">
        <v>757</v>
      </c>
      <c r="E11" s="568">
        <v>5.0999999999999996</v>
      </c>
      <c r="F11" s="568"/>
    </row>
    <row r="12" spans="1:9" ht="48.6" customHeight="1">
      <c r="A12" s="568" t="s">
        <v>595</v>
      </c>
      <c r="B12" s="568" t="s">
        <v>598</v>
      </c>
      <c r="C12" s="566">
        <v>44979.630555555559</v>
      </c>
      <c r="D12" s="567" t="s">
        <v>758</v>
      </c>
      <c r="E12" s="568">
        <v>3.15</v>
      </c>
      <c r="F12" s="568"/>
    </row>
    <row r="13" spans="1:9" ht="56.4" customHeight="1">
      <c r="A13" s="568" t="s">
        <v>595</v>
      </c>
      <c r="B13" s="568" t="s">
        <v>598</v>
      </c>
      <c r="C13" s="566">
        <v>44979.679861111108</v>
      </c>
      <c r="D13" s="567" t="s">
        <v>759</v>
      </c>
      <c r="E13" s="568">
        <v>3.69</v>
      </c>
      <c r="F13" s="568"/>
    </row>
    <row r="14" spans="1:9" ht="72" customHeight="1">
      <c r="A14" s="568" t="s">
        <v>595</v>
      </c>
      <c r="B14" s="568" t="s">
        <v>760</v>
      </c>
      <c r="C14" s="566">
        <v>44979.76458333333</v>
      </c>
      <c r="D14" s="567" t="s">
        <v>761</v>
      </c>
      <c r="E14" s="568">
        <v>7.01</v>
      </c>
      <c r="F14" s="568"/>
    </row>
    <row r="15" spans="1:9" ht="43.2" customHeight="1">
      <c r="A15" s="568" t="s">
        <v>762</v>
      </c>
      <c r="B15" s="568" t="s">
        <v>763</v>
      </c>
      <c r="C15" s="566">
        <v>44979.765277777777</v>
      </c>
      <c r="D15" s="567" t="s">
        <v>764</v>
      </c>
      <c r="E15" s="568">
        <v>1.2</v>
      </c>
      <c r="F15" s="568"/>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row r="40" spans="5:6">
      <c r="E40" s="575"/>
      <c r="F40" s="575"/>
    </row>
    <row r="41" spans="5:6">
      <c r="E41" s="575"/>
      <c r="F41" s="575"/>
    </row>
    <row r="42" spans="5:6">
      <c r="E42" s="575"/>
      <c r="F42" s="575"/>
    </row>
    <row r="43" spans="5:6">
      <c r="E43" s="575"/>
      <c r="F43" s="575"/>
    </row>
    <row r="44" spans="5:6">
      <c r="E44" s="575"/>
      <c r="F44" s="575"/>
    </row>
    <row r="45" spans="5:6">
      <c r="E45" s="575"/>
      <c r="F45" s="575"/>
    </row>
    <row r="46" spans="5:6">
      <c r="E46" s="575"/>
      <c r="F46" s="575"/>
    </row>
    <row r="47" spans="5:6">
      <c r="E47" s="575"/>
      <c r="F47"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BD40-EDD9-45E9-9859-AD81DD737E9C}">
  <sheetPr>
    <tabColor theme="4"/>
  </sheetPr>
  <dimension ref="A1:I39"/>
  <sheetViews>
    <sheetView showGridLines="0" view="pageBreakPreview" topLeftCell="A10" zoomScaleNormal="100" zoomScaleSheetLayoutView="100" workbookViewId="0">
      <selection activeCell="D14" sqref="D14"/>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348</v>
      </c>
      <c r="B1" s="557"/>
      <c r="C1" s="557"/>
      <c r="D1" s="557"/>
      <c r="E1" s="557"/>
      <c r="F1" s="557"/>
    </row>
    <row r="2" spans="1:9" ht="25.2" customHeight="1">
      <c r="A2" s="559" t="s">
        <v>243</v>
      </c>
      <c r="B2" s="560" t="s">
        <v>349</v>
      </c>
      <c r="C2" s="559" t="s">
        <v>338</v>
      </c>
      <c r="D2" s="561" t="s">
        <v>350</v>
      </c>
      <c r="E2" s="562" t="s">
        <v>351</v>
      </c>
      <c r="F2" s="562" t="s">
        <v>352</v>
      </c>
      <c r="G2" s="563"/>
      <c r="H2" s="564"/>
      <c r="I2" s="565"/>
    </row>
    <row r="3" spans="1:9" ht="65.400000000000006" customHeight="1">
      <c r="A3" s="568" t="s">
        <v>533</v>
      </c>
      <c r="B3" s="568" t="s">
        <v>765</v>
      </c>
      <c r="C3" s="566">
        <v>44980.036111111112</v>
      </c>
      <c r="D3" s="567" t="s">
        <v>766</v>
      </c>
      <c r="E3" s="568"/>
      <c r="F3" s="568">
        <v>5.62</v>
      </c>
      <c r="G3" s="569"/>
      <c r="H3" s="569"/>
      <c r="I3" s="573"/>
    </row>
    <row r="4" spans="1:9" ht="48.6" customHeight="1">
      <c r="A4" s="568" t="s">
        <v>538</v>
      </c>
      <c r="B4" s="568" t="s">
        <v>549</v>
      </c>
      <c r="C4" s="566">
        <v>44980.085416666669</v>
      </c>
      <c r="D4" s="567" t="s">
        <v>767</v>
      </c>
      <c r="E4" s="568">
        <v>3</v>
      </c>
      <c r="F4" s="568"/>
      <c r="G4" s="569"/>
      <c r="H4" s="569"/>
      <c r="I4" s="573"/>
    </row>
    <row r="5" spans="1:9" ht="54" customHeight="1">
      <c r="A5" s="568" t="s">
        <v>538</v>
      </c>
      <c r="B5" s="568" t="s">
        <v>549</v>
      </c>
      <c r="C5" s="566">
        <v>44980.117361111108</v>
      </c>
      <c r="D5" s="567" t="s">
        <v>768</v>
      </c>
      <c r="E5" s="568">
        <v>3</v>
      </c>
      <c r="F5" s="568"/>
      <c r="G5" s="569"/>
      <c r="H5" s="569"/>
      <c r="I5" s="573"/>
    </row>
    <row r="6" spans="1:9" ht="52.8" customHeight="1">
      <c r="A6" s="568" t="s">
        <v>538</v>
      </c>
      <c r="B6" s="568" t="s">
        <v>549</v>
      </c>
      <c r="C6" s="566">
        <v>44980.122916666667</v>
      </c>
      <c r="D6" s="567" t="s">
        <v>769</v>
      </c>
      <c r="E6" s="568">
        <v>2.9</v>
      </c>
      <c r="F6" s="568"/>
      <c r="G6" s="569"/>
      <c r="H6" s="569"/>
      <c r="I6" s="573"/>
    </row>
    <row r="7" spans="1:9" ht="60.6" customHeight="1">
      <c r="A7" s="568" t="s">
        <v>533</v>
      </c>
      <c r="B7" s="568" t="s">
        <v>765</v>
      </c>
      <c r="C7" s="566">
        <v>44980.136805555558</v>
      </c>
      <c r="D7" s="567" t="s">
        <v>770</v>
      </c>
      <c r="E7" s="568"/>
      <c r="F7" s="568">
        <v>4.45</v>
      </c>
      <c r="G7" s="569"/>
      <c r="H7" s="569"/>
      <c r="I7" s="573"/>
    </row>
    <row r="8" spans="1:9" ht="52.2" customHeight="1">
      <c r="A8" s="568" t="s">
        <v>538</v>
      </c>
      <c r="B8" s="568" t="s">
        <v>549</v>
      </c>
      <c r="C8" s="566">
        <v>44980.14166666667</v>
      </c>
      <c r="D8" s="567" t="s">
        <v>771</v>
      </c>
      <c r="E8" s="568">
        <v>2.38</v>
      </c>
      <c r="F8" s="568"/>
    </row>
    <row r="9" spans="1:9" ht="56.4" customHeight="1">
      <c r="A9" s="568" t="s">
        <v>533</v>
      </c>
      <c r="B9" s="568" t="s">
        <v>765</v>
      </c>
      <c r="C9" s="566">
        <v>44980.257638888892</v>
      </c>
      <c r="D9" s="567" t="s">
        <v>772</v>
      </c>
      <c r="E9" s="568">
        <v>0.4</v>
      </c>
      <c r="F9" s="568"/>
    </row>
    <row r="10" spans="1:9" ht="48" customHeight="1">
      <c r="A10" s="568" t="s">
        <v>570</v>
      </c>
      <c r="B10" s="568" t="s">
        <v>571</v>
      </c>
      <c r="C10" s="566">
        <v>44980.262499999997</v>
      </c>
      <c r="D10" s="567" t="s">
        <v>773</v>
      </c>
      <c r="E10" s="568">
        <v>0.16</v>
      </c>
      <c r="F10" s="568"/>
    </row>
    <row r="11" spans="1:9" ht="57.6" customHeight="1">
      <c r="A11" s="568" t="s">
        <v>533</v>
      </c>
      <c r="B11" s="568" t="s">
        <v>774</v>
      </c>
      <c r="C11" s="566">
        <v>44980.331250000003</v>
      </c>
      <c r="D11" s="567" t="s">
        <v>775</v>
      </c>
      <c r="E11" s="568">
        <v>35.5</v>
      </c>
      <c r="F11" s="568"/>
    </row>
    <row r="12" spans="1:9" ht="85.2" customHeight="1">
      <c r="A12" s="568" t="s">
        <v>567</v>
      </c>
      <c r="B12" s="568" t="s">
        <v>568</v>
      </c>
      <c r="C12" s="566">
        <v>44980.522222222222</v>
      </c>
      <c r="D12" s="567" t="s">
        <v>799</v>
      </c>
      <c r="E12" s="568">
        <v>18.920000000000002</v>
      </c>
      <c r="F12" s="568"/>
    </row>
    <row r="13" spans="1:9" ht="58.2" customHeight="1">
      <c r="A13" s="568" t="s">
        <v>569</v>
      </c>
      <c r="B13" s="568" t="s">
        <v>776</v>
      </c>
      <c r="C13" s="566">
        <v>44980.584722222222</v>
      </c>
      <c r="D13" s="567" t="s">
        <v>777</v>
      </c>
      <c r="E13" s="568">
        <v>7.69</v>
      </c>
      <c r="F13" s="568"/>
    </row>
    <row r="14" spans="1:9" ht="47.4" customHeight="1">
      <c r="A14" s="568" t="s">
        <v>538</v>
      </c>
      <c r="B14" s="568" t="s">
        <v>548</v>
      </c>
      <c r="C14" s="566">
        <v>44980.727777777778</v>
      </c>
      <c r="D14" s="567" t="s">
        <v>778</v>
      </c>
      <c r="E14" s="568">
        <v>1.2</v>
      </c>
      <c r="F14" s="568"/>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2C0CA-E74C-42B2-B2C8-0B516DD58AFB}">
  <sheetPr>
    <tabColor theme="4"/>
  </sheetPr>
  <dimension ref="A1:I39"/>
  <sheetViews>
    <sheetView showGridLines="0" view="pageBreakPreview" zoomScaleNormal="100" zoomScaleSheetLayoutView="100" workbookViewId="0">
      <selection activeCell="D14" sqref="D14"/>
    </sheetView>
  </sheetViews>
  <sheetFormatPr baseColWidth="10" defaultColWidth="9.28515625" defaultRowHeight="9.6"/>
  <cols>
    <col min="1" max="1" width="16.140625" style="558" customWidth="1"/>
    <col min="2" max="2" width="19.7109375" style="558" customWidth="1"/>
    <col min="3" max="3" width="12.85546875" style="558" bestFit="1" customWidth="1"/>
    <col min="4" max="4" width="50.7109375" style="558" customWidth="1"/>
    <col min="5" max="6" width="12" style="558" customWidth="1"/>
    <col min="7" max="8" width="9.28515625" style="558" customWidth="1"/>
    <col min="9" max="16384" width="9.28515625" style="558"/>
  </cols>
  <sheetData>
    <row r="1" spans="1:9" ht="11.25" customHeight="1">
      <c r="A1" s="556" t="s">
        <v>348</v>
      </c>
      <c r="B1" s="557"/>
      <c r="C1" s="557"/>
      <c r="D1" s="557"/>
      <c r="E1" s="557"/>
      <c r="F1" s="557"/>
    </row>
    <row r="2" spans="1:9" ht="25.2" customHeight="1">
      <c r="A2" s="559" t="s">
        <v>243</v>
      </c>
      <c r="B2" s="560" t="s">
        <v>349</v>
      </c>
      <c r="C2" s="559" t="s">
        <v>338</v>
      </c>
      <c r="D2" s="561" t="s">
        <v>350</v>
      </c>
      <c r="E2" s="562" t="s">
        <v>351</v>
      </c>
      <c r="F2" s="562" t="s">
        <v>352</v>
      </c>
      <c r="G2" s="563"/>
      <c r="H2" s="564"/>
      <c r="I2" s="565"/>
    </row>
    <row r="3" spans="1:9" ht="54" customHeight="1">
      <c r="A3" s="568" t="s">
        <v>569</v>
      </c>
      <c r="B3" s="568" t="s">
        <v>776</v>
      </c>
      <c r="C3" s="566">
        <v>44982.592361111114</v>
      </c>
      <c r="D3" s="567" t="s">
        <v>779</v>
      </c>
      <c r="E3" s="568">
        <v>7.65</v>
      </c>
      <c r="F3" s="568"/>
      <c r="G3" s="569"/>
      <c r="H3" s="569"/>
      <c r="I3" s="573"/>
    </row>
    <row r="4" spans="1:9" ht="65.400000000000006" customHeight="1">
      <c r="A4" s="568" t="s">
        <v>444</v>
      </c>
      <c r="B4" s="568" t="s">
        <v>780</v>
      </c>
      <c r="C4" s="566">
        <v>44983.59375</v>
      </c>
      <c r="D4" s="567" t="s">
        <v>781</v>
      </c>
      <c r="E4" s="568">
        <v>0.49</v>
      </c>
      <c r="F4" s="568"/>
      <c r="G4" s="569"/>
      <c r="H4" s="569"/>
      <c r="I4" s="573"/>
    </row>
    <row r="5" spans="1:9" ht="65.400000000000006" customHeight="1">
      <c r="A5" s="568" t="s">
        <v>567</v>
      </c>
      <c r="B5" s="568" t="s">
        <v>568</v>
      </c>
      <c r="C5" s="566">
        <v>44984.129166666666</v>
      </c>
      <c r="D5" s="567" t="s">
        <v>782</v>
      </c>
      <c r="E5" s="568">
        <v>11.98</v>
      </c>
      <c r="F5" s="568"/>
      <c r="G5" s="569"/>
      <c r="H5" s="569"/>
      <c r="I5" s="573"/>
    </row>
    <row r="6" spans="1:9" ht="98.4" customHeight="1">
      <c r="A6" s="568" t="s">
        <v>783</v>
      </c>
      <c r="B6" s="568" t="s">
        <v>784</v>
      </c>
      <c r="C6" s="566">
        <v>44984.60833333333</v>
      </c>
      <c r="D6" s="567" t="s">
        <v>785</v>
      </c>
      <c r="E6" s="568">
        <v>400</v>
      </c>
      <c r="F6" s="568"/>
      <c r="G6" s="569"/>
      <c r="H6" s="569"/>
      <c r="I6" s="573"/>
    </row>
    <row r="7" spans="1:9" ht="60.6" customHeight="1">
      <c r="A7" s="568" t="s">
        <v>542</v>
      </c>
      <c r="B7" s="568" t="s">
        <v>786</v>
      </c>
      <c r="C7" s="566">
        <v>44984.768750000003</v>
      </c>
      <c r="D7" s="567" t="s">
        <v>787</v>
      </c>
      <c r="E7" s="568">
        <v>1.6</v>
      </c>
      <c r="F7" s="568"/>
      <c r="G7" s="569"/>
      <c r="H7" s="569"/>
      <c r="I7" s="573"/>
    </row>
    <row r="8" spans="1:9" ht="58.2" customHeight="1">
      <c r="A8" s="568" t="s">
        <v>444</v>
      </c>
      <c r="B8" s="568" t="s">
        <v>788</v>
      </c>
      <c r="C8" s="566">
        <v>44985.37777777778</v>
      </c>
      <c r="D8" s="567" t="s">
        <v>789</v>
      </c>
      <c r="E8" s="568">
        <v>14</v>
      </c>
      <c r="F8" s="568"/>
    </row>
    <row r="9" spans="1:9" ht="56.4" customHeight="1">
      <c r="A9" s="828"/>
      <c r="B9" s="828"/>
      <c r="C9" s="829"/>
      <c r="D9" s="830"/>
      <c r="E9" s="828"/>
      <c r="F9" s="828"/>
    </row>
    <row r="10" spans="1:9" ht="48" customHeight="1">
      <c r="A10" s="831"/>
      <c r="B10" s="831"/>
      <c r="C10" s="832"/>
      <c r="D10" s="833"/>
      <c r="E10" s="831"/>
      <c r="F10" s="831"/>
    </row>
    <row r="11" spans="1:9" ht="57.6" customHeight="1">
      <c r="A11" s="831"/>
      <c r="B11" s="831"/>
      <c r="C11" s="832"/>
      <c r="D11" s="833"/>
      <c r="E11" s="831"/>
      <c r="F11" s="831"/>
    </row>
    <row r="12" spans="1:9" ht="85.2" customHeight="1">
      <c r="A12" s="831"/>
      <c r="B12" s="831"/>
      <c r="C12" s="832"/>
      <c r="D12" s="833"/>
      <c r="E12" s="831"/>
      <c r="F12" s="831"/>
    </row>
    <row r="13" spans="1:9" ht="58.2" customHeight="1">
      <c r="A13" s="831"/>
      <c r="B13" s="831"/>
      <c r="C13" s="832"/>
      <c r="D13" s="833"/>
      <c r="E13" s="831"/>
      <c r="F13" s="831"/>
    </row>
    <row r="14" spans="1:9" ht="47.4" customHeight="1">
      <c r="A14" s="831"/>
      <c r="B14" s="831"/>
      <c r="C14" s="832"/>
      <c r="D14" s="833"/>
      <c r="E14" s="831"/>
      <c r="F14" s="831"/>
    </row>
    <row r="15" spans="1:9">
      <c r="E15" s="575"/>
      <c r="F15" s="575"/>
    </row>
    <row r="16" spans="1:9">
      <c r="E16" s="575"/>
      <c r="F16" s="575"/>
    </row>
    <row r="17" spans="5:6">
      <c r="E17" s="575"/>
      <c r="F17" s="575"/>
    </row>
    <row r="18" spans="5:6">
      <c r="E18" s="575"/>
      <c r="F18" s="575"/>
    </row>
    <row r="19" spans="5:6">
      <c r="E19" s="575"/>
      <c r="F19" s="575"/>
    </row>
    <row r="20" spans="5:6">
      <c r="E20" s="575"/>
      <c r="F20" s="575"/>
    </row>
    <row r="21" spans="5:6">
      <c r="E21" s="575"/>
      <c r="F21" s="575"/>
    </row>
    <row r="22" spans="5:6">
      <c r="E22" s="575"/>
      <c r="F22" s="575"/>
    </row>
    <row r="23" spans="5:6">
      <c r="E23" s="575"/>
      <c r="F23" s="575"/>
    </row>
    <row r="24" spans="5:6">
      <c r="E24" s="575"/>
      <c r="F24" s="575"/>
    </row>
    <row r="25" spans="5:6">
      <c r="E25" s="575"/>
      <c r="F25" s="575"/>
    </row>
    <row r="26" spans="5:6">
      <c r="E26" s="575"/>
      <c r="F26" s="575"/>
    </row>
    <row r="27" spans="5:6">
      <c r="E27" s="575"/>
      <c r="F27" s="575"/>
    </row>
    <row r="28" spans="5:6">
      <c r="E28" s="575"/>
      <c r="F28" s="575"/>
    </row>
    <row r="29" spans="5:6">
      <c r="E29" s="575"/>
      <c r="F29" s="575"/>
    </row>
    <row r="30" spans="5:6">
      <c r="E30" s="575"/>
      <c r="F30" s="575"/>
    </row>
    <row r="31" spans="5:6">
      <c r="E31" s="575"/>
      <c r="F31" s="575"/>
    </row>
    <row r="32" spans="5:6">
      <c r="E32" s="575"/>
      <c r="F32" s="575"/>
    </row>
    <row r="33" spans="5:6">
      <c r="E33" s="575"/>
      <c r="F33" s="575"/>
    </row>
    <row r="34" spans="5:6">
      <c r="E34" s="575"/>
      <c r="F34" s="575"/>
    </row>
    <row r="35" spans="5:6">
      <c r="E35" s="575"/>
      <c r="F35" s="575"/>
    </row>
    <row r="36" spans="5:6">
      <c r="E36" s="575"/>
      <c r="F36" s="575"/>
    </row>
    <row r="37" spans="5:6">
      <c r="E37" s="575"/>
      <c r="F37" s="575"/>
    </row>
    <row r="38" spans="5:6">
      <c r="E38" s="575"/>
      <c r="F38" s="575"/>
    </row>
    <row r="39" spans="5:6">
      <c r="E39" s="575"/>
      <c r="F39" s="575"/>
    </row>
  </sheetData>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D14" sqref="D14"/>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7"/>
      <c r="C7" s="25"/>
      <c r="D7" s="25"/>
      <c r="E7" s="25"/>
      <c r="F7" s="25"/>
      <c r="G7" s="25"/>
      <c r="H7" s="25"/>
      <c r="I7" s="25"/>
      <c r="J7" s="25"/>
      <c r="K7" s="25"/>
      <c r="L7" s="25"/>
      <c r="M7" s="25"/>
      <c r="N7" s="25"/>
      <c r="O7" s="25"/>
    </row>
    <row r="8" spans="2:15">
      <c r="B8" s="217"/>
      <c r="C8" s="25"/>
      <c r="D8" s="25"/>
      <c r="E8" s="25"/>
      <c r="F8" s="25"/>
      <c r="G8" s="25"/>
      <c r="H8" s="25"/>
      <c r="I8" s="25"/>
      <c r="J8" s="25"/>
      <c r="K8" s="25"/>
      <c r="L8" s="25"/>
      <c r="M8" s="25"/>
      <c r="N8" s="25"/>
      <c r="O8" s="25"/>
    </row>
    <row r="9" spans="2:15">
      <c r="B9" s="217"/>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5"/>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58"/>
  <sheetViews>
    <sheetView showGridLines="0" view="pageBreakPreview" zoomScaleNormal="100" zoomScaleSheetLayoutView="100" workbookViewId="0">
      <selection activeCell="D14" sqref="D14"/>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665"/>
    <col min="12" max="12" width="18.7109375" style="276" bestFit="1" customWidth="1"/>
    <col min="13" max="14" width="9.28515625" style="276"/>
    <col min="15" max="16" width="9.28515625" style="665"/>
    <col min="17" max="17" width="9.28515625" style="659"/>
    <col min="18" max="16384" width="9.28515625" style="46"/>
  </cols>
  <sheetData>
    <row r="2" spans="1:17" ht="16.5" customHeight="1">
      <c r="A2" s="847" t="s">
        <v>627</v>
      </c>
      <c r="B2" s="847"/>
      <c r="C2" s="847"/>
      <c r="D2" s="847"/>
      <c r="E2" s="847"/>
      <c r="F2" s="847"/>
      <c r="G2" s="847"/>
      <c r="H2" s="847"/>
      <c r="I2" s="847"/>
      <c r="J2" s="847"/>
      <c r="K2" s="683"/>
    </row>
    <row r="3" spans="1:17" ht="12" customHeight="1">
      <c r="A3" s="137"/>
      <c r="B3" s="208"/>
      <c r="C3" s="218"/>
      <c r="D3" s="219"/>
      <c r="E3" s="219"/>
      <c r="F3" s="220"/>
      <c r="G3" s="221"/>
      <c r="H3" s="221"/>
      <c r="I3" s="172"/>
      <c r="J3" s="220"/>
    </row>
    <row r="4" spans="1:17" ht="11.25" customHeight="1">
      <c r="A4" s="187" t="s">
        <v>424</v>
      </c>
      <c r="B4" s="208"/>
      <c r="C4" s="218"/>
      <c r="D4" s="219"/>
      <c r="E4" s="219"/>
      <c r="F4" s="220"/>
      <c r="G4" s="221"/>
      <c r="H4" s="221"/>
      <c r="I4" s="172"/>
      <c r="J4" s="220"/>
      <c r="K4" s="664"/>
    </row>
    <row r="5" spans="1:17" ht="11.25" customHeight="1">
      <c r="A5" s="187"/>
      <c r="B5" s="208"/>
      <c r="C5" s="218"/>
      <c r="D5" s="219"/>
      <c r="E5" s="219"/>
      <c r="F5" s="220"/>
      <c r="G5" s="221"/>
      <c r="H5" s="221"/>
      <c r="I5" s="172"/>
      <c r="J5" s="220"/>
      <c r="K5" s="664"/>
    </row>
    <row r="6" spans="1:17" ht="30" customHeight="1">
      <c r="A6" s="808" t="s">
        <v>612</v>
      </c>
      <c r="B6" s="809" t="s">
        <v>207</v>
      </c>
      <c r="C6" s="809" t="s">
        <v>613</v>
      </c>
      <c r="D6" s="809" t="s">
        <v>614</v>
      </c>
      <c r="E6" s="809" t="s">
        <v>615</v>
      </c>
      <c r="F6" s="810" t="s">
        <v>616</v>
      </c>
      <c r="G6" s="811" t="s">
        <v>617</v>
      </c>
      <c r="H6" s="810" t="s">
        <v>618</v>
      </c>
      <c r="I6" s="811" t="s">
        <v>619</v>
      </c>
      <c r="J6" s="812" t="s">
        <v>620</v>
      </c>
      <c r="K6" s="664"/>
    </row>
    <row r="7" spans="1:17" ht="20.399999999999999" customHeight="1">
      <c r="A7" s="813" t="s">
        <v>623</v>
      </c>
      <c r="B7" s="814" t="s">
        <v>36</v>
      </c>
      <c r="C7" s="814" t="s">
        <v>621</v>
      </c>
      <c r="D7" s="814" t="s">
        <v>624</v>
      </c>
      <c r="E7" s="814" t="s">
        <v>625</v>
      </c>
      <c r="F7" s="815" t="s">
        <v>622</v>
      </c>
      <c r="G7" s="816">
        <v>10.5</v>
      </c>
      <c r="H7" s="817">
        <v>5.4</v>
      </c>
      <c r="I7" s="817">
        <v>5.4</v>
      </c>
      <c r="J7" s="818" t="s">
        <v>626</v>
      </c>
      <c r="K7" s="664"/>
    </row>
    <row r="8" spans="1:17" ht="13.8" customHeight="1">
      <c r="A8" s="819" t="s">
        <v>41</v>
      </c>
      <c r="B8" s="820"/>
      <c r="C8" s="820"/>
      <c r="D8" s="820"/>
      <c r="E8" s="821"/>
      <c r="F8" s="822"/>
      <c r="G8" s="823"/>
      <c r="H8" s="824">
        <f>+H7</f>
        <v>5.4</v>
      </c>
      <c r="I8" s="824">
        <f>+I7</f>
        <v>5.4</v>
      </c>
      <c r="J8" s="825"/>
      <c r="K8" s="664"/>
    </row>
    <row r="9" spans="1:17" ht="11.25" customHeight="1">
      <c r="A9" s="187"/>
      <c r="B9" s="208"/>
      <c r="C9" s="218"/>
      <c r="D9" s="219"/>
      <c r="E9" s="219"/>
      <c r="F9" s="220"/>
      <c r="G9" s="221"/>
      <c r="H9" s="221"/>
      <c r="I9" s="172"/>
      <c r="J9" s="220"/>
      <c r="K9" s="664"/>
    </row>
    <row r="10" spans="1:17" s="222" customFormat="1" ht="13.2" customHeight="1">
      <c r="H10" s="641"/>
      <c r="I10" s="641"/>
      <c r="J10" s="642"/>
      <c r="K10" s="664"/>
      <c r="L10" s="658"/>
      <c r="M10" s="658"/>
      <c r="N10" s="658"/>
      <c r="O10" s="685"/>
      <c r="P10" s="685"/>
      <c r="Q10" s="660"/>
    </row>
    <row r="11" spans="1:17" s="222" customFormat="1" ht="10.199999999999999" customHeight="1">
      <c r="A11" s="187" t="s">
        <v>519</v>
      </c>
      <c r="B11" s="550"/>
      <c r="C11" s="550"/>
      <c r="D11" s="550"/>
      <c r="E11" s="550"/>
      <c r="F11" s="551"/>
      <c r="G11" s="552"/>
      <c r="H11" s="553"/>
      <c r="I11" s="553"/>
      <c r="J11" s="554"/>
      <c r="K11" s="664"/>
      <c r="L11" s="658"/>
      <c r="M11" s="658"/>
      <c r="N11" s="658"/>
      <c r="O11" s="685"/>
      <c r="P11" s="685"/>
      <c r="Q11" s="660"/>
    </row>
    <row r="12" spans="1:17" s="222" customFormat="1" ht="10.199999999999999" customHeight="1">
      <c r="A12" s="549"/>
      <c r="B12" s="550"/>
      <c r="C12" s="550"/>
      <c r="D12" s="550"/>
      <c r="E12" s="550"/>
      <c r="F12" s="551"/>
      <c r="G12" s="552"/>
      <c r="H12" s="553"/>
      <c r="I12" s="553"/>
      <c r="J12" s="554"/>
      <c r="K12" s="664"/>
      <c r="L12" s="658"/>
      <c r="M12" s="658"/>
      <c r="N12" s="658"/>
      <c r="O12" s="685"/>
      <c r="P12" s="685"/>
      <c r="Q12" s="660"/>
    </row>
    <row r="13" spans="1:17" s="222" customFormat="1" ht="13.95" customHeight="1">
      <c r="A13" s="772" t="s">
        <v>628</v>
      </c>
      <c r="B13" s="550"/>
      <c r="C13" s="550"/>
      <c r="D13" s="550"/>
      <c r="E13" s="550"/>
      <c r="F13" s="551"/>
      <c r="G13" s="552"/>
      <c r="H13" s="553"/>
      <c r="I13" s="553"/>
      <c r="J13" s="554"/>
      <c r="K13" s="684"/>
      <c r="L13" s="658"/>
      <c r="M13" s="658"/>
      <c r="N13" s="658"/>
      <c r="O13" s="685"/>
      <c r="P13" s="685"/>
      <c r="Q13" s="660"/>
    </row>
    <row r="14" spans="1:17" s="222" customFormat="1" ht="13.95" customHeight="1">
      <c r="A14" s="549"/>
      <c r="B14" s="550"/>
      <c r="C14" s="550"/>
      <c r="D14" s="550"/>
      <c r="E14" s="550"/>
      <c r="F14" s="551"/>
      <c r="G14" s="552"/>
      <c r="H14" s="553"/>
      <c r="I14" s="553"/>
      <c r="J14" s="554"/>
      <c r="K14" s="684"/>
      <c r="L14" s="658"/>
      <c r="M14" s="658"/>
      <c r="N14" s="658"/>
      <c r="O14" s="685"/>
      <c r="P14" s="685"/>
      <c r="Q14" s="660"/>
    </row>
    <row r="15" spans="1:17" s="222" customFormat="1" ht="13.95" customHeight="1">
      <c r="A15" s="549"/>
      <c r="B15" s="550"/>
      <c r="C15" s="550"/>
      <c r="D15" s="550"/>
      <c r="E15" s="550"/>
      <c r="F15" s="551"/>
      <c r="G15" s="552"/>
      <c r="H15" s="553"/>
      <c r="I15" s="553"/>
      <c r="J15" s="554"/>
      <c r="K15" s="684"/>
      <c r="L15" s="658"/>
      <c r="M15" s="658"/>
      <c r="N15" s="658"/>
      <c r="O15" s="685"/>
      <c r="P15" s="685"/>
      <c r="Q15" s="660"/>
    </row>
    <row r="16" spans="1:17" s="222" customFormat="1" ht="13.95" customHeight="1">
      <c r="A16" s="549"/>
      <c r="B16" s="550"/>
      <c r="C16" s="550"/>
      <c r="D16" s="550"/>
      <c r="E16" s="550"/>
      <c r="F16" s="551"/>
      <c r="G16" s="552"/>
      <c r="H16" s="553"/>
      <c r="I16" s="553"/>
      <c r="J16" s="554"/>
      <c r="K16" s="684"/>
      <c r="L16" s="658"/>
      <c r="M16" s="658"/>
      <c r="N16" s="658"/>
      <c r="O16" s="685"/>
      <c r="P16" s="685"/>
      <c r="Q16" s="660"/>
    </row>
    <row r="17" spans="1:17" s="222" customFormat="1" ht="13.95" customHeight="1">
      <c r="A17" s="549"/>
      <c r="B17" s="550"/>
      <c r="C17" s="550"/>
      <c r="D17" s="550"/>
      <c r="E17" s="550"/>
      <c r="F17" s="551"/>
      <c r="G17" s="552"/>
      <c r="H17" s="553"/>
      <c r="I17" s="553"/>
      <c r="J17" s="554"/>
      <c r="K17" s="684"/>
      <c r="L17" s="658"/>
      <c r="M17" s="658"/>
      <c r="N17" s="658"/>
      <c r="O17" s="685"/>
      <c r="P17" s="685"/>
      <c r="Q17" s="660"/>
    </row>
    <row r="18" spans="1:17" ht="11.25" customHeight="1">
      <c r="A18" s="187" t="s">
        <v>452</v>
      </c>
      <c r="B18" s="132"/>
      <c r="C18" s="223"/>
      <c r="D18" s="132"/>
      <c r="E18" s="132"/>
      <c r="F18" s="132"/>
      <c r="G18" s="132"/>
      <c r="H18" s="132"/>
      <c r="I18" s="132"/>
      <c r="J18" s="132"/>
      <c r="K18" s="686"/>
    </row>
    <row r="19" spans="1:17" ht="11.25" customHeight="1">
      <c r="B19" s="132"/>
      <c r="C19" s="223"/>
      <c r="D19" s="132"/>
      <c r="E19" s="132"/>
      <c r="F19" s="132"/>
      <c r="G19" s="132"/>
      <c r="H19" s="132"/>
      <c r="I19" s="132"/>
      <c r="J19" s="132"/>
      <c r="K19" s="686"/>
    </row>
    <row r="20" spans="1:17" ht="21" customHeight="1">
      <c r="B20" s="845" t="s">
        <v>211</v>
      </c>
      <c r="C20" s="846"/>
      <c r="D20" s="358" t="str">
        <f>UPPER('1. Resumen'!Q4)&amp;" "&amp;'1. Resumen'!Q5</f>
        <v>FEBRERO 2023</v>
      </c>
      <c r="E20" s="358" t="str">
        <f>UPPER('1. Resumen'!Q4)&amp;" "&amp;'1. Resumen'!Q5-1</f>
        <v>FEBRERO 2022</v>
      </c>
      <c r="F20" s="359" t="s">
        <v>212</v>
      </c>
      <c r="G20" s="224"/>
      <c r="H20" s="224"/>
      <c r="I20" s="132"/>
      <c r="J20" s="132"/>
    </row>
    <row r="21" spans="1:17" ht="9.75" customHeight="1">
      <c r="B21" s="848" t="s">
        <v>208</v>
      </c>
      <c r="C21" s="849"/>
      <c r="D21" s="349">
        <v>5261.1882475000011</v>
      </c>
      <c r="E21" s="350">
        <v>5261.9382474999966</v>
      </c>
      <c r="F21" s="643">
        <f>+D21/E21-1</f>
        <v>-1.4253302960209879E-4</v>
      </c>
      <c r="G21" s="224"/>
      <c r="H21" s="224"/>
      <c r="I21" s="132"/>
      <c r="J21" s="132"/>
      <c r="K21" s="686"/>
    </row>
    <row r="22" spans="1:17" ht="9.75" customHeight="1">
      <c r="B22" s="850" t="s">
        <v>209</v>
      </c>
      <c r="C22" s="851"/>
      <c r="D22" s="351">
        <v>7495.9944999999998</v>
      </c>
      <c r="E22" s="352">
        <v>7490.5944999999983</v>
      </c>
      <c r="F22" s="644">
        <f>+D22/E22-1</f>
        <v>7.2090406175395749E-4</v>
      </c>
      <c r="G22" s="225"/>
      <c r="H22" s="225"/>
      <c r="M22" s="661"/>
      <c r="N22" s="661"/>
      <c r="O22" s="687"/>
    </row>
    <row r="23" spans="1:17" ht="9.75" customHeight="1">
      <c r="B23" s="852" t="s">
        <v>210</v>
      </c>
      <c r="C23" s="853"/>
      <c r="D23" s="353">
        <v>412.19999999999993</v>
      </c>
      <c r="E23" s="354">
        <v>412.2</v>
      </c>
      <c r="F23" s="645">
        <f>+D23/E23-1</f>
        <v>0</v>
      </c>
      <c r="G23" s="225"/>
      <c r="H23" s="225"/>
    </row>
    <row r="24" spans="1:17" ht="9.75" customHeight="1">
      <c r="B24" s="854" t="s">
        <v>78</v>
      </c>
      <c r="C24" s="855"/>
      <c r="D24" s="355">
        <v>282.27499999999998</v>
      </c>
      <c r="E24" s="356">
        <v>286.315</v>
      </c>
      <c r="F24" s="646">
        <f>+D24/E24-1</f>
        <v>-1.4110333024815347E-2</v>
      </c>
      <c r="G24" s="225"/>
      <c r="H24" s="225"/>
    </row>
    <row r="25" spans="1:17" ht="10.5" customHeight="1">
      <c r="B25" s="843" t="s">
        <v>192</v>
      </c>
      <c r="C25" s="844"/>
      <c r="D25" s="357">
        <f>+SUM(D21:D24)</f>
        <v>13451.657747500001</v>
      </c>
      <c r="E25" s="357">
        <f>+SUM(E21:E24)</f>
        <v>13451.047747499995</v>
      </c>
      <c r="F25" s="647">
        <f>+D25/E25-1</f>
        <v>4.5349627141089144E-5</v>
      </c>
      <c r="G25" s="321"/>
      <c r="H25" s="225"/>
    </row>
    <row r="26" spans="1:17" ht="11.25" customHeight="1">
      <c r="B26" s="267" t="str">
        <f>"Cuadro N° 2: Comparación de la potencia instalada en el SEIN al término de "&amp;'1. Resumen'!Q4&amp;" "&amp;'1. Resumen'!Q5-1&amp;" y "&amp;'1. Resumen'!Q4&amp;" "&amp;'1. Resumen'!Q5</f>
        <v>Cuadro N° 2: Comparación de la potencia instalada en el SEIN al término de febrero 2022 y febrero 2023</v>
      </c>
      <c r="C26" s="224"/>
      <c r="D26" s="224"/>
      <c r="E26" s="224"/>
      <c r="F26" s="224"/>
      <c r="G26" s="224"/>
      <c r="H26" s="224"/>
      <c r="I26" s="132"/>
      <c r="J26" s="132"/>
      <c r="K26" s="686"/>
    </row>
    <row r="27" spans="1:17" ht="9" customHeight="1">
      <c r="B27" s="267"/>
      <c r="C27" s="224"/>
      <c r="D27" s="224"/>
      <c r="E27" s="224"/>
      <c r="F27" s="224"/>
      <c r="G27" s="224"/>
      <c r="H27" s="224"/>
      <c r="I27" s="132"/>
      <c r="J27" s="132"/>
      <c r="K27" s="686"/>
    </row>
    <row r="28" spans="1:17" ht="9" customHeight="1">
      <c r="B28" s="267"/>
      <c r="C28" s="224"/>
      <c r="D28" s="773"/>
      <c r="E28" s="224"/>
      <c r="F28" s="224"/>
      <c r="G28" s="224"/>
      <c r="H28" s="224"/>
      <c r="I28" s="132"/>
      <c r="J28" s="132"/>
      <c r="K28" s="686"/>
    </row>
    <row r="29" spans="1:17" ht="9" customHeight="1">
      <c r="B29" s="267"/>
      <c r="C29" s="224"/>
      <c r="D29" s="224"/>
      <c r="E29" s="224"/>
      <c r="F29" s="224"/>
      <c r="G29" s="224"/>
      <c r="H29" s="224"/>
      <c r="I29" s="132"/>
      <c r="J29" s="132"/>
      <c r="K29" s="686"/>
    </row>
    <row r="30" spans="1:17" ht="9" customHeight="1">
      <c r="B30" s="267"/>
      <c r="C30" s="224"/>
      <c r="D30" s="224"/>
      <c r="E30" s="224"/>
      <c r="F30" s="224"/>
      <c r="G30" s="224"/>
      <c r="H30" s="224"/>
      <c r="I30" s="132"/>
      <c r="J30" s="132"/>
      <c r="K30" s="686"/>
    </row>
    <row r="31" spans="1:17" ht="9" customHeight="1">
      <c r="B31" s="267"/>
      <c r="C31" s="224"/>
      <c r="D31" s="224"/>
      <c r="E31" s="224"/>
      <c r="F31" s="224"/>
      <c r="G31" s="224"/>
      <c r="H31" s="224"/>
      <c r="I31" s="132"/>
      <c r="J31" s="132"/>
      <c r="K31" s="686"/>
    </row>
    <row r="32" spans="1:17" ht="9" customHeight="1">
      <c r="B32" s="267"/>
      <c r="C32" s="224"/>
      <c r="D32" s="224"/>
      <c r="E32" s="224"/>
      <c r="F32" s="224"/>
      <c r="G32" s="224"/>
      <c r="H32" s="224"/>
      <c r="I32" s="132"/>
      <c r="J32" s="132"/>
      <c r="K32" s="686"/>
    </row>
    <row r="33" spans="2:11" ht="9" customHeight="1">
      <c r="B33" s="267"/>
      <c r="C33" s="224"/>
      <c r="D33" s="224"/>
      <c r="E33" s="224"/>
      <c r="F33" s="224"/>
      <c r="G33" s="224"/>
      <c r="H33" s="224"/>
      <c r="I33" s="132"/>
      <c r="J33" s="132"/>
      <c r="K33" s="686"/>
    </row>
    <row r="34" spans="2:11" ht="9" customHeight="1">
      <c r="B34" s="267"/>
      <c r="C34" s="224"/>
      <c r="D34" s="224"/>
      <c r="E34" s="224"/>
      <c r="F34" s="224"/>
      <c r="G34" s="224"/>
      <c r="H34" s="224"/>
      <c r="I34" s="132"/>
      <c r="J34" s="132"/>
      <c r="K34" s="686"/>
    </row>
    <row r="35" spans="2:11" ht="9" customHeight="1">
      <c r="B35" s="267"/>
      <c r="C35" s="224"/>
      <c r="D35" s="224"/>
      <c r="E35" s="224"/>
      <c r="F35" s="224"/>
      <c r="G35" s="224"/>
      <c r="H35" s="224"/>
      <c r="I35" s="132"/>
      <c r="J35" s="132"/>
      <c r="K35" s="686"/>
    </row>
    <row r="36" spans="2:11" ht="9" customHeight="1">
      <c r="B36" s="267"/>
      <c r="C36" s="224"/>
      <c r="D36" s="224"/>
      <c r="E36" s="224"/>
      <c r="F36" s="224"/>
      <c r="G36" s="224"/>
      <c r="H36" s="224"/>
      <c r="I36" s="132"/>
      <c r="J36" s="132"/>
      <c r="K36" s="686"/>
    </row>
    <row r="37" spans="2:11" ht="9" customHeight="1">
      <c r="B37" s="267"/>
      <c r="C37" s="224"/>
      <c r="D37" s="224"/>
      <c r="E37" s="224"/>
      <c r="F37" s="224"/>
      <c r="G37" s="224"/>
      <c r="H37" s="224"/>
      <c r="I37" s="132"/>
      <c r="J37" s="132"/>
      <c r="K37" s="686"/>
    </row>
    <row r="38" spans="2:11" ht="9" customHeight="1">
      <c r="B38" s="267"/>
      <c r="C38" s="224"/>
      <c r="D38" s="224"/>
      <c r="E38" s="224"/>
      <c r="F38" s="224"/>
      <c r="G38" s="224"/>
      <c r="H38" s="224"/>
      <c r="I38" s="132"/>
      <c r="J38" s="132"/>
      <c r="K38" s="686"/>
    </row>
    <row r="39" spans="2:11" ht="9" customHeight="1">
      <c r="B39" s="267"/>
      <c r="C39" s="224"/>
      <c r="D39" s="224"/>
      <c r="E39" s="224"/>
      <c r="F39" s="224"/>
      <c r="G39" s="224"/>
      <c r="H39" s="224"/>
      <c r="I39" s="132"/>
      <c r="J39" s="132"/>
      <c r="K39" s="686"/>
    </row>
    <row r="40" spans="2:11" ht="9" customHeight="1">
      <c r="B40" s="267"/>
      <c r="C40" s="224"/>
      <c r="D40" s="224"/>
      <c r="E40" s="224"/>
      <c r="F40" s="224"/>
      <c r="G40" s="224"/>
      <c r="H40" s="224"/>
      <c r="I40" s="132"/>
      <c r="J40" s="132"/>
      <c r="K40" s="686"/>
    </row>
    <row r="41" spans="2:11" ht="9" customHeight="1">
      <c r="B41" s="267"/>
      <c r="C41" s="224"/>
      <c r="D41" s="224"/>
      <c r="E41" s="224"/>
      <c r="F41" s="224"/>
      <c r="G41" s="224"/>
      <c r="H41" s="224"/>
      <c r="I41" s="132"/>
      <c r="J41" s="132"/>
      <c r="K41" s="686"/>
    </row>
    <row r="42" spans="2:11" ht="9" customHeight="1">
      <c r="B42" s="267"/>
      <c r="C42" s="224"/>
      <c r="D42" s="224"/>
      <c r="E42" s="224"/>
      <c r="F42" s="224"/>
      <c r="G42" s="224"/>
      <c r="H42" s="224"/>
      <c r="I42" s="132"/>
      <c r="J42" s="132"/>
      <c r="K42" s="686"/>
    </row>
    <row r="43" spans="2:11" ht="9" customHeight="1">
      <c r="B43" s="267"/>
      <c r="C43" s="224"/>
      <c r="D43" s="224"/>
      <c r="E43" s="224"/>
      <c r="F43" s="224"/>
      <c r="G43" s="224"/>
      <c r="H43" s="224"/>
      <c r="I43" s="132"/>
      <c r="J43" s="132"/>
      <c r="K43" s="686"/>
    </row>
    <row r="44" spans="2:11" ht="9" customHeight="1">
      <c r="B44" s="267"/>
      <c r="C44" s="224"/>
      <c r="D44" s="224"/>
      <c r="E44" s="224"/>
      <c r="F44" s="224"/>
      <c r="G44" s="224"/>
      <c r="H44" s="224"/>
      <c r="I44" s="132"/>
      <c r="J44" s="132"/>
      <c r="K44" s="686"/>
    </row>
    <row r="45" spans="2:11" ht="9" customHeight="1">
      <c r="B45" s="267"/>
      <c r="C45" s="224"/>
      <c r="D45" s="224"/>
      <c r="E45" s="224"/>
      <c r="F45" s="224"/>
      <c r="G45" s="224"/>
      <c r="H45" s="224"/>
      <c r="I45" s="132"/>
      <c r="J45" s="132"/>
      <c r="K45" s="686"/>
    </row>
    <row r="46" spans="2:11" ht="9" customHeight="1">
      <c r="B46" s="267"/>
      <c r="C46" s="224"/>
      <c r="D46" s="224"/>
      <c r="E46" s="224"/>
      <c r="F46" s="224"/>
      <c r="G46" s="224"/>
      <c r="H46" s="224"/>
      <c r="I46" s="132"/>
      <c r="J46" s="132"/>
      <c r="K46" s="686"/>
    </row>
    <row r="47" spans="2:11" ht="9" customHeight="1">
      <c r="B47" s="267"/>
      <c r="C47" s="224"/>
      <c r="D47" s="224"/>
      <c r="E47" s="224"/>
      <c r="F47" s="224"/>
      <c r="G47" s="224"/>
      <c r="H47" s="224"/>
      <c r="I47" s="132"/>
      <c r="J47" s="132"/>
      <c r="K47" s="686"/>
    </row>
    <row r="48" spans="2:11" ht="25.5" customHeight="1">
      <c r="B48" s="267"/>
      <c r="C48" s="224"/>
      <c r="D48" s="224"/>
      <c r="E48" s="224"/>
      <c r="F48" s="224"/>
      <c r="G48" s="224"/>
      <c r="H48" s="224"/>
      <c r="I48" s="132"/>
      <c r="J48" s="132"/>
      <c r="K48" s="686"/>
    </row>
    <row r="49" spans="1:11" ht="11.25" customHeight="1">
      <c r="B49" s="267"/>
      <c r="C49" s="224"/>
      <c r="D49" s="224"/>
      <c r="E49" s="224"/>
      <c r="F49" s="224"/>
      <c r="G49" s="224"/>
      <c r="H49" s="224"/>
      <c r="I49" s="132"/>
      <c r="J49" s="132"/>
      <c r="K49" s="686"/>
    </row>
    <row r="50" spans="1:11" ht="11.25" customHeight="1">
      <c r="B50" s="267"/>
      <c r="C50" s="224"/>
      <c r="D50" s="224"/>
      <c r="E50" s="224"/>
      <c r="F50" s="224"/>
      <c r="G50" s="224"/>
      <c r="H50" s="224"/>
      <c r="I50" s="132"/>
      <c r="J50" s="132"/>
      <c r="K50" s="686"/>
    </row>
    <row r="51" spans="1:11" ht="11.25" customHeight="1">
      <c r="B51" s="267"/>
      <c r="C51" s="224"/>
      <c r="D51" s="224"/>
      <c r="E51" s="224"/>
      <c r="F51" s="224"/>
      <c r="G51" s="224"/>
      <c r="H51" s="224"/>
      <c r="I51" s="132"/>
      <c r="J51" s="132"/>
      <c r="K51" s="686"/>
    </row>
    <row r="52" spans="1:11" ht="11.25" customHeight="1">
      <c r="B52" s="267"/>
      <c r="C52" s="224"/>
      <c r="D52" s="224"/>
      <c r="E52" s="224"/>
      <c r="F52" s="224"/>
      <c r="G52" s="224"/>
      <c r="H52" s="224"/>
      <c r="I52" s="132"/>
      <c r="J52" s="132"/>
      <c r="K52" s="686"/>
    </row>
    <row r="53" spans="1:11" ht="11.25" customHeight="1">
      <c r="B53" s="267"/>
      <c r="C53" s="224"/>
      <c r="D53" s="224"/>
      <c r="E53" s="224"/>
      <c r="F53" s="224"/>
      <c r="G53" s="224"/>
      <c r="H53" s="224"/>
      <c r="I53" s="132"/>
      <c r="J53" s="132"/>
      <c r="K53" s="686"/>
    </row>
    <row r="54" spans="1:11" ht="25.2" customHeight="1">
      <c r="A54" s="132"/>
      <c r="C54" s="225"/>
      <c r="D54" s="224"/>
      <c r="E54" s="224"/>
      <c r="F54" s="224"/>
      <c r="G54" s="224"/>
      <c r="H54" s="224"/>
      <c r="I54" s="132"/>
      <c r="J54" s="132"/>
      <c r="K54" s="686"/>
    </row>
    <row r="55" spans="1:11" ht="25.2" customHeight="1">
      <c r="A55" s="132"/>
      <c r="B55" s="132"/>
      <c r="C55" s="132"/>
      <c r="D55" s="132"/>
      <c r="E55" s="132"/>
      <c r="F55" s="132"/>
      <c r="G55" s="132"/>
      <c r="H55" s="132"/>
      <c r="I55" s="132"/>
      <c r="J55" s="132"/>
    </row>
    <row r="56" spans="1:11" ht="25.2" customHeight="1">
      <c r="A56" s="132"/>
      <c r="B56" s="132"/>
      <c r="C56" s="132"/>
      <c r="D56" s="132"/>
      <c r="E56" s="132"/>
      <c r="F56" s="132"/>
      <c r="G56" s="132"/>
      <c r="H56" s="132"/>
      <c r="I56" s="132"/>
      <c r="J56" s="132"/>
    </row>
    <row r="57" spans="1:11" ht="25.2" customHeight="1">
      <c r="A57" s="132"/>
      <c r="B57" s="132"/>
      <c r="C57" s="132"/>
      <c r="D57" s="132"/>
      <c r="E57" s="132"/>
      <c r="F57" s="132"/>
      <c r="G57" s="132"/>
      <c r="H57" s="132"/>
      <c r="I57" s="132"/>
      <c r="J57" s="132"/>
    </row>
    <row r="58" spans="1:11" ht="24" customHeight="1">
      <c r="A58" s="320" t="str">
        <f>"Gráfico N° 3: Comparación de la potencia instalada en el SEIN al término de "&amp;'1. Resumen'!Q4&amp;" "&amp;'1. Resumen'!Q5-1&amp;" y "&amp;'1. Resumen'!Q4&amp;" "&amp;'1. Resumen'!Q5</f>
        <v>Gráfico N° 3: Comparación de la potencia instalada en el SEIN al término de febrero 2022 y febrero 2023</v>
      </c>
      <c r="C58" s="132"/>
      <c r="D58" s="132"/>
      <c r="E58" s="132"/>
      <c r="F58" s="132"/>
      <c r="G58" s="132"/>
      <c r="H58" s="132"/>
      <c r="I58" s="132"/>
      <c r="J58" s="132"/>
    </row>
  </sheetData>
  <mergeCells count="7">
    <mergeCell ref="B25:C25"/>
    <mergeCell ref="B20:C20"/>
    <mergeCell ref="A2:J2"/>
    <mergeCell ref="B21:C21"/>
    <mergeCell ref="B22:C22"/>
    <mergeCell ref="B23:C23"/>
    <mergeCell ref="B24:C24"/>
  </mergeCells>
  <pageMargins left="0.4365" right="0.33950000000000002" top="0.93766666666666665" bottom="0.55774999999999997"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8"/>
  <sheetViews>
    <sheetView showGridLines="0" view="pageBreakPreview" zoomScaleNormal="100" zoomScaleSheetLayoutView="100" workbookViewId="0">
      <selection activeCell="C7" sqref="C7"/>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60" t="s">
        <v>214</v>
      </c>
      <c r="B2" s="860"/>
      <c r="C2" s="860"/>
      <c r="D2" s="860"/>
      <c r="E2" s="860"/>
      <c r="F2" s="860"/>
      <c r="G2" s="860"/>
      <c r="H2" s="860"/>
      <c r="I2" s="860"/>
      <c r="J2" s="860"/>
      <c r="K2" s="860"/>
    </row>
    <row r="3" spans="1:11" ht="11.25" customHeight="1">
      <c r="A3" s="83"/>
      <c r="B3" s="84"/>
      <c r="C3" s="85"/>
      <c r="D3" s="86"/>
      <c r="E3" s="86"/>
      <c r="F3" s="86"/>
      <c r="G3" s="86"/>
      <c r="H3" s="83"/>
      <c r="I3" s="83"/>
      <c r="J3" s="83"/>
      <c r="K3" s="87"/>
    </row>
    <row r="4" spans="1:11" ht="11.25" customHeight="1">
      <c r="A4" s="861" t="str">
        <f>+"3.1. PRODUCCIÓN POR TIPO DE GENERACIÓN (GWh)"</f>
        <v>3.1. PRODUCCIÓN POR TIPO DE GENERACIÓN (GWh)</v>
      </c>
      <c r="B4" s="861"/>
      <c r="C4" s="861"/>
      <c r="D4" s="861"/>
      <c r="E4" s="861"/>
      <c r="F4" s="861"/>
      <c r="G4" s="861"/>
      <c r="H4" s="861"/>
      <c r="I4" s="861"/>
      <c r="J4" s="861"/>
      <c r="K4" s="861"/>
    </row>
    <row r="5" spans="1:11" ht="11.25" customHeight="1">
      <c r="A5" s="54"/>
      <c r="B5" s="88"/>
      <c r="C5" s="89"/>
      <c r="D5" s="90"/>
      <c r="E5" s="90"/>
      <c r="F5" s="90"/>
      <c r="G5" s="90"/>
      <c r="H5" s="91"/>
      <c r="I5" s="83"/>
      <c r="J5" s="83"/>
      <c r="K5" s="92"/>
    </row>
    <row r="6" spans="1:11" ht="18" customHeight="1">
      <c r="A6" s="858" t="s">
        <v>31</v>
      </c>
      <c r="B6" s="862" t="s">
        <v>32</v>
      </c>
      <c r="C6" s="863"/>
      <c r="D6" s="863"/>
      <c r="E6" s="863" t="s">
        <v>33</v>
      </c>
      <c r="F6" s="863"/>
      <c r="G6" s="864" t="str">
        <f>"Generación Acumulada a "&amp;'1. Resumen'!Q4</f>
        <v>Generación Acumulada a febrero</v>
      </c>
      <c r="H6" s="864"/>
      <c r="I6" s="864"/>
      <c r="J6" s="864"/>
      <c r="K6" s="865"/>
    </row>
    <row r="7" spans="1:11" ht="32.25" customHeight="1">
      <c r="A7" s="859"/>
      <c r="B7" s="360">
        <f>+C7-30</f>
        <v>44900</v>
      </c>
      <c r="C7" s="360">
        <f>+D7-28</f>
        <v>44930</v>
      </c>
      <c r="D7" s="360">
        <f>+'1. Resumen'!Q6</f>
        <v>44958</v>
      </c>
      <c r="E7" s="360">
        <f>+D7-365</f>
        <v>44593</v>
      </c>
      <c r="F7" s="361" t="s">
        <v>34</v>
      </c>
      <c r="G7" s="362">
        <v>2023</v>
      </c>
      <c r="H7" s="362">
        <v>2022</v>
      </c>
      <c r="I7" s="361" t="s">
        <v>573</v>
      </c>
      <c r="J7" s="362">
        <v>2021</v>
      </c>
      <c r="K7" s="363" t="s">
        <v>526</v>
      </c>
    </row>
    <row r="8" spans="1:11" ht="15" customHeight="1">
      <c r="A8" s="116" t="s">
        <v>35</v>
      </c>
      <c r="B8" s="304">
        <v>2068.1741958075004</v>
      </c>
      <c r="C8" s="300">
        <v>2799.3981183774999</v>
      </c>
      <c r="D8" s="305">
        <v>2930.4305026500006</v>
      </c>
      <c r="E8" s="304">
        <v>2887.08964904</v>
      </c>
      <c r="F8" s="233">
        <f>IF(E8=0,"",D8/E8-1)</f>
        <v>1.5011952823983821E-2</v>
      </c>
      <c r="G8" s="312">
        <v>5729.8286210275</v>
      </c>
      <c r="H8" s="300">
        <v>5782.5959201200012</v>
      </c>
      <c r="I8" s="237">
        <f>IF(H8=0,"",G8/H8-1)</f>
        <v>-9.1251921838256811E-3</v>
      </c>
      <c r="J8" s="304">
        <v>6231.7180155275018</v>
      </c>
      <c r="K8" s="233">
        <f t="shared" ref="K8:K15" si="0">IF(J8=0,"",H8/J8-1)</f>
        <v>-7.2070349506898168E-2</v>
      </c>
    </row>
    <row r="9" spans="1:11" ht="15" customHeight="1">
      <c r="A9" s="117" t="s">
        <v>36</v>
      </c>
      <c r="B9" s="306">
        <v>2735.3685220600005</v>
      </c>
      <c r="C9" s="243">
        <v>1871.0341143875</v>
      </c>
      <c r="D9" s="307">
        <v>1435.8693257175005</v>
      </c>
      <c r="E9" s="306">
        <v>1244.8656284650003</v>
      </c>
      <c r="F9" s="234">
        <f t="shared" ref="F9:F15" si="1">IF(E9=0,"",D9/E9-1)</f>
        <v>0.15343318418070551</v>
      </c>
      <c r="G9" s="313">
        <v>3306.9034401050003</v>
      </c>
      <c r="H9" s="243">
        <v>2811.1647780924995</v>
      </c>
      <c r="I9" s="238">
        <f t="shared" ref="I9:I15" si="2">IF(H9=0,"",G9/H9-1)</f>
        <v>0.17634635503255036</v>
      </c>
      <c r="J9" s="306">
        <v>2070.2463592625004</v>
      </c>
      <c r="K9" s="234">
        <f t="shared" si="0"/>
        <v>0.35788900944810353</v>
      </c>
    </row>
    <row r="10" spans="1:11" ht="15" customHeight="1">
      <c r="A10" s="118" t="s">
        <v>37</v>
      </c>
      <c r="B10" s="308">
        <v>136.49075921249997</v>
      </c>
      <c r="C10" s="244">
        <v>147.48586147</v>
      </c>
      <c r="D10" s="309">
        <v>105.83284567250001</v>
      </c>
      <c r="E10" s="308">
        <v>126.1483259525</v>
      </c>
      <c r="F10" s="235">
        <f>IF(E10=0,"",D10/E10-1)</f>
        <v>-0.16104439061402687</v>
      </c>
      <c r="G10" s="314">
        <v>253.31870714250005</v>
      </c>
      <c r="H10" s="244">
        <v>276.52361378000001</v>
      </c>
      <c r="I10" s="239">
        <f t="shared" si="2"/>
        <v>-8.3916546295252692E-2</v>
      </c>
      <c r="J10" s="308">
        <v>273.12187200249997</v>
      </c>
      <c r="K10" s="235">
        <f t="shared" si="0"/>
        <v>1.2455032445987779E-2</v>
      </c>
    </row>
    <row r="11" spans="1:11" ht="15" customHeight="1">
      <c r="A11" s="117" t="s">
        <v>29</v>
      </c>
      <c r="B11" s="306">
        <v>72.756407109999998</v>
      </c>
      <c r="C11" s="243">
        <v>72.750899860000004</v>
      </c>
      <c r="D11" s="307">
        <v>54.311310517500011</v>
      </c>
      <c r="E11" s="306">
        <v>63.138670817499992</v>
      </c>
      <c r="F11" s="234">
        <f>IF(E11=0,"",D11/E11-1)</f>
        <v>-0.13980909299651145</v>
      </c>
      <c r="G11" s="313">
        <v>127.06221037750001</v>
      </c>
      <c r="H11" s="243">
        <v>134.92653404499998</v>
      </c>
      <c r="I11" s="238">
        <f t="shared" si="2"/>
        <v>-5.8285968161585711E-2</v>
      </c>
      <c r="J11" s="306">
        <v>136.7030283</v>
      </c>
      <c r="K11" s="234">
        <f t="shared" si="0"/>
        <v>-1.2995280917270091E-2</v>
      </c>
    </row>
    <row r="12" spans="1:11" ht="15" customHeight="1">
      <c r="A12" s="145" t="s">
        <v>41</v>
      </c>
      <c r="B12" s="310">
        <f>+SUM(B8:B11)</f>
        <v>5012.7898841900005</v>
      </c>
      <c r="C12" s="301">
        <f t="shared" ref="C12:D12" si="3">+SUM(C8:C11)</f>
        <v>4890.6689940949991</v>
      </c>
      <c r="D12" s="311">
        <f t="shared" si="3"/>
        <v>4526.4439845575007</v>
      </c>
      <c r="E12" s="310">
        <f>+SUM(E8:E11)</f>
        <v>4321.2422742750005</v>
      </c>
      <c r="F12" s="236">
        <f>IF(E12=0,"",D12/E12-1)</f>
        <v>4.7486740445935371E-2</v>
      </c>
      <c r="G12" s="310">
        <f>+SUM(G8:G11)</f>
        <v>9417.1129786525016</v>
      </c>
      <c r="H12" s="301">
        <f t="shared" ref="H12" si="4">+SUM(H8:H11)</f>
        <v>9005.2108460375002</v>
      </c>
      <c r="I12" s="240">
        <f>IF(H12=0,"",G12/H12-1)</f>
        <v>4.5740420702780948E-2</v>
      </c>
      <c r="J12" s="310">
        <f>+SUM(J8:J11)</f>
        <v>8711.7892750925039</v>
      </c>
      <c r="K12" s="236">
        <f t="shared" si="0"/>
        <v>3.368097662599645E-2</v>
      </c>
    </row>
    <row r="13" spans="1:11" ht="15" customHeight="1">
      <c r="A13" s="112"/>
      <c r="B13" s="112"/>
      <c r="C13" s="112"/>
      <c r="D13" s="112"/>
      <c r="E13" s="112"/>
      <c r="F13" s="114"/>
      <c r="G13" s="112"/>
      <c r="H13" s="112"/>
      <c r="I13" s="580"/>
      <c r="J13" s="113"/>
      <c r="K13" s="114" t="str">
        <f t="shared" si="0"/>
        <v/>
      </c>
    </row>
    <row r="14" spans="1:11" ht="15" customHeight="1">
      <c r="A14" s="119" t="s">
        <v>38</v>
      </c>
      <c r="B14" s="231">
        <v>0</v>
      </c>
      <c r="C14" s="232">
        <v>0</v>
      </c>
      <c r="D14" s="303">
        <v>0</v>
      </c>
      <c r="E14" s="231">
        <v>0</v>
      </c>
      <c r="F14" s="120" t="str">
        <f>IF(E14=0,"",D14/E14-1)</f>
        <v/>
      </c>
      <c r="G14" s="231">
        <v>0</v>
      </c>
      <c r="H14" s="232">
        <v>0</v>
      </c>
      <c r="I14" s="123" t="str">
        <f t="shared" si="2"/>
        <v/>
      </c>
      <c r="J14" s="231">
        <v>0</v>
      </c>
      <c r="K14" s="120" t="str">
        <f t="shared" si="0"/>
        <v/>
      </c>
    </row>
    <row r="15" spans="1:11" ht="15" customHeight="1">
      <c r="A15" s="118" t="s">
        <v>39</v>
      </c>
      <c r="B15" s="228">
        <v>0.53031638000000003</v>
      </c>
      <c r="C15" s="229">
        <v>0.25442452999999998</v>
      </c>
      <c r="D15" s="230">
        <v>0</v>
      </c>
      <c r="E15" s="228">
        <v>0</v>
      </c>
      <c r="F15" s="121" t="str">
        <f t="shared" si="1"/>
        <v/>
      </c>
      <c r="G15" s="228">
        <v>0.25442452999999998</v>
      </c>
      <c r="H15" s="229">
        <v>0</v>
      </c>
      <c r="I15" s="115" t="str">
        <f t="shared" si="2"/>
        <v/>
      </c>
      <c r="J15" s="228">
        <v>0</v>
      </c>
      <c r="K15" s="121" t="str">
        <f t="shared" si="0"/>
        <v/>
      </c>
    </row>
    <row r="16" spans="1:11" ht="23.25" customHeight="1">
      <c r="A16" s="125" t="s">
        <v>40</v>
      </c>
      <c r="B16" s="241">
        <f>+B15-B14</f>
        <v>0.53031638000000003</v>
      </c>
      <c r="C16" s="242">
        <f t="shared" ref="C16:E16" si="5">+C15-C14</f>
        <v>0.25442452999999998</v>
      </c>
      <c r="D16" s="242">
        <f t="shared" si="5"/>
        <v>0</v>
      </c>
      <c r="E16" s="241">
        <f t="shared" si="5"/>
        <v>0</v>
      </c>
      <c r="F16" s="122"/>
      <c r="G16" s="241">
        <f t="shared" ref="G16:H16" si="6">+G15-G14</f>
        <v>0.25442452999999998</v>
      </c>
      <c r="H16" s="242">
        <f t="shared" si="6"/>
        <v>0</v>
      </c>
      <c r="I16" s="124"/>
      <c r="J16" s="241">
        <f>+J15-J14</f>
        <v>0</v>
      </c>
      <c r="K16" s="122"/>
    </row>
    <row r="17" spans="1:11" ht="11.25" customHeight="1">
      <c r="A17" s="227" t="s">
        <v>213</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56"/>
      <c r="C42" s="856"/>
      <c r="D42" s="856"/>
      <c r="E42" s="93"/>
      <c r="F42" s="93"/>
      <c r="G42" s="857"/>
      <c r="H42" s="857"/>
      <c r="I42" s="857"/>
      <c r="J42" s="857"/>
      <c r="K42" s="857"/>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3.2">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227" t="str">
        <f>"Gráfico N° 4: Comparación de la producción de energía eléctrica por tipo de generación acumulada a "&amp;'1. Resumen'!Q4&amp;"."</f>
        <v>Gráfico N° 4: Comparación de la producción de energía eléctrica por tipo de generación acumulada a febrero.</v>
      </c>
      <c r="B57" s="72"/>
      <c r="C57" s="72"/>
      <c r="D57" s="72"/>
      <c r="E57" s="72"/>
      <c r="F57" s="72"/>
      <c r="G57" s="72"/>
      <c r="H57" s="72"/>
      <c r="I57" s="102"/>
      <c r="J57" s="72"/>
      <c r="K57" s="103"/>
    </row>
    <row r="58" spans="1:11" ht="13.2">
      <c r="B58" s="72"/>
      <c r="C58" s="72"/>
      <c r="D58" s="72"/>
      <c r="E58" s="72"/>
      <c r="F58" s="72"/>
      <c r="G58" s="72"/>
      <c r="H58" s="72"/>
      <c r="I58" s="102"/>
      <c r="J58" s="72"/>
      <c r="K58" s="103"/>
    </row>
    <row r="59" spans="1:11" ht="13.2">
      <c r="A59" s="1"/>
      <c r="B59" s="72"/>
      <c r="C59" s="72"/>
      <c r="D59" s="72"/>
      <c r="E59" s="72"/>
      <c r="F59" s="72"/>
      <c r="G59" s="72"/>
      <c r="H59" s="72"/>
      <c r="I59" s="102"/>
      <c r="J59" s="72"/>
      <c r="K59" s="103"/>
    </row>
    <row r="60" spans="1:11" ht="13.2">
      <c r="A60" s="1"/>
      <c r="B60" s="72"/>
      <c r="C60" s="72"/>
      <c r="D60" s="72"/>
      <c r="E60" s="72"/>
      <c r="F60" s="72"/>
      <c r="G60" s="72"/>
      <c r="H60" s="72"/>
      <c r="I60" s="102"/>
      <c r="J60" s="72"/>
      <c r="K60" s="103"/>
    </row>
    <row r="62" spans="1:11" ht="13.2">
      <c r="A62" s="104"/>
      <c r="B62" s="105"/>
      <c r="C62" s="105"/>
      <c r="D62" s="105"/>
      <c r="E62" s="105"/>
      <c r="F62" s="105"/>
      <c r="G62" s="105"/>
      <c r="H62" s="102"/>
      <c r="I62" s="102"/>
      <c r="J62" s="105"/>
      <c r="K62" s="103"/>
    </row>
    <row r="63" spans="1:11" ht="13.2">
      <c r="A63" s="1"/>
      <c r="B63" s="72"/>
      <c r="C63" s="72"/>
      <c r="D63" s="72"/>
      <c r="E63" s="72"/>
      <c r="F63" s="72"/>
      <c r="G63" s="72"/>
      <c r="H63" s="72"/>
      <c r="I63" s="102"/>
      <c r="J63" s="72"/>
      <c r="K63" s="106"/>
    </row>
    <row r="64" spans="1:11" ht="13.2">
      <c r="A64" s="1"/>
      <c r="B64" s="72"/>
      <c r="C64" s="72"/>
      <c r="D64" s="72"/>
      <c r="E64" s="72"/>
      <c r="F64" s="72"/>
      <c r="G64" s="72"/>
      <c r="H64" s="72"/>
      <c r="I64" s="107"/>
      <c r="J64" s="72"/>
      <c r="K64" s="106"/>
    </row>
    <row r="65" spans="1:11" ht="13.2">
      <c r="A65" s="1"/>
      <c r="B65" s="72"/>
      <c r="C65" s="72"/>
      <c r="D65" s="72"/>
      <c r="E65" s="72"/>
      <c r="F65" s="72"/>
      <c r="G65" s="72"/>
      <c r="H65" s="108"/>
      <c r="I65" s="108"/>
      <c r="J65" s="72"/>
      <c r="K65" s="106"/>
    </row>
    <row r="66" spans="1:11" ht="13.2">
      <c r="A66" s="1"/>
      <c r="B66" s="72"/>
      <c r="C66" s="72"/>
      <c r="D66" s="72"/>
      <c r="E66" s="72"/>
      <c r="F66" s="72"/>
      <c r="G66" s="72"/>
      <c r="H66" s="108"/>
      <c r="I66" s="108"/>
      <c r="J66" s="72"/>
      <c r="K66" s="106"/>
    </row>
    <row r="67" spans="1:11" ht="13.2">
      <c r="A67" s="104"/>
      <c r="B67" s="105"/>
      <c r="C67" s="105"/>
      <c r="D67" s="105"/>
      <c r="E67" s="105"/>
      <c r="F67" s="105"/>
      <c r="G67" s="105"/>
      <c r="H67" s="109"/>
      <c r="I67" s="102"/>
      <c r="J67" s="105"/>
      <c r="K67" s="103"/>
    </row>
    <row r="68" spans="1:11" ht="13.2">
      <c r="A68" s="104"/>
      <c r="B68" s="105"/>
      <c r="C68" s="105"/>
      <c r="D68" s="105"/>
      <c r="E68" s="105"/>
      <c r="F68" s="105"/>
      <c r="G68" s="105"/>
      <c r="H68" s="102"/>
      <c r="I68" s="102"/>
      <c r="J68" s="105"/>
      <c r="K68" s="103"/>
    </row>
  </sheetData>
  <mergeCells count="9">
    <mergeCell ref="B42:D42"/>
    <mergeCell ref="G42:I42"/>
    <mergeCell ref="J42:K42"/>
    <mergeCell ref="A6:A7"/>
    <mergeCell ref="A2:K2"/>
    <mergeCell ref="A4:K4"/>
    <mergeCell ref="B6:D6"/>
    <mergeCell ref="E6:F6"/>
    <mergeCell ref="G6:K6"/>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30" zoomScaleNormal="100" zoomScaleSheetLayoutView="130" zoomScalePageLayoutView="130" workbookViewId="0">
      <selection activeCell="C5" sqref="C5"/>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867" t="str">
        <f>+"3.2. PRODUCCIÓN POR TIPO DE RECURSO ENERGÉTICO (GWh)"</f>
        <v>3.2. PRODUCCIÓN POR TIPO DE RECURSO ENERGÉTICO (GWh)</v>
      </c>
      <c r="B2" s="867"/>
      <c r="C2" s="867"/>
      <c r="D2" s="867"/>
      <c r="E2" s="867"/>
      <c r="F2" s="867"/>
      <c r="G2" s="867"/>
      <c r="H2" s="867"/>
      <c r="I2" s="867"/>
      <c r="J2" s="867"/>
      <c r="K2" s="867"/>
    </row>
    <row r="3" spans="1:12" ht="18.75" customHeight="1">
      <c r="A3" s="126"/>
      <c r="B3" s="127"/>
      <c r="C3" s="128"/>
      <c r="D3" s="129"/>
      <c r="E3" s="129"/>
      <c r="F3" s="129"/>
      <c r="G3" s="130"/>
      <c r="H3" s="130"/>
      <c r="I3" s="130"/>
      <c r="J3" s="126"/>
      <c r="K3" s="126"/>
      <c r="L3" s="36"/>
    </row>
    <row r="4" spans="1:12" ht="14.25" customHeight="1">
      <c r="A4" s="871" t="s">
        <v>42</v>
      </c>
      <c r="B4" s="868" t="s">
        <v>32</v>
      </c>
      <c r="C4" s="869"/>
      <c r="D4" s="869"/>
      <c r="E4" s="869" t="s">
        <v>33</v>
      </c>
      <c r="F4" s="869"/>
      <c r="G4" s="870" t="str">
        <f>+'3. Tipo Generación'!G6:K6</f>
        <v>Generación Acumulada a febrero</v>
      </c>
      <c r="H4" s="870"/>
      <c r="I4" s="870"/>
      <c r="J4" s="870"/>
      <c r="K4" s="870"/>
      <c r="L4" s="131"/>
    </row>
    <row r="5" spans="1:12" ht="26.25" customHeight="1">
      <c r="A5" s="871"/>
      <c r="B5" s="364">
        <f>+'3. Tipo Generación'!B7</f>
        <v>44900</v>
      </c>
      <c r="C5" s="364">
        <f>+'3. Tipo Generación'!C7</f>
        <v>44930</v>
      </c>
      <c r="D5" s="364">
        <f>+'3. Tipo Generación'!D7</f>
        <v>44958</v>
      </c>
      <c r="E5" s="364">
        <f>+'3. Tipo Generación'!E7</f>
        <v>44593</v>
      </c>
      <c r="F5" s="365" t="s">
        <v>34</v>
      </c>
      <c r="G5" s="366">
        <v>2023</v>
      </c>
      <c r="H5" s="366">
        <v>2022</v>
      </c>
      <c r="I5" s="365" t="s">
        <v>573</v>
      </c>
      <c r="J5" s="366">
        <v>2021</v>
      </c>
      <c r="K5" s="365" t="s">
        <v>526</v>
      </c>
      <c r="L5" s="19"/>
    </row>
    <row r="6" spans="1:12" ht="11.25" customHeight="1">
      <c r="A6" s="139" t="s">
        <v>43</v>
      </c>
      <c r="B6" s="278">
        <v>2068.1741958075004</v>
      </c>
      <c r="C6" s="279">
        <v>2799.3981183774999</v>
      </c>
      <c r="D6" s="280">
        <v>2930.4305026500006</v>
      </c>
      <c r="E6" s="278">
        <v>2887.08964904</v>
      </c>
      <c r="F6" s="248">
        <f>IF(E6=0,"",D6/E6-1)</f>
        <v>1.5011952823983821E-2</v>
      </c>
      <c r="G6" s="278">
        <v>5729.8286210275</v>
      </c>
      <c r="H6" s="279">
        <v>5782.5959201200012</v>
      </c>
      <c r="I6" s="248">
        <f t="shared" ref="I6:I15" si="0">IF(H6=0,"",G6/H6-1)</f>
        <v>-9.1251921838256811E-3</v>
      </c>
      <c r="J6" s="278">
        <v>6231.7180155275018</v>
      </c>
      <c r="K6" s="248">
        <f>IF(J6=0,"",H6/J6-1)</f>
        <v>-7.2070349506898168E-2</v>
      </c>
      <c r="L6" s="24"/>
    </row>
    <row r="7" spans="1:12" ht="11.25" customHeight="1">
      <c r="A7" s="140" t="s">
        <v>49</v>
      </c>
      <c r="B7" s="281">
        <v>2411.1386688700009</v>
      </c>
      <c r="C7" s="243">
        <v>1764.2852296125002</v>
      </c>
      <c r="D7" s="282">
        <v>1357.7568803950003</v>
      </c>
      <c r="E7" s="281">
        <v>1183.5733425025001</v>
      </c>
      <c r="F7" s="249">
        <f t="shared" ref="F7:F17" si="1">IF(E7=0,"",D7/E7-1)</f>
        <v>0.14716750676744161</v>
      </c>
      <c r="G7" s="281">
        <v>3122.0421100075005</v>
      </c>
      <c r="H7" s="243">
        <v>2661.8900605199997</v>
      </c>
      <c r="I7" s="249">
        <f t="shared" si="0"/>
        <v>0.17286666204298839</v>
      </c>
      <c r="J7" s="281">
        <v>1892.4578272075</v>
      </c>
      <c r="K7" s="249">
        <f t="shared" ref="K7:K18" si="2">IF(J7=0,"",H7/J7-1)</f>
        <v>0.40657827204945929</v>
      </c>
      <c r="L7" s="22"/>
    </row>
    <row r="8" spans="1:12" ht="11.25" customHeight="1">
      <c r="A8" s="141" t="s">
        <v>50</v>
      </c>
      <c r="B8" s="283">
        <v>66.752559250000004</v>
      </c>
      <c r="C8" s="244">
        <v>62.152999000000001</v>
      </c>
      <c r="D8" s="284">
        <v>53.042405500000001</v>
      </c>
      <c r="E8" s="283">
        <v>29.031294249999998</v>
      </c>
      <c r="F8" s="323">
        <f t="shared" si="1"/>
        <v>0.82707684484304389</v>
      </c>
      <c r="G8" s="283">
        <v>115.19540450000001</v>
      </c>
      <c r="H8" s="244">
        <v>85.727804000000006</v>
      </c>
      <c r="I8" s="323">
        <f t="shared" si="0"/>
        <v>0.34373446099237537</v>
      </c>
      <c r="J8" s="283">
        <v>103.29116266500002</v>
      </c>
      <c r="K8" s="323">
        <f t="shared" si="2"/>
        <v>-0.17003737988662715</v>
      </c>
      <c r="L8" s="22"/>
    </row>
    <row r="9" spans="1:12" ht="11.25" customHeight="1">
      <c r="A9" s="140" t="s">
        <v>51</v>
      </c>
      <c r="B9" s="281">
        <v>42.048998820000001</v>
      </c>
      <c r="C9" s="774">
        <v>17.297988795000002</v>
      </c>
      <c r="D9" s="282">
        <v>1.94137063</v>
      </c>
      <c r="E9" s="281">
        <v>7.5406091050000006</v>
      </c>
      <c r="F9" s="249"/>
      <c r="G9" s="281">
        <v>19.239359425000004</v>
      </c>
      <c r="H9" s="774">
        <v>7.5406091050000006</v>
      </c>
      <c r="I9" s="249">
        <f t="shared" si="0"/>
        <v>1.5514330682176372</v>
      </c>
      <c r="J9" s="281">
        <v>18.66729844</v>
      </c>
      <c r="K9" s="249">
        <f t="shared" si="2"/>
        <v>-0.59605246955059665</v>
      </c>
      <c r="L9" s="22"/>
    </row>
    <row r="10" spans="1:12" ht="11.25" customHeight="1">
      <c r="A10" s="141" t="s">
        <v>26</v>
      </c>
      <c r="B10" s="283">
        <v>10.000489315000001</v>
      </c>
      <c r="C10" s="775">
        <v>0</v>
      </c>
      <c r="D10" s="284">
        <v>0</v>
      </c>
      <c r="E10" s="283">
        <v>0</v>
      </c>
      <c r="F10" s="323" t="str">
        <f t="shared" si="1"/>
        <v/>
      </c>
      <c r="G10" s="283">
        <v>0</v>
      </c>
      <c r="H10" s="775">
        <v>0</v>
      </c>
      <c r="I10" s="323" t="str">
        <f t="shared" si="0"/>
        <v/>
      </c>
      <c r="J10" s="283">
        <v>0</v>
      </c>
      <c r="K10" s="323" t="str">
        <f t="shared" si="2"/>
        <v/>
      </c>
      <c r="L10" s="24"/>
    </row>
    <row r="11" spans="1:12" ht="11.25" customHeight="1">
      <c r="A11" s="140" t="s">
        <v>44</v>
      </c>
      <c r="B11" s="281">
        <v>0.1060309825</v>
      </c>
      <c r="C11" s="774">
        <v>0.21490501999999997</v>
      </c>
      <c r="D11" s="282">
        <v>0.44145900249999998</v>
      </c>
      <c r="E11" s="281">
        <v>3.3777650525</v>
      </c>
      <c r="F11" s="249">
        <f t="shared" si="1"/>
        <v>-0.86930440819936217</v>
      </c>
      <c r="G11" s="281">
        <v>0.65636402249999992</v>
      </c>
      <c r="H11" s="774">
        <v>3.3777650525</v>
      </c>
      <c r="I11" s="249">
        <f t="shared" si="0"/>
        <v>-0.80568097179695719</v>
      </c>
      <c r="J11" s="281">
        <v>1.34315742</v>
      </c>
      <c r="K11" s="249">
        <f t="shared" si="2"/>
        <v>1.5147946191593835</v>
      </c>
      <c r="L11" s="22"/>
    </row>
    <row r="12" spans="1:12" ht="11.25" customHeight="1">
      <c r="A12" s="246" t="s">
        <v>45</v>
      </c>
      <c r="B12" s="330">
        <v>0</v>
      </c>
      <c r="C12" s="776">
        <v>0</v>
      </c>
      <c r="D12" s="331">
        <v>0</v>
      </c>
      <c r="E12" s="330">
        <v>0</v>
      </c>
      <c r="F12" s="250" t="str">
        <f>IF(E12=0,"",D12/E12-1)</f>
        <v/>
      </c>
      <c r="G12" s="330">
        <v>0</v>
      </c>
      <c r="H12" s="776">
        <v>0</v>
      </c>
      <c r="I12" s="250" t="str">
        <f t="shared" si="0"/>
        <v/>
      </c>
      <c r="J12" s="330">
        <v>0</v>
      </c>
      <c r="K12" s="250" t="str">
        <f t="shared" si="2"/>
        <v/>
      </c>
      <c r="L12" s="22"/>
    </row>
    <row r="13" spans="1:12" ht="11.25" customHeight="1">
      <c r="A13" s="140" t="s">
        <v>46</v>
      </c>
      <c r="B13" s="281">
        <v>172.10317082500003</v>
      </c>
      <c r="C13" s="774">
        <v>1.7961934199999998</v>
      </c>
      <c r="D13" s="282">
        <v>5.6024892275000004</v>
      </c>
      <c r="E13" s="281">
        <v>1.2116779899999996</v>
      </c>
      <c r="F13" s="249">
        <f>IF(E13=0,"",D13/E13-1)</f>
        <v>3.6237443229450772</v>
      </c>
      <c r="G13" s="281">
        <v>7.3986826474999994</v>
      </c>
      <c r="H13" s="774">
        <v>4.7667236274999993</v>
      </c>
      <c r="I13" s="249">
        <f t="shared" si="0"/>
        <v>0.55215263683755511</v>
      </c>
      <c r="J13" s="281">
        <v>1.93915353</v>
      </c>
      <c r="K13" s="249">
        <f t="shared" si="2"/>
        <v>1.4581465849689579</v>
      </c>
      <c r="L13" s="22"/>
    </row>
    <row r="14" spans="1:12" ht="11.25" customHeight="1">
      <c r="A14" s="141" t="s">
        <v>47</v>
      </c>
      <c r="B14" s="283">
        <v>25.9735237975</v>
      </c>
      <c r="C14" s="775">
        <v>18.474830815000001</v>
      </c>
      <c r="D14" s="284">
        <v>10.8409557625</v>
      </c>
      <c r="E14" s="283">
        <v>13.677572290000001</v>
      </c>
      <c r="F14" s="323">
        <f t="shared" si="1"/>
        <v>-0.20739181393864159</v>
      </c>
      <c r="G14" s="283">
        <v>29.315786577500003</v>
      </c>
      <c r="H14" s="775">
        <v>34.98287163749999</v>
      </c>
      <c r="I14" s="323">
        <f>IF(H14=0,"",G14/H14-1)</f>
        <v>-0.16199599388876751</v>
      </c>
      <c r="J14" s="283">
        <v>37.624249367499999</v>
      </c>
      <c r="K14" s="323">
        <f t="shared" si="2"/>
        <v>-7.0204130963517519E-2</v>
      </c>
      <c r="L14" s="22"/>
    </row>
    <row r="15" spans="1:12" ht="11.25" customHeight="1">
      <c r="A15" s="140" t="s">
        <v>48</v>
      </c>
      <c r="B15" s="281">
        <v>7.2450802000000012</v>
      </c>
      <c r="C15" s="243">
        <v>6.8119677249999997</v>
      </c>
      <c r="D15" s="282">
        <v>6.2437651999999995</v>
      </c>
      <c r="E15" s="281">
        <v>6.4533672750000006</v>
      </c>
      <c r="F15" s="249">
        <f t="shared" si="1"/>
        <v>-3.2479489554544383E-2</v>
      </c>
      <c r="G15" s="281">
        <v>13.055732925000001</v>
      </c>
      <c r="H15" s="243">
        <v>12.878944150000001</v>
      </c>
      <c r="I15" s="249">
        <f t="shared" si="0"/>
        <v>1.3726961848809616E-2</v>
      </c>
      <c r="J15" s="281">
        <v>14.923510632499999</v>
      </c>
      <c r="K15" s="249">
        <f t="shared" si="2"/>
        <v>-0.1370030506124611</v>
      </c>
      <c r="L15" s="22"/>
    </row>
    <row r="16" spans="1:12" ht="11.25" customHeight="1">
      <c r="A16" s="141" t="s">
        <v>29</v>
      </c>
      <c r="B16" s="283">
        <v>72.756407109999998</v>
      </c>
      <c r="C16" s="244">
        <v>72.750899860000004</v>
      </c>
      <c r="D16" s="284">
        <v>54.311310517500011</v>
      </c>
      <c r="E16" s="283">
        <v>63.138670817499992</v>
      </c>
      <c r="F16" s="323">
        <f t="shared" si="1"/>
        <v>-0.13980909299651145</v>
      </c>
      <c r="G16" s="283">
        <v>127.06221037750001</v>
      </c>
      <c r="H16" s="244">
        <v>134.92653404499998</v>
      </c>
      <c r="I16" s="323">
        <f>IF(H16=0,"",G16/H16-1)</f>
        <v>-5.8285968161585711E-2</v>
      </c>
      <c r="J16" s="283">
        <v>136.7030283</v>
      </c>
      <c r="K16" s="323">
        <f t="shared" si="2"/>
        <v>-1.2995280917270091E-2</v>
      </c>
      <c r="L16" s="22"/>
    </row>
    <row r="17" spans="1:12" ht="11.25" customHeight="1">
      <c r="A17" s="140" t="s">
        <v>28</v>
      </c>
      <c r="B17" s="281">
        <v>136.49075921249997</v>
      </c>
      <c r="C17" s="243">
        <v>147.48586147</v>
      </c>
      <c r="D17" s="282">
        <v>105.83284567250001</v>
      </c>
      <c r="E17" s="281">
        <v>126.1483259525</v>
      </c>
      <c r="F17" s="249">
        <f t="shared" si="1"/>
        <v>-0.16104439061402687</v>
      </c>
      <c r="G17" s="281">
        <v>253.31870714250005</v>
      </c>
      <c r="H17" s="243">
        <v>276.52361378000001</v>
      </c>
      <c r="I17" s="249">
        <f>IF(H17=0,"",G17/H17-1)</f>
        <v>-8.3916546295252692E-2</v>
      </c>
      <c r="J17" s="281">
        <v>273.12187200249997</v>
      </c>
      <c r="K17" s="249">
        <f t="shared" si="2"/>
        <v>1.2455032445987779E-2</v>
      </c>
      <c r="L17" s="22"/>
    </row>
    <row r="18" spans="1:12" ht="11.25" customHeight="1">
      <c r="A18" s="146" t="s">
        <v>41</v>
      </c>
      <c r="B18" s="285">
        <f>SUM(B6:B17)</f>
        <v>5012.7898841900005</v>
      </c>
      <c r="C18" s="286">
        <f>SUM(C6:C17)</f>
        <v>4890.6689940949982</v>
      </c>
      <c r="D18" s="540">
        <f>SUM(D6:D17)</f>
        <v>4526.4439845575007</v>
      </c>
      <c r="E18" s="285">
        <f>SUM(E6:E17)</f>
        <v>4321.2422742750005</v>
      </c>
      <c r="F18" s="324">
        <f>IF(E18=0,"",D18/E18-1)</f>
        <v>4.7486740445935371E-2</v>
      </c>
      <c r="G18" s="285">
        <f>SUM(G6:G17)</f>
        <v>9417.1129786524998</v>
      </c>
      <c r="H18" s="286">
        <f>SUM(H6:H17)</f>
        <v>9005.2108460375021</v>
      </c>
      <c r="I18" s="324">
        <f>IF(H18=0,"",G18/H18-1)</f>
        <v>4.5740420702780504E-2</v>
      </c>
      <c r="J18" s="285">
        <f>SUM(J6:J17)</f>
        <v>8711.7892750925021</v>
      </c>
      <c r="K18" s="324">
        <f t="shared" si="2"/>
        <v>3.3680976625996673E-2</v>
      </c>
      <c r="L18" s="30"/>
    </row>
    <row r="19" spans="1:12" ht="11.25" customHeight="1">
      <c r="A19" s="22"/>
      <c r="B19" s="22"/>
      <c r="C19" s="22"/>
      <c r="D19" s="22"/>
      <c r="E19" s="22"/>
      <c r="F19" s="22"/>
      <c r="G19" s="22"/>
      <c r="H19" s="22"/>
      <c r="I19" s="22"/>
      <c r="J19" s="22"/>
      <c r="K19" s="22"/>
      <c r="L19" s="22"/>
    </row>
    <row r="20" spans="1:12" ht="11.25" customHeight="1">
      <c r="A20" s="142" t="s">
        <v>38</v>
      </c>
      <c r="B20" s="231">
        <v>0</v>
      </c>
      <c r="C20" s="232">
        <v>0</v>
      </c>
      <c r="D20" s="303">
        <v>0</v>
      </c>
      <c r="E20" s="526">
        <v>0</v>
      </c>
      <c r="F20" s="120" t="str">
        <f>IF(E20=0,"",D20/E20-1)</f>
        <v/>
      </c>
      <c r="G20" s="231">
        <v>0</v>
      </c>
      <c r="H20" s="302">
        <v>0</v>
      </c>
      <c r="I20" s="123" t="str">
        <f>IF(H20=0,"",G20/H20-1)</f>
        <v/>
      </c>
      <c r="J20" s="231">
        <v>0</v>
      </c>
      <c r="K20" s="120" t="str">
        <f>IF(J20=0,"",H20/J20-1)</f>
        <v/>
      </c>
      <c r="L20" s="22"/>
    </row>
    <row r="21" spans="1:12" ht="11.25" customHeight="1">
      <c r="A21" s="143" t="s">
        <v>39</v>
      </c>
      <c r="B21" s="228">
        <v>0.53031638000000003</v>
      </c>
      <c r="C21" s="229">
        <v>0.25442452999999998</v>
      </c>
      <c r="D21" s="230">
        <v>0</v>
      </c>
      <c r="E21" s="527">
        <v>0</v>
      </c>
      <c r="F21" s="229" t="str">
        <f>IF(E21=0,"",D21/E21-1)</f>
        <v/>
      </c>
      <c r="G21" s="228">
        <v>0.25442452999999998</v>
      </c>
      <c r="H21" s="229">
        <v>0</v>
      </c>
      <c r="I21" s="115" t="str">
        <f>IF(H21=0,"",G21/H21-1)</f>
        <v/>
      </c>
      <c r="J21" s="228">
        <v>0</v>
      </c>
      <c r="K21" s="121" t="str">
        <f>IF(J21=0,"",H21/J21-1)</f>
        <v/>
      </c>
      <c r="L21" s="22"/>
    </row>
    <row r="22" spans="1:12" ht="23.25" customHeight="1">
      <c r="A22" s="144" t="s">
        <v>40</v>
      </c>
      <c r="B22" s="241">
        <f>+B21-B20</f>
        <v>0.53031638000000003</v>
      </c>
      <c r="C22" s="242">
        <f>+C21-C20</f>
        <v>0.25442452999999998</v>
      </c>
      <c r="D22" s="325">
        <f>+D21-D20</f>
        <v>0</v>
      </c>
      <c r="E22" s="528">
        <f>+E21-E20</f>
        <v>0</v>
      </c>
      <c r="F22" s="242"/>
      <c r="G22" s="241">
        <f>+G21-G20</f>
        <v>0.25442452999999998</v>
      </c>
      <c r="H22" s="242">
        <f>+H21-H20</f>
        <v>0</v>
      </c>
      <c r="I22" s="124"/>
      <c r="J22" s="241">
        <f>+J21-J20</f>
        <v>0</v>
      </c>
      <c r="K22" s="122"/>
      <c r="L22" s="30"/>
    </row>
    <row r="23" spans="1:12" ht="11.25" customHeight="1">
      <c r="A23" s="226" t="s">
        <v>215</v>
      </c>
      <c r="B23" s="133"/>
      <c r="C23" s="133"/>
      <c r="D23" s="133"/>
      <c r="E23" s="133"/>
      <c r="F23" s="133"/>
      <c r="G23" s="133"/>
      <c r="H23" s="134"/>
      <c r="I23" s="134"/>
      <c r="J23" s="133"/>
      <c r="K23" s="135"/>
      <c r="L23" s="22"/>
    </row>
    <row r="24" spans="1:12" ht="22.8" customHeight="1">
      <c r="A24" s="866" t="s">
        <v>802</v>
      </c>
      <c r="B24" s="866"/>
      <c r="C24" s="866"/>
      <c r="D24" s="866"/>
      <c r="E24" s="866"/>
      <c r="F24" s="866"/>
      <c r="G24" s="866"/>
      <c r="H24" s="866"/>
      <c r="I24" s="866"/>
      <c r="J24" s="866"/>
      <c r="K24" s="866"/>
      <c r="L24" s="22"/>
    </row>
    <row r="25" spans="1:12" ht="11.25" customHeight="1">
      <c r="A25" s="137"/>
      <c r="B25" s="137"/>
      <c r="C25" s="137"/>
      <c r="D25" s="137"/>
      <c r="E25" s="137"/>
      <c r="F25" s="137"/>
      <c r="G25" s="137"/>
      <c r="H25" s="137"/>
      <c r="I25" s="137"/>
      <c r="J25" s="137"/>
      <c r="K25" s="137"/>
      <c r="L25" s="22"/>
    </row>
    <row r="26" spans="1:12" ht="11.25" customHeight="1">
      <c r="A26" s="136"/>
      <c r="B26" s="138"/>
      <c r="C26" s="138"/>
      <c r="D26" s="138"/>
      <c r="E26" s="138"/>
      <c r="F26" s="138"/>
      <c r="G26" s="138"/>
      <c r="H26" s="138"/>
      <c r="I26" s="138"/>
      <c r="J26" s="138"/>
      <c r="K26" s="138"/>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38"/>
    </row>
    <row r="40" spans="1:12" ht="11.25" customHeight="1">
      <c r="A40" s="136"/>
      <c r="B40" s="138"/>
      <c r="C40" s="138"/>
      <c r="D40" s="138"/>
      <c r="E40" s="138"/>
      <c r="F40" s="138"/>
      <c r="G40" s="138"/>
      <c r="H40" s="138"/>
      <c r="I40" s="138"/>
      <c r="J40" s="138"/>
      <c r="K40" s="138"/>
      <c r="L40" s="22"/>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5: Comparación de la producción de energía eléctrica (GWh) por tipo de recurso energético acumulado a "&amp;'1. Resumen'!Q4&amp;"."</f>
        <v>Gráfico N° 5: Comparación de la producción de energía eléctrica (GWh) por tipo de recurso energético acumulado a febrero.</v>
      </c>
    </row>
  </sheetData>
  <mergeCells count="6">
    <mergeCell ref="A24:K24"/>
    <mergeCell ref="A2:K2"/>
    <mergeCell ref="B4:D4"/>
    <mergeCell ref="E4:F4"/>
    <mergeCell ref="G4:K4"/>
    <mergeCell ref="A4:A5"/>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ignoredErrors>
    <ignoredError sqref="K18 C18:E18 J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3"/>
  <sheetViews>
    <sheetView showGridLines="0" view="pageBreakPreview" zoomScaleNormal="100" zoomScaleSheetLayoutView="100" zoomScalePageLayoutView="115" workbookViewId="0">
      <selection activeCell="D10" sqref="D10"/>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27"/>
  </cols>
  <sheetData>
    <row r="1" spans="1:12" ht="11.25" customHeight="1"/>
    <row r="2" spans="1:12" ht="11.25" customHeight="1">
      <c r="A2" s="873" t="s">
        <v>223</v>
      </c>
      <c r="B2" s="873"/>
      <c r="C2" s="873"/>
      <c r="D2" s="873"/>
      <c r="E2" s="873"/>
      <c r="F2" s="873"/>
      <c r="G2" s="873"/>
      <c r="H2" s="873"/>
      <c r="I2" s="873"/>
      <c r="J2" s="873"/>
      <c r="K2" s="873"/>
      <c r="L2" s="428"/>
    </row>
    <row r="3" spans="1:12" ht="11.25" customHeight="1">
      <c r="A3" s="74"/>
      <c r="B3" s="73"/>
      <c r="C3" s="73"/>
      <c r="D3" s="73"/>
      <c r="E3" s="73"/>
      <c r="F3" s="73"/>
      <c r="G3" s="73"/>
      <c r="H3" s="73"/>
      <c r="I3" s="73"/>
      <c r="J3" s="73"/>
      <c r="K3" s="73"/>
      <c r="L3" s="428"/>
    </row>
    <row r="4" spans="1:12" ht="15.75" customHeight="1">
      <c r="A4" s="871" t="s">
        <v>219</v>
      </c>
      <c r="B4" s="868" t="s">
        <v>32</v>
      </c>
      <c r="C4" s="869"/>
      <c r="D4" s="869"/>
      <c r="E4" s="869" t="s">
        <v>33</v>
      </c>
      <c r="F4" s="869"/>
      <c r="G4" s="870" t="str">
        <f>+'4. Tipo Recurso'!G4:K4</f>
        <v>Generación Acumulada a febrero</v>
      </c>
      <c r="H4" s="870"/>
      <c r="I4" s="870"/>
      <c r="J4" s="870"/>
      <c r="K4" s="870"/>
      <c r="L4" s="429"/>
    </row>
    <row r="5" spans="1:12" ht="29.25" customHeight="1">
      <c r="A5" s="871"/>
      <c r="B5" s="364">
        <f>+'4. Tipo Recurso'!B5</f>
        <v>44900</v>
      </c>
      <c r="C5" s="364">
        <f>+'4. Tipo Recurso'!C5</f>
        <v>44930</v>
      </c>
      <c r="D5" s="364">
        <f>+'4. Tipo Recurso'!D5</f>
        <v>44958</v>
      </c>
      <c r="E5" s="364">
        <f>+'4. Tipo Recurso'!E5</f>
        <v>44593</v>
      </c>
      <c r="F5" s="364" t="s">
        <v>34</v>
      </c>
      <c r="G5" s="366">
        <v>2023</v>
      </c>
      <c r="H5" s="366">
        <v>2022</v>
      </c>
      <c r="I5" s="365" t="s">
        <v>573</v>
      </c>
      <c r="J5" s="366">
        <v>2021</v>
      </c>
      <c r="K5" s="365" t="s">
        <v>526</v>
      </c>
      <c r="L5" s="430"/>
    </row>
    <row r="6" spans="1:12" ht="11.25" customHeight="1">
      <c r="A6" s="139" t="s">
        <v>43</v>
      </c>
      <c r="B6" s="278">
        <v>163.33989009999999</v>
      </c>
      <c r="C6" s="279">
        <v>225.03538684500003</v>
      </c>
      <c r="D6" s="280">
        <v>230.03363448250005</v>
      </c>
      <c r="E6" s="278">
        <v>226.46021045749998</v>
      </c>
      <c r="F6" s="248">
        <f t="shared" ref="F6:F11" si="0">IF(E6=0,"",D6/E6-1)</f>
        <v>1.5779478513161083E-2</v>
      </c>
      <c r="G6" s="278">
        <v>455.06902132750014</v>
      </c>
      <c r="H6" s="279">
        <v>453.89482790499994</v>
      </c>
      <c r="I6" s="252">
        <f t="shared" ref="I6:I11" si="1">IF(H6=0,"",G6/H6-1)</f>
        <v>2.5869284034802931E-3</v>
      </c>
      <c r="J6" s="278">
        <v>480.50030150249995</v>
      </c>
      <c r="K6" s="248">
        <f t="shared" ref="K6:K11" si="2">IF(J6=0,"",H6/J6-1)</f>
        <v>-5.5370357758998345E-2</v>
      </c>
      <c r="L6" s="431"/>
    </row>
    <row r="7" spans="1:12" ht="11.25" customHeight="1">
      <c r="A7" s="140" t="s">
        <v>37</v>
      </c>
      <c r="B7" s="281">
        <v>136.49075921249997</v>
      </c>
      <c r="C7" s="243">
        <v>147.48586147</v>
      </c>
      <c r="D7" s="282">
        <v>105.83284567250001</v>
      </c>
      <c r="E7" s="281">
        <v>126.1483259525</v>
      </c>
      <c r="F7" s="249">
        <f t="shared" si="0"/>
        <v>-0.16104439061402687</v>
      </c>
      <c r="G7" s="281">
        <v>253.31870714250005</v>
      </c>
      <c r="H7" s="243">
        <v>276.52361378000001</v>
      </c>
      <c r="I7" s="238">
        <f t="shared" si="1"/>
        <v>-8.3916546295252692E-2</v>
      </c>
      <c r="J7" s="281">
        <v>273.12187200249997</v>
      </c>
      <c r="K7" s="249">
        <f t="shared" si="2"/>
        <v>1.2455032445987779E-2</v>
      </c>
      <c r="L7" s="431"/>
    </row>
    <row r="8" spans="1:12" ht="11.25" customHeight="1">
      <c r="A8" s="246" t="s">
        <v>29</v>
      </c>
      <c r="B8" s="330">
        <v>72.756407109999998</v>
      </c>
      <c r="C8" s="287">
        <v>72.750899860000004</v>
      </c>
      <c r="D8" s="331">
        <v>54.311310517500011</v>
      </c>
      <c r="E8" s="330">
        <v>63.138670817499992</v>
      </c>
      <c r="F8" s="250">
        <f t="shared" si="0"/>
        <v>-0.13980909299651145</v>
      </c>
      <c r="G8" s="330">
        <v>127.06221037750001</v>
      </c>
      <c r="H8" s="287">
        <v>134.92653404499998</v>
      </c>
      <c r="I8" s="245">
        <f t="shared" si="1"/>
        <v>-5.8285968161585711E-2</v>
      </c>
      <c r="J8" s="330">
        <v>136.7030283</v>
      </c>
      <c r="K8" s="250">
        <f t="shared" si="2"/>
        <v>-1.2995280917270091E-2</v>
      </c>
      <c r="L8" s="431"/>
    </row>
    <row r="9" spans="1:12" ht="11.25" customHeight="1">
      <c r="A9" s="140" t="s">
        <v>47</v>
      </c>
      <c r="B9" s="281">
        <v>25.9735237975</v>
      </c>
      <c r="C9" s="243">
        <v>18.474830815000001</v>
      </c>
      <c r="D9" s="282">
        <v>10.8409557625</v>
      </c>
      <c r="E9" s="281">
        <v>13.677572290000001</v>
      </c>
      <c r="F9" s="249">
        <f t="shared" si="0"/>
        <v>-0.20739181393864159</v>
      </c>
      <c r="G9" s="281">
        <v>29.315786577500003</v>
      </c>
      <c r="H9" s="243">
        <v>34.98287163749999</v>
      </c>
      <c r="I9" s="238">
        <f t="shared" si="1"/>
        <v>-0.16199599388876751</v>
      </c>
      <c r="J9" s="281">
        <v>37.624249367499999</v>
      </c>
      <c r="K9" s="249">
        <f t="shared" si="2"/>
        <v>-7.0204130963517519E-2</v>
      </c>
      <c r="L9" s="432"/>
    </row>
    <row r="10" spans="1:12" ht="11.25" customHeight="1">
      <c r="A10" s="247" t="s">
        <v>48</v>
      </c>
      <c r="B10" s="332">
        <v>7.2450802000000012</v>
      </c>
      <c r="C10" s="333">
        <v>6.8119677249999997</v>
      </c>
      <c r="D10" s="334">
        <v>6.2437651999999995</v>
      </c>
      <c r="E10" s="332">
        <v>6.4533672750000006</v>
      </c>
      <c r="F10" s="251">
        <f t="shared" si="0"/>
        <v>-3.2479489554544383E-2</v>
      </c>
      <c r="G10" s="332">
        <v>13.055732925000001</v>
      </c>
      <c r="H10" s="333">
        <v>12.878944150000001</v>
      </c>
      <c r="I10" s="253">
        <f t="shared" si="1"/>
        <v>1.3726961848809616E-2</v>
      </c>
      <c r="J10" s="332">
        <v>14.923510632499999</v>
      </c>
      <c r="K10" s="251">
        <f t="shared" si="2"/>
        <v>-0.1370030506124611</v>
      </c>
      <c r="L10" s="431"/>
    </row>
    <row r="11" spans="1:12" ht="11.25" customHeight="1">
      <c r="A11" s="254" t="s">
        <v>216</v>
      </c>
      <c r="B11" s="315">
        <f>+B6+B7+B8+B9+B10</f>
        <v>405.80566041999998</v>
      </c>
      <c r="C11" s="316">
        <f t="shared" ref="C11:D11" si="3">+C6+C7+C8+C9+C10</f>
        <v>470.55894671500005</v>
      </c>
      <c r="D11" s="317">
        <f t="shared" si="3"/>
        <v>407.26251163500012</v>
      </c>
      <c r="E11" s="318">
        <f>+E6+E7+E8+E9+E10</f>
        <v>435.87814679249999</v>
      </c>
      <c r="F11" s="255">
        <f t="shared" si="0"/>
        <v>-6.5650538729858265E-2</v>
      </c>
      <c r="G11" s="328">
        <f>+G6+G7+G8+G9+G10</f>
        <v>877.82145835000028</v>
      </c>
      <c r="H11" s="329">
        <f>+H6+H7+H8+H9+H10</f>
        <v>913.20679151750005</v>
      </c>
      <c r="I11" s="256">
        <f t="shared" si="1"/>
        <v>-3.874843408544848E-2</v>
      </c>
      <c r="J11" s="328">
        <f>+J6+J7+J8+J9+J10</f>
        <v>942.87296180499993</v>
      </c>
      <c r="K11" s="255">
        <f t="shared" si="2"/>
        <v>-3.1463592116066308E-2</v>
      </c>
      <c r="L11" s="429"/>
    </row>
    <row r="12" spans="1:12" ht="24.75" customHeight="1">
      <c r="A12" s="257" t="s">
        <v>217</v>
      </c>
      <c r="B12" s="258">
        <f>B11/'4. Tipo Recurso'!B18</f>
        <v>8.0954053490229771E-2</v>
      </c>
      <c r="C12" s="539">
        <f>C11/'4. Tipo Recurso'!C18</f>
        <v>9.6215660328505911E-2</v>
      </c>
      <c r="D12" s="435">
        <f>D11/'4. Tipo Recurso'!D18</f>
        <v>8.9974053147332519E-2</v>
      </c>
      <c r="E12" s="258">
        <f>E11/'4. Tipo Recurso'!E18</f>
        <v>0.10086871300582881</v>
      </c>
      <c r="F12" s="259"/>
      <c r="G12" s="258">
        <f>G11/'4. Tipo Recurso'!G18</f>
        <v>9.3215559836642023E-2</v>
      </c>
      <c r="H12" s="256">
        <f>H11/'4. Tipo Recurso'!H18</f>
        <v>0.1014087073729464</v>
      </c>
      <c r="I12" s="256"/>
      <c r="J12" s="258">
        <f>J11/'4. Tipo Recurso'!J18</f>
        <v>0.10822954183484752</v>
      </c>
      <c r="K12" s="259"/>
      <c r="L12" s="429"/>
    </row>
    <row r="13" spans="1:12" ht="11.25" customHeight="1">
      <c r="A13" s="260" t="s">
        <v>218</v>
      </c>
      <c r="B13" s="134"/>
      <c r="C13" s="134"/>
      <c r="D13" s="134"/>
      <c r="E13" s="134"/>
      <c r="F13" s="134"/>
      <c r="G13" s="134"/>
      <c r="H13" s="134"/>
      <c r="I13" s="134"/>
      <c r="J13" s="134"/>
      <c r="K13" s="135"/>
      <c r="L13" s="429"/>
    </row>
    <row r="14" spans="1:12" ht="35.25" customHeight="1">
      <c r="A14" s="874" t="s">
        <v>520</v>
      </c>
      <c r="B14" s="874"/>
      <c r="C14" s="874"/>
      <c r="D14" s="874"/>
      <c r="E14" s="874"/>
      <c r="F14" s="874"/>
      <c r="G14" s="874"/>
      <c r="H14" s="874"/>
      <c r="I14" s="874"/>
      <c r="J14" s="874"/>
      <c r="K14" s="874"/>
      <c r="L14" s="429"/>
    </row>
    <row r="15" spans="1:12" ht="11.25" customHeight="1">
      <c r="A15" s="31"/>
      <c r="L15" s="429"/>
    </row>
    <row r="16" spans="1:12" ht="11.25" customHeight="1">
      <c r="A16" s="136"/>
      <c r="B16" s="147"/>
      <c r="C16" s="147"/>
      <c r="D16" s="147"/>
      <c r="E16" s="147"/>
      <c r="F16" s="147"/>
      <c r="G16" s="147"/>
      <c r="H16" s="147"/>
      <c r="I16" s="147"/>
      <c r="J16" s="147"/>
      <c r="K16" s="147"/>
      <c r="L16" s="429"/>
    </row>
    <row r="17" spans="1:12" ht="11.25" customHeight="1">
      <c r="A17" s="147"/>
      <c r="B17" s="147"/>
      <c r="C17" s="147"/>
      <c r="D17" s="147"/>
      <c r="E17" s="147"/>
      <c r="F17" s="147"/>
      <c r="G17" s="147"/>
      <c r="H17" s="147"/>
      <c r="I17" s="147"/>
      <c r="J17" s="147"/>
      <c r="K17" s="147"/>
      <c r="L17" s="429"/>
    </row>
    <row r="18" spans="1:12" ht="11.25" customHeight="1">
      <c r="A18" s="147"/>
      <c r="B18" s="147"/>
      <c r="C18" s="147"/>
      <c r="D18" s="147"/>
      <c r="E18" s="147"/>
      <c r="F18" s="147"/>
      <c r="G18" s="147"/>
      <c r="H18" s="147"/>
      <c r="I18" s="147"/>
      <c r="J18" s="147"/>
      <c r="K18" s="147"/>
      <c r="L18" s="433"/>
    </row>
    <row r="19" spans="1:12" ht="11.25" customHeight="1">
      <c r="A19" s="136"/>
      <c r="B19" s="138"/>
      <c r="C19" s="138"/>
      <c r="D19" s="138"/>
      <c r="E19" s="138"/>
      <c r="F19" s="138"/>
      <c r="G19" s="138"/>
      <c r="H19" s="138"/>
      <c r="I19" s="138"/>
      <c r="J19" s="138"/>
      <c r="K19" s="138"/>
      <c r="L19" s="429"/>
    </row>
    <row r="20" spans="1:12" ht="11.25" customHeight="1">
      <c r="A20" s="136"/>
      <c r="B20" s="138"/>
      <c r="C20" s="138"/>
      <c r="D20" s="138"/>
      <c r="E20" s="138"/>
      <c r="F20" s="138"/>
      <c r="G20" s="138"/>
      <c r="H20" s="138"/>
      <c r="I20" s="138"/>
      <c r="J20" s="138"/>
      <c r="K20" s="138"/>
      <c r="L20" s="429"/>
    </row>
    <row r="21" spans="1:12" ht="11.25" customHeight="1">
      <c r="A21" s="136"/>
      <c r="B21" s="138"/>
      <c r="C21" s="138"/>
      <c r="D21" s="138"/>
      <c r="E21" s="138"/>
      <c r="F21" s="138"/>
      <c r="G21" s="138"/>
      <c r="H21" s="138"/>
      <c r="I21" s="138"/>
      <c r="J21" s="138"/>
      <c r="K21" s="138"/>
      <c r="L21" s="429"/>
    </row>
    <row r="22" spans="1:12" ht="11.25" customHeight="1">
      <c r="A22" s="136"/>
      <c r="B22" s="138"/>
      <c r="C22" s="138"/>
      <c r="D22" s="138"/>
      <c r="E22" s="138"/>
      <c r="F22" s="138"/>
      <c r="G22" s="138"/>
      <c r="H22" s="138"/>
      <c r="I22" s="138"/>
      <c r="J22" s="138"/>
      <c r="K22" s="138"/>
      <c r="L22" s="433"/>
    </row>
    <row r="23" spans="1:12" ht="11.25" customHeight="1">
      <c r="A23" s="136"/>
      <c r="B23" s="138"/>
      <c r="C23" s="138"/>
      <c r="D23" s="138"/>
      <c r="E23" s="138"/>
      <c r="F23" s="138"/>
      <c r="G23" s="138"/>
      <c r="H23" s="138"/>
      <c r="I23" s="138"/>
      <c r="J23" s="138"/>
      <c r="K23" s="138"/>
      <c r="L23" s="429"/>
    </row>
    <row r="24" spans="1:12" ht="11.25" customHeight="1">
      <c r="A24" s="136"/>
      <c r="B24" s="138"/>
      <c r="C24" s="138"/>
      <c r="D24" s="138"/>
      <c r="E24" s="138"/>
      <c r="F24" s="138"/>
      <c r="G24" s="138"/>
      <c r="H24" s="138"/>
      <c r="I24" s="138"/>
      <c r="J24" s="138"/>
      <c r="K24" s="138"/>
      <c r="L24" s="429"/>
    </row>
    <row r="25" spans="1:12" ht="11.25" customHeight="1">
      <c r="A25" s="136"/>
      <c r="B25" s="138"/>
      <c r="C25" s="138"/>
      <c r="D25" s="138"/>
      <c r="E25" s="138"/>
      <c r="F25" s="138"/>
      <c r="G25" s="138"/>
      <c r="H25" s="138"/>
      <c r="I25" s="138"/>
      <c r="J25" s="138"/>
      <c r="K25" s="138"/>
      <c r="L25" s="429"/>
    </row>
    <row r="26" spans="1:12" ht="11.25" customHeight="1">
      <c r="A26" s="136"/>
      <c r="B26" s="138"/>
      <c r="C26" s="138"/>
      <c r="D26" s="138"/>
      <c r="E26" s="138"/>
      <c r="F26" s="138"/>
      <c r="G26" s="138"/>
      <c r="H26" s="138"/>
      <c r="I26" s="138"/>
      <c r="J26" s="138"/>
      <c r="K26" s="138"/>
      <c r="L26" s="429"/>
    </row>
    <row r="27" spans="1:12" ht="11.25" customHeight="1">
      <c r="A27" s="136"/>
      <c r="B27" s="138"/>
      <c r="C27" s="138"/>
      <c r="D27" s="138"/>
      <c r="E27" s="138"/>
      <c r="F27" s="138"/>
      <c r="G27" s="138"/>
      <c r="H27" s="138"/>
      <c r="I27" s="138"/>
      <c r="J27" s="138"/>
      <c r="K27" s="138"/>
      <c r="L27" s="429"/>
    </row>
    <row r="28" spans="1:12" ht="11.25" customHeight="1">
      <c r="A28" s="136"/>
      <c r="B28" s="138"/>
      <c r="C28" s="138"/>
      <c r="D28" s="138"/>
      <c r="E28" s="138"/>
      <c r="F28" s="138"/>
      <c r="G28" s="138"/>
      <c r="H28" s="138"/>
      <c r="I28" s="138"/>
      <c r="J28" s="138"/>
      <c r="K28" s="138"/>
      <c r="L28" s="429"/>
    </row>
    <row r="29" spans="1:12" ht="11.25" customHeight="1">
      <c r="A29" s="136"/>
      <c r="B29" s="138"/>
      <c r="C29" s="138"/>
      <c r="D29" s="138"/>
      <c r="E29" s="138"/>
      <c r="F29" s="138"/>
      <c r="G29" s="138"/>
      <c r="H29" s="138"/>
      <c r="I29" s="138"/>
      <c r="J29" s="138"/>
      <c r="K29" s="138"/>
      <c r="L29" s="429"/>
    </row>
    <row r="30" spans="1:12" ht="11.25" customHeight="1">
      <c r="A30" s="136"/>
      <c r="B30" s="138"/>
      <c r="C30" s="138"/>
      <c r="D30" s="138"/>
      <c r="E30" s="138"/>
      <c r="F30" s="138"/>
      <c r="G30" s="138"/>
      <c r="H30" s="138"/>
      <c r="I30" s="138"/>
      <c r="J30" s="138"/>
      <c r="K30" s="138"/>
      <c r="L30" s="429"/>
    </row>
    <row r="31" spans="1:12" ht="11.25" customHeight="1">
      <c r="A31" s="136"/>
      <c r="B31" s="138"/>
      <c r="C31" s="138"/>
      <c r="D31" s="138"/>
      <c r="E31" s="138"/>
      <c r="F31" s="138"/>
      <c r="G31" s="138"/>
      <c r="H31" s="138"/>
      <c r="I31" s="138"/>
      <c r="J31" s="138"/>
      <c r="K31" s="138"/>
      <c r="L31" s="429"/>
    </row>
    <row r="32" spans="1:12" ht="11.25" customHeight="1">
      <c r="A32" s="136"/>
      <c r="B32" s="138"/>
      <c r="C32" s="138"/>
      <c r="D32" s="138"/>
      <c r="E32" s="138"/>
      <c r="F32" s="138"/>
      <c r="G32" s="138"/>
      <c r="H32" s="138"/>
      <c r="I32" s="138"/>
      <c r="J32" s="138"/>
      <c r="K32" s="138"/>
      <c r="L32" s="429"/>
    </row>
    <row r="33" spans="1:16" ht="11.25" customHeight="1">
      <c r="A33" s="136"/>
      <c r="B33" s="138"/>
      <c r="C33" s="138"/>
      <c r="D33" s="138"/>
      <c r="E33" s="138"/>
      <c r="F33" s="138"/>
      <c r="G33" s="138"/>
      <c r="H33" s="138"/>
      <c r="I33" s="138"/>
      <c r="J33" s="138"/>
      <c r="K33" s="138"/>
      <c r="L33" s="429"/>
    </row>
    <row r="34" spans="1:16" ht="11.25" customHeight="1">
      <c r="A34" s="136"/>
      <c r="B34" s="138"/>
      <c r="C34" s="138"/>
      <c r="D34" s="138"/>
      <c r="E34" s="138"/>
      <c r="F34" s="138"/>
      <c r="G34" s="138"/>
      <c r="H34" s="138"/>
      <c r="I34" s="138"/>
      <c r="J34" s="138"/>
      <c r="K34" s="138"/>
      <c r="L34" s="429"/>
    </row>
    <row r="35" spans="1:16" ht="11.25" customHeight="1">
      <c r="A35" s="872" t="str">
        <f>"Gráfico N° 6: Comparación de la producción de energía eléctrica acumulada (GWh) con recursos energéticos renovables en "&amp;'1. Resumen'!Q4&amp;"."</f>
        <v>Gráfico N° 6: Comparación de la producción de energía eléctrica acumulada (GWh) con recursos energéticos renovables en febrero.</v>
      </c>
      <c r="B35" s="872"/>
      <c r="C35" s="872"/>
      <c r="D35" s="872"/>
      <c r="E35" s="872"/>
      <c r="F35" s="872"/>
      <c r="G35" s="872"/>
      <c r="H35" s="872"/>
      <c r="I35" s="872"/>
      <c r="J35" s="872"/>
      <c r="K35" s="872"/>
      <c r="L35" s="581"/>
      <c r="M35" s="277"/>
      <c r="N35" s="277"/>
      <c r="O35" s="277"/>
    </row>
    <row r="36" spans="1:16" ht="11.25" customHeight="1">
      <c r="L36" s="582"/>
      <c r="M36" s="277"/>
      <c r="N36" s="277"/>
      <c r="O36" s="277"/>
    </row>
    <row r="37" spans="1:16" ht="11.25" customHeight="1">
      <c r="A37" s="136"/>
      <c r="B37" s="138"/>
      <c r="C37" s="138"/>
      <c r="D37" s="138"/>
      <c r="E37" s="138"/>
      <c r="F37" s="138"/>
      <c r="G37" s="138"/>
      <c r="H37" s="138"/>
      <c r="I37" s="138"/>
      <c r="J37" s="138"/>
      <c r="K37" s="138"/>
      <c r="L37" s="581"/>
      <c r="M37" s="277"/>
      <c r="N37" s="277"/>
      <c r="O37" s="277"/>
    </row>
    <row r="38" spans="1:16" ht="11.25" customHeight="1">
      <c r="A38" s="136"/>
      <c r="B38" s="138"/>
      <c r="C38" s="138"/>
      <c r="D38" s="138"/>
      <c r="E38" s="138"/>
      <c r="F38" s="138"/>
      <c r="G38" s="138"/>
      <c r="H38" s="138"/>
      <c r="I38" s="138"/>
      <c r="J38" s="138"/>
      <c r="K38" s="138"/>
      <c r="L38" s="581"/>
      <c r="M38" s="277"/>
      <c r="N38" s="277"/>
      <c r="O38" s="277"/>
    </row>
    <row r="39" spans="1:16" ht="11.25" customHeight="1">
      <c r="A39" s="136"/>
      <c r="B39" s="138"/>
      <c r="C39" s="138"/>
      <c r="D39" s="138"/>
      <c r="E39" s="138"/>
      <c r="F39" s="138"/>
      <c r="G39" s="138"/>
      <c r="H39" s="138"/>
      <c r="I39" s="138"/>
      <c r="J39" s="138"/>
      <c r="K39" s="138"/>
      <c r="L39" s="581"/>
      <c r="M39" s="277"/>
      <c r="N39" s="277"/>
      <c r="O39" s="277"/>
    </row>
    <row r="40" spans="1:16" ht="11.25" customHeight="1">
      <c r="A40" s="136"/>
      <c r="B40" s="138"/>
      <c r="C40" s="261" t="s">
        <v>221</v>
      </c>
      <c r="D40" s="158"/>
      <c r="E40" s="158"/>
      <c r="F40" s="327">
        <f>+'4. Tipo Recurso'!D18</f>
        <v>4526.4439845575007</v>
      </c>
      <c r="G40" s="261" t="s">
        <v>220</v>
      </c>
      <c r="H40" s="138"/>
      <c r="I40" s="138"/>
      <c r="J40" s="138"/>
      <c r="K40" s="138"/>
      <c r="L40" s="581"/>
      <c r="M40" s="583">
        <f>+F40-F41</f>
        <v>4119.1839845575005</v>
      </c>
      <c r="N40" s="277"/>
      <c r="O40" s="277"/>
      <c r="P40" s="434"/>
    </row>
    <row r="41" spans="1:16" ht="11.25" customHeight="1">
      <c r="A41" s="136"/>
      <c r="B41" s="138"/>
      <c r="C41" s="261" t="s">
        <v>222</v>
      </c>
      <c r="D41" s="158"/>
      <c r="E41" s="158"/>
      <c r="F41" s="327">
        <f>ROUND(D11,2)</f>
        <v>407.26</v>
      </c>
      <c r="G41" s="261" t="s">
        <v>220</v>
      </c>
      <c r="H41" s="138"/>
      <c r="I41" s="138"/>
      <c r="J41" s="138"/>
      <c r="K41" s="138"/>
      <c r="L41" s="581"/>
      <c r="M41" s="584"/>
      <c r="N41" s="277"/>
      <c r="O41" s="277"/>
      <c r="P41" s="434"/>
    </row>
    <row r="42" spans="1:16" ht="11.25" customHeight="1">
      <c r="A42" s="136"/>
      <c r="B42" s="138"/>
      <c r="C42" s="138"/>
      <c r="D42" s="138"/>
      <c r="E42" s="138"/>
      <c r="F42" s="138"/>
      <c r="G42" s="138"/>
      <c r="H42" s="138"/>
      <c r="I42" s="138"/>
      <c r="J42" s="138"/>
      <c r="K42" s="138"/>
      <c r="L42" s="581"/>
      <c r="M42" s="277"/>
      <c r="N42" s="277"/>
      <c r="O42" s="277"/>
      <c r="P42" s="434"/>
    </row>
    <row r="43" spans="1:16" ht="11.25" customHeight="1">
      <c r="A43" s="136"/>
      <c r="B43" s="138"/>
      <c r="C43" s="138"/>
      <c r="D43" s="138"/>
      <c r="E43" s="138"/>
      <c r="F43" s="138"/>
      <c r="G43" s="138"/>
      <c r="H43" s="138"/>
      <c r="I43" s="138"/>
      <c r="J43" s="138"/>
      <c r="K43" s="138"/>
      <c r="L43" s="581"/>
      <c r="M43" s="277"/>
      <c r="N43" s="277"/>
      <c r="O43" s="277"/>
      <c r="P43" s="434"/>
    </row>
    <row r="44" spans="1:16" ht="11.25" customHeight="1">
      <c r="A44" s="136"/>
      <c r="B44" s="138"/>
      <c r="C44" s="138"/>
      <c r="D44" s="138"/>
      <c r="E44" s="138"/>
      <c r="F44" s="138"/>
      <c r="G44" s="138"/>
      <c r="H44" s="138"/>
      <c r="I44" s="138"/>
      <c r="J44" s="138"/>
      <c r="K44" s="138"/>
      <c r="L44" s="581"/>
      <c r="M44" s="277"/>
      <c r="N44" s="277"/>
      <c r="O44" s="277"/>
      <c r="P44" s="434"/>
    </row>
    <row r="45" spans="1:16" ht="11.25" customHeight="1">
      <c r="A45" s="136"/>
      <c r="B45" s="138"/>
      <c r="C45" s="138"/>
      <c r="D45" s="138"/>
      <c r="E45" s="138"/>
      <c r="F45" s="138"/>
      <c r="G45" s="138"/>
      <c r="H45" s="138"/>
      <c r="I45" s="138"/>
      <c r="J45" s="138"/>
      <c r="K45" s="138"/>
      <c r="L45" s="581"/>
      <c r="M45" s="277"/>
      <c r="N45" s="277"/>
      <c r="O45" s="277"/>
      <c r="P45" s="434"/>
    </row>
    <row r="46" spans="1:16" ht="11.25" customHeight="1">
      <c r="A46" s="136"/>
      <c r="B46" s="138"/>
      <c r="C46" s="138"/>
      <c r="D46" s="138"/>
      <c r="E46" s="138"/>
      <c r="F46" s="138"/>
      <c r="G46" s="138"/>
      <c r="H46" s="138"/>
      <c r="I46" s="138"/>
      <c r="J46" s="138"/>
      <c r="K46" s="138"/>
      <c r="L46" s="581"/>
      <c r="M46" s="277"/>
      <c r="N46" s="277"/>
      <c r="O46" s="277"/>
      <c r="P46" s="434"/>
    </row>
    <row r="47" spans="1:16" ht="11.25" customHeight="1">
      <c r="A47" s="136"/>
      <c r="B47" s="138"/>
      <c r="C47" s="138"/>
      <c r="D47" s="138"/>
      <c r="E47" s="138"/>
      <c r="F47" s="138"/>
      <c r="G47" s="138"/>
      <c r="H47" s="138"/>
      <c r="I47" s="138"/>
      <c r="J47" s="138"/>
      <c r="K47" s="138"/>
      <c r="L47" s="429"/>
      <c r="P47" s="434"/>
    </row>
    <row r="48" spans="1:16"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6" t="str">
        <f>"Gráfico N° 7: Participación de las RER en la Matriz de Generación del SEIN en "&amp;'1. Resumen'!Q4&amp;" "&amp;'1. Resumen'!Q5&amp;"."</f>
        <v>Gráfico N° 7: Participación de las RER en la Matriz de Generación del SEIN en febrero 2023.</v>
      </c>
      <c r="B63" s="138"/>
      <c r="C63" s="138"/>
      <c r="D63" s="138"/>
      <c r="E63" s="138"/>
      <c r="F63" s="138"/>
      <c r="G63" s="138"/>
      <c r="H63" s="138"/>
      <c r="I63" s="138"/>
      <c r="J63" s="138"/>
      <c r="K63" s="138"/>
    </row>
  </sheetData>
  <mergeCells count="7">
    <mergeCell ref="A35:K35"/>
    <mergeCell ref="A2:K2"/>
    <mergeCell ref="A4:A5"/>
    <mergeCell ref="B4:D4"/>
    <mergeCell ref="E4:F4"/>
    <mergeCell ref="G4:K4"/>
    <mergeCell ref="A14:K14"/>
  </mergeCells>
  <pageMargins left="0.4365" right="0.30927536231884056" top="0.9207971014492754" bottom="0.56231884057971016"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Z64"/>
  <sheetViews>
    <sheetView showGridLines="0" view="pageBreakPreview" zoomScaleNormal="100" zoomScaleSheetLayoutView="100" zoomScalePageLayoutView="115" workbookViewId="0">
      <selection activeCell="Q8" sqref="Q8"/>
    </sheetView>
  </sheetViews>
  <sheetFormatPr baseColWidth="10" defaultColWidth="9.28515625" defaultRowHeight="10.199999999999999"/>
  <cols>
    <col min="1" max="12" width="10.28515625" customWidth="1"/>
    <col min="13" max="13" width="21.140625" style="548" bestFit="1" customWidth="1"/>
    <col min="14" max="14" width="9.28515625" style="634"/>
    <col min="15" max="15" width="9.28515625" style="548"/>
    <col min="16" max="16" width="11.85546875" style="548" customWidth="1"/>
    <col min="17" max="20" width="9.28515625" style="548"/>
    <col min="21" max="21" width="15" style="548" customWidth="1"/>
    <col min="22" max="22" width="9.28515625" style="548"/>
    <col min="23" max="23" width="14.140625" style="548" bestFit="1" customWidth="1"/>
    <col min="26" max="26" width="17.85546875" bestFit="1" customWidth="1"/>
  </cols>
  <sheetData>
    <row r="2" spans="1:26" ht="11.25" customHeight="1">
      <c r="A2" s="875" t="s">
        <v>227</v>
      </c>
      <c r="B2" s="875"/>
      <c r="C2" s="875"/>
      <c r="D2" s="875"/>
      <c r="E2" s="875"/>
      <c r="F2" s="875"/>
      <c r="G2" s="875"/>
      <c r="H2" s="875"/>
      <c r="I2" s="875"/>
      <c r="J2" s="875"/>
      <c r="K2" s="875"/>
      <c r="L2" s="875"/>
    </row>
    <row r="3" spans="1:26" ht="11.25" customHeight="1"/>
    <row r="4" spans="1:26" ht="11.25" customHeight="1">
      <c r="M4" s="630" t="s">
        <v>52</v>
      </c>
      <c r="N4" s="631" t="s">
        <v>30</v>
      </c>
      <c r="O4" s="630"/>
      <c r="P4" s="632"/>
      <c r="Q4" s="633"/>
      <c r="R4" s="633"/>
    </row>
    <row r="5" spans="1:26" ht="10.5" customHeight="1">
      <c r="A5" s="149"/>
      <c r="B5" s="138"/>
      <c r="C5" s="138"/>
      <c r="D5" s="138"/>
      <c r="E5" s="138"/>
      <c r="F5" s="138"/>
      <c r="G5" s="138"/>
      <c r="H5" s="138"/>
      <c r="I5" s="138"/>
      <c r="J5" s="138"/>
      <c r="K5" s="138"/>
      <c r="L5" s="138"/>
      <c r="M5" s="630"/>
      <c r="N5" s="631"/>
      <c r="O5" s="630"/>
      <c r="P5" s="630" t="s">
        <v>53</v>
      </c>
      <c r="Q5" s="630" t="s">
        <v>54</v>
      </c>
      <c r="R5" s="630"/>
      <c r="V5" s="548">
        <v>2023</v>
      </c>
      <c r="W5" s="634">
        <v>2022</v>
      </c>
      <c r="X5" s="765"/>
    </row>
    <row r="6" spans="1:26" ht="10.5" customHeight="1">
      <c r="A6" s="111"/>
      <c r="B6" s="138"/>
      <c r="C6" s="138"/>
      <c r="D6" s="138"/>
      <c r="E6" s="138"/>
      <c r="F6" s="138"/>
      <c r="G6" s="138"/>
      <c r="H6" s="138"/>
      <c r="I6" s="138"/>
      <c r="J6" s="138"/>
      <c r="K6" s="138"/>
      <c r="L6" s="138"/>
      <c r="M6" s="635" t="s">
        <v>435</v>
      </c>
      <c r="N6" s="637" t="s">
        <v>56</v>
      </c>
      <c r="O6" s="636">
        <v>20.58</v>
      </c>
      <c r="P6" s="637">
        <v>13.905483072500001</v>
      </c>
      <c r="Q6" s="637">
        <v>1</v>
      </c>
      <c r="R6" s="637"/>
      <c r="T6" s="548" t="s">
        <v>427</v>
      </c>
      <c r="U6" s="548" t="s">
        <v>70</v>
      </c>
      <c r="V6" s="638">
        <v>1</v>
      </c>
      <c r="W6" s="639">
        <v>0.85631176112228136</v>
      </c>
      <c r="X6" s="766"/>
      <c r="Y6" s="733"/>
      <c r="Z6" s="698"/>
    </row>
    <row r="7" spans="1:26" ht="10.5" customHeight="1">
      <c r="A7" s="136"/>
      <c r="B7" s="138"/>
      <c r="C7" s="138"/>
      <c r="D7" s="138"/>
      <c r="E7" s="138"/>
      <c r="F7" s="138"/>
      <c r="G7" s="138"/>
      <c r="H7" s="138"/>
      <c r="I7" s="138"/>
      <c r="J7" s="138"/>
      <c r="K7" s="138"/>
      <c r="L7" s="138"/>
      <c r="M7" s="635" t="s">
        <v>55</v>
      </c>
      <c r="N7" s="637" t="s">
        <v>56</v>
      </c>
      <c r="O7" s="636">
        <v>19.966000000000001</v>
      </c>
      <c r="P7" s="637">
        <v>13.557959385</v>
      </c>
      <c r="Q7" s="637">
        <v>1</v>
      </c>
      <c r="R7" s="637"/>
      <c r="U7" s="548" t="s">
        <v>434</v>
      </c>
      <c r="V7" s="638">
        <v>0.98065598927539077</v>
      </c>
      <c r="W7" s="639">
        <v>0.93984019317769341</v>
      </c>
      <c r="X7" s="766"/>
      <c r="Y7" s="733"/>
      <c r="Z7" s="698"/>
    </row>
    <row r="8" spans="1:26" ht="10.5" customHeight="1">
      <c r="A8" s="136"/>
      <c r="B8" s="138"/>
      <c r="C8" s="138"/>
      <c r="D8" s="138"/>
      <c r="E8" s="138"/>
      <c r="F8" s="138"/>
      <c r="G8" s="138"/>
      <c r="H8" s="138"/>
      <c r="I8" s="138"/>
      <c r="J8" s="138"/>
      <c r="K8" s="138"/>
      <c r="L8" s="138"/>
      <c r="M8" s="635" t="s">
        <v>395</v>
      </c>
      <c r="N8" s="637" t="s">
        <v>56</v>
      </c>
      <c r="O8" s="636">
        <v>19.987169999999999</v>
      </c>
      <c r="P8" s="637">
        <v>13.489627195000001</v>
      </c>
      <c r="Q8" s="637">
        <v>1.0043367816734197</v>
      </c>
      <c r="R8" s="637"/>
      <c r="U8" s="548" t="s">
        <v>65</v>
      </c>
      <c r="V8" s="638">
        <v>0.97357649324979523</v>
      </c>
      <c r="W8" s="639">
        <v>0.88046501500190288</v>
      </c>
      <c r="X8" s="766"/>
      <c r="Y8" s="733"/>
      <c r="Z8" s="698"/>
    </row>
    <row r="9" spans="1:26" ht="10.5" customHeight="1">
      <c r="A9" s="136"/>
      <c r="B9" s="138"/>
      <c r="C9" s="138"/>
      <c r="D9" s="138"/>
      <c r="E9" s="138"/>
      <c r="F9" s="138"/>
      <c r="G9" s="138"/>
      <c r="H9" s="138"/>
      <c r="I9" s="138"/>
      <c r="J9" s="138"/>
      <c r="K9" s="138"/>
      <c r="L9" s="138"/>
      <c r="M9" s="635" t="s">
        <v>434</v>
      </c>
      <c r="N9" s="764" t="s">
        <v>56</v>
      </c>
      <c r="O9" s="636">
        <v>20.295999999999999</v>
      </c>
      <c r="P9" s="637">
        <v>13.405171147499999</v>
      </c>
      <c r="Q9" s="637">
        <v>0.98286220686078174</v>
      </c>
      <c r="R9" s="637"/>
      <c r="U9" s="548" t="s">
        <v>55</v>
      </c>
      <c r="V9" s="638">
        <v>0.97331426224723261</v>
      </c>
      <c r="W9" s="639">
        <v>0.9589580636304883</v>
      </c>
      <c r="X9" s="766"/>
      <c r="Y9" s="733"/>
      <c r="Z9" s="698"/>
    </row>
    <row r="10" spans="1:26" ht="10.5" customHeight="1">
      <c r="A10" s="136"/>
      <c r="B10" s="138"/>
      <c r="C10" s="138"/>
      <c r="D10" s="138"/>
      <c r="E10" s="138"/>
      <c r="F10" s="138"/>
      <c r="G10" s="138"/>
      <c r="H10" s="138"/>
      <c r="I10" s="138"/>
      <c r="J10" s="138"/>
      <c r="K10" s="138"/>
      <c r="L10" s="138"/>
      <c r="M10" s="635" t="s">
        <v>396</v>
      </c>
      <c r="N10" s="764" t="s">
        <v>56</v>
      </c>
      <c r="O10" s="636">
        <v>20.084060000000001</v>
      </c>
      <c r="P10" s="637">
        <v>13.3785802875</v>
      </c>
      <c r="Q10" s="637">
        <v>0.99126379916727858</v>
      </c>
      <c r="R10" s="637"/>
      <c r="U10" s="548" t="s">
        <v>433</v>
      </c>
      <c r="V10" s="638">
        <v>0.96299607174611679</v>
      </c>
      <c r="W10" s="639">
        <v>0.83506282636734586</v>
      </c>
      <c r="X10" s="766"/>
      <c r="Y10" s="733"/>
      <c r="Z10" s="698"/>
    </row>
    <row r="11" spans="1:26" ht="10.5" customHeight="1">
      <c r="A11" s="136"/>
      <c r="B11" s="138"/>
      <c r="C11" s="138"/>
      <c r="D11" s="138"/>
      <c r="E11" s="138"/>
      <c r="F11" s="138"/>
      <c r="G11" s="138"/>
      <c r="H11" s="138"/>
      <c r="I11" s="138"/>
      <c r="J11" s="138"/>
      <c r="K11" s="138"/>
      <c r="L11" s="138"/>
      <c r="M11" s="635" t="s">
        <v>61</v>
      </c>
      <c r="N11" s="764" t="s">
        <v>56</v>
      </c>
      <c r="O11" s="636">
        <v>20.202000000000002</v>
      </c>
      <c r="P11" s="637">
        <v>13.146740900000001</v>
      </c>
      <c r="Q11" s="637">
        <v>0.96839929362250776</v>
      </c>
      <c r="R11" s="637"/>
      <c r="U11" s="548" t="s">
        <v>388</v>
      </c>
      <c r="V11" s="638">
        <v>0.95609540721120267</v>
      </c>
      <c r="W11" s="639">
        <v>0.92307987209599585</v>
      </c>
      <c r="X11" s="766"/>
      <c r="Y11" s="733"/>
      <c r="Z11" s="698"/>
    </row>
    <row r="12" spans="1:26" ht="10.5" customHeight="1">
      <c r="A12" s="136"/>
      <c r="B12" s="138"/>
      <c r="C12" s="138"/>
      <c r="D12" s="138"/>
      <c r="E12" s="138"/>
      <c r="F12" s="138"/>
      <c r="G12" s="138"/>
      <c r="H12" s="138"/>
      <c r="I12" s="138"/>
      <c r="J12" s="138"/>
      <c r="K12" s="138"/>
      <c r="L12" s="138"/>
      <c r="M12" s="635" t="s">
        <v>433</v>
      </c>
      <c r="N12" s="637" t="s">
        <v>56</v>
      </c>
      <c r="O12" s="636">
        <v>20.27</v>
      </c>
      <c r="P12" s="637">
        <v>13.107826415</v>
      </c>
      <c r="Q12" s="637">
        <v>0.96229373803357054</v>
      </c>
      <c r="R12" s="637"/>
      <c r="U12" s="548" t="s">
        <v>60</v>
      </c>
      <c r="V12" s="638">
        <v>0.95531473543866385</v>
      </c>
      <c r="W12" s="639">
        <v>0.97024181928487474</v>
      </c>
      <c r="X12" s="766"/>
      <c r="Y12" s="733"/>
      <c r="Z12" s="698"/>
    </row>
    <row r="13" spans="1:26" ht="10.5" customHeight="1">
      <c r="A13" s="136"/>
      <c r="B13" s="138"/>
      <c r="C13" s="138"/>
      <c r="D13" s="138"/>
      <c r="E13" s="138"/>
      <c r="F13" s="138"/>
      <c r="G13" s="138"/>
      <c r="H13" s="138"/>
      <c r="I13" s="138"/>
      <c r="J13" s="138"/>
      <c r="K13" s="138"/>
      <c r="L13" s="138"/>
      <c r="M13" s="635" t="s">
        <v>388</v>
      </c>
      <c r="N13" s="637" t="s">
        <v>56</v>
      </c>
      <c r="O13" s="636">
        <v>20.861999999999998</v>
      </c>
      <c r="P13" s="637">
        <v>12.987306969999999</v>
      </c>
      <c r="Q13" s="637">
        <v>0.92639007083396108</v>
      </c>
      <c r="R13" s="637"/>
      <c r="U13" s="548" t="s">
        <v>435</v>
      </c>
      <c r="V13" s="638">
        <v>0.95442419919440757</v>
      </c>
      <c r="W13" s="639">
        <v>0.91083602032923738</v>
      </c>
      <c r="X13" s="766"/>
      <c r="Y13" s="733"/>
      <c r="Z13" s="698"/>
    </row>
    <row r="14" spans="1:26" ht="10.5" customHeight="1">
      <c r="A14" s="136"/>
      <c r="B14" s="138"/>
      <c r="C14" s="138"/>
      <c r="D14" s="138"/>
      <c r="E14" s="138"/>
      <c r="F14" s="138"/>
      <c r="G14" s="138"/>
      <c r="H14" s="138"/>
      <c r="I14" s="138"/>
      <c r="J14" s="138"/>
      <c r="K14" s="138"/>
      <c r="L14" s="138"/>
      <c r="M14" s="635" t="s">
        <v>58</v>
      </c>
      <c r="N14" s="637" t="s">
        <v>56</v>
      </c>
      <c r="O14" s="636">
        <v>19.966999999999999</v>
      </c>
      <c r="P14" s="637">
        <v>12.6228275275</v>
      </c>
      <c r="Q14" s="637">
        <v>0.94075071542896982</v>
      </c>
      <c r="R14" s="637"/>
      <c r="U14" s="548" t="s">
        <v>61</v>
      </c>
      <c r="V14" s="638">
        <v>0.94368189198697672</v>
      </c>
      <c r="W14" s="639">
        <v>0.89706235611426288</v>
      </c>
      <c r="X14" s="766"/>
      <c r="Y14" s="733"/>
      <c r="Z14" s="698"/>
    </row>
    <row r="15" spans="1:26" ht="11.25" customHeight="1">
      <c r="A15" s="136"/>
      <c r="B15" s="138"/>
      <c r="C15" s="138"/>
      <c r="D15" s="138"/>
      <c r="E15" s="138"/>
      <c r="F15" s="138"/>
      <c r="G15" s="138"/>
      <c r="H15" s="138"/>
      <c r="I15" s="138"/>
      <c r="J15" s="138"/>
      <c r="K15" s="138"/>
      <c r="L15" s="138"/>
      <c r="M15" s="635" t="s">
        <v>443</v>
      </c>
      <c r="N15" s="637" t="s">
        <v>56</v>
      </c>
      <c r="O15" s="636">
        <v>20.763359999999999</v>
      </c>
      <c r="P15" s="637">
        <v>12.488799</v>
      </c>
      <c r="Q15" s="637">
        <v>0.8950633385650768</v>
      </c>
      <c r="R15" s="637"/>
      <c r="U15" s="548" t="s">
        <v>395</v>
      </c>
      <c r="V15" s="638">
        <v>0.92284272633139919</v>
      </c>
      <c r="W15" s="639">
        <v>0.99618694631659888</v>
      </c>
      <c r="X15" s="766"/>
      <c r="Y15" s="733"/>
      <c r="Z15" s="698"/>
    </row>
    <row r="16" spans="1:26" ht="11.25" customHeight="1">
      <c r="A16" s="136"/>
      <c r="B16" s="138"/>
      <c r="C16" s="138"/>
      <c r="D16" s="138"/>
      <c r="E16" s="138"/>
      <c r="F16" s="138"/>
      <c r="G16" s="138"/>
      <c r="H16" s="138"/>
      <c r="I16" s="138"/>
      <c r="J16" s="138"/>
      <c r="K16" s="138"/>
      <c r="L16" s="138"/>
      <c r="M16" s="635" t="s">
        <v>59</v>
      </c>
      <c r="N16" s="637" t="s">
        <v>56</v>
      </c>
      <c r="O16" s="636">
        <v>19.1995</v>
      </c>
      <c r="P16" s="637">
        <v>12.0708682075</v>
      </c>
      <c r="Q16" s="637">
        <v>0.93557652539159619</v>
      </c>
      <c r="R16" s="637"/>
      <c r="U16" s="548" t="s">
        <v>57</v>
      </c>
      <c r="V16" s="638">
        <v>0.9214803809449984</v>
      </c>
      <c r="W16" s="639">
        <v>0.89817670012586392</v>
      </c>
      <c r="X16" s="766"/>
      <c r="Y16" s="733"/>
      <c r="Z16" s="698"/>
    </row>
    <row r="17" spans="1:26" ht="11.25" customHeight="1">
      <c r="A17" s="136"/>
      <c r="B17" s="138"/>
      <c r="C17" s="138"/>
      <c r="D17" s="138"/>
      <c r="E17" s="138"/>
      <c r="F17" s="138"/>
      <c r="G17" s="138"/>
      <c r="H17" s="138"/>
      <c r="I17" s="138"/>
      <c r="J17" s="138"/>
      <c r="K17" s="138"/>
      <c r="L17" s="138"/>
      <c r="M17" s="635" t="s">
        <v>397</v>
      </c>
      <c r="N17" s="637" t="s">
        <v>56</v>
      </c>
      <c r="O17" s="636">
        <v>20.050889999999999</v>
      </c>
      <c r="P17" s="637">
        <v>11.4226509175</v>
      </c>
      <c r="Q17" s="637">
        <v>0.84774254094236978</v>
      </c>
      <c r="R17" s="637"/>
      <c r="U17" s="548" t="s">
        <v>396</v>
      </c>
      <c r="V17" s="638">
        <v>0.88994749611872825</v>
      </c>
      <c r="W17" s="639">
        <v>0.9757406442755</v>
      </c>
      <c r="X17" s="766"/>
      <c r="Y17" s="733"/>
      <c r="Z17" s="698"/>
    </row>
    <row r="18" spans="1:26">
      <c r="A18" s="136"/>
      <c r="B18" s="138"/>
      <c r="C18" s="138"/>
      <c r="D18" s="138"/>
      <c r="E18" s="138"/>
      <c r="F18" s="138"/>
      <c r="G18" s="138"/>
      <c r="H18" s="138"/>
      <c r="I18" s="138"/>
      <c r="J18" s="138"/>
      <c r="K18" s="138"/>
      <c r="L18" s="138"/>
      <c r="M18" s="635" t="s">
        <v>402</v>
      </c>
      <c r="N18" s="637" t="s">
        <v>56</v>
      </c>
      <c r="O18" s="636">
        <v>20.365970000000001</v>
      </c>
      <c r="P18" s="637">
        <v>11.038627085</v>
      </c>
      <c r="Q18" s="637">
        <v>0.80656744561136151</v>
      </c>
      <c r="R18" s="637"/>
      <c r="U18" s="548" t="s">
        <v>69</v>
      </c>
      <c r="V18" s="638">
        <v>0.880162474217559</v>
      </c>
      <c r="W18" s="639">
        <v>0.93315033405075798</v>
      </c>
      <c r="X18" s="766"/>
      <c r="Y18" s="733"/>
      <c r="Z18" s="698"/>
    </row>
    <row r="19" spans="1:26">
      <c r="A19" s="136"/>
      <c r="B19" s="138"/>
      <c r="C19" s="138"/>
      <c r="D19" s="138"/>
      <c r="E19" s="138"/>
      <c r="F19" s="138"/>
      <c r="G19" s="138"/>
      <c r="H19" s="138"/>
      <c r="I19" s="138"/>
      <c r="J19" s="138"/>
      <c r="K19" s="138"/>
      <c r="L19" s="138"/>
      <c r="M19" s="635" t="s">
        <v>57</v>
      </c>
      <c r="N19" s="637" t="s">
        <v>56</v>
      </c>
      <c r="O19" s="636">
        <v>18.148</v>
      </c>
      <c r="P19" s="637">
        <v>10.524519250000001</v>
      </c>
      <c r="Q19" s="637">
        <v>0.86298693956175165</v>
      </c>
      <c r="R19" s="637"/>
      <c r="U19" s="548" t="s">
        <v>58</v>
      </c>
      <c r="V19" s="638">
        <v>0.876649937262302</v>
      </c>
      <c r="W19" s="639">
        <v>0.8732009819203097</v>
      </c>
      <c r="X19" s="766"/>
      <c r="Y19" s="733"/>
      <c r="Z19" s="698"/>
    </row>
    <row r="20" spans="1:26">
      <c r="A20" s="136"/>
      <c r="B20" s="138"/>
      <c r="C20" s="138"/>
      <c r="D20" s="138"/>
      <c r="E20" s="138"/>
      <c r="F20" s="138"/>
      <c r="G20" s="138"/>
      <c r="H20" s="138"/>
      <c r="I20" s="138"/>
      <c r="J20" s="138"/>
      <c r="K20" s="138"/>
      <c r="L20" s="138"/>
      <c r="M20" s="635" t="s">
        <v>62</v>
      </c>
      <c r="N20" s="637" t="s">
        <v>56</v>
      </c>
      <c r="O20" s="636">
        <v>9.9643300000000004</v>
      </c>
      <c r="P20" s="637">
        <v>6.52435674</v>
      </c>
      <c r="Q20" s="637">
        <v>0.97436196878551506</v>
      </c>
      <c r="R20" s="637"/>
      <c r="U20" s="548" t="s">
        <v>71</v>
      </c>
      <c r="V20" s="638">
        <v>0.87213200152136028</v>
      </c>
      <c r="W20" s="639">
        <v>0.88789587973163886</v>
      </c>
      <c r="X20" s="766"/>
      <c r="Y20" s="733"/>
      <c r="Z20" s="698"/>
    </row>
    <row r="21" spans="1:26">
      <c r="A21" s="136"/>
      <c r="B21" s="138"/>
      <c r="C21" s="138"/>
      <c r="D21" s="138"/>
      <c r="E21" s="138"/>
      <c r="F21" s="138"/>
      <c r="G21" s="138"/>
      <c r="H21" s="138"/>
      <c r="I21" s="138"/>
      <c r="J21" s="138"/>
      <c r="K21" s="138"/>
      <c r="L21" s="138"/>
      <c r="M21" s="635" t="s">
        <v>63</v>
      </c>
      <c r="N21" s="637" t="s">
        <v>56</v>
      </c>
      <c r="O21" s="636">
        <v>9.85</v>
      </c>
      <c r="P21" s="637">
        <v>6.4273545475000002</v>
      </c>
      <c r="Q21" s="637">
        <v>0.97101682189690619</v>
      </c>
      <c r="R21" s="637"/>
      <c r="U21" s="548" t="s">
        <v>443</v>
      </c>
      <c r="V21" s="638">
        <v>0.87000673384761729</v>
      </c>
      <c r="W21" s="639">
        <v>0.71569189350706852</v>
      </c>
      <c r="X21" s="766"/>
      <c r="Y21" s="733"/>
      <c r="Z21" s="698"/>
    </row>
    <row r="22" spans="1:26">
      <c r="A22" s="136"/>
      <c r="B22" s="138"/>
      <c r="C22" s="138"/>
      <c r="D22" s="138"/>
      <c r="E22" s="138"/>
      <c r="F22" s="138"/>
      <c r="G22" s="138"/>
      <c r="H22" s="138"/>
      <c r="I22" s="138"/>
      <c r="J22" s="138"/>
      <c r="K22" s="138"/>
      <c r="L22" s="138"/>
      <c r="M22" s="635" t="s">
        <v>60</v>
      </c>
      <c r="N22" s="637" t="s">
        <v>56</v>
      </c>
      <c r="O22" s="636">
        <v>9.9830000000000005</v>
      </c>
      <c r="P22" s="637">
        <v>6.3442528175000001</v>
      </c>
      <c r="Q22" s="637">
        <v>0.94569291866112859</v>
      </c>
      <c r="R22" s="637"/>
      <c r="U22" s="548" t="s">
        <v>59</v>
      </c>
      <c r="V22" s="638">
        <v>0.8693630320160467</v>
      </c>
      <c r="W22" s="639">
        <v>0.90266962863395528</v>
      </c>
      <c r="X22" s="766"/>
      <c r="Y22" s="733"/>
      <c r="Z22" s="698"/>
    </row>
    <row r="23" spans="1:26">
      <c r="A23" s="136"/>
      <c r="B23" s="138"/>
      <c r="C23" s="138"/>
      <c r="D23" s="138"/>
      <c r="E23" s="138"/>
      <c r="F23" s="138"/>
      <c r="G23" s="138"/>
      <c r="H23" s="138"/>
      <c r="I23" s="138"/>
      <c r="J23" s="138"/>
      <c r="K23" s="138"/>
      <c r="L23" s="138"/>
      <c r="M23" s="635" t="s">
        <v>432</v>
      </c>
      <c r="N23" s="637" t="s">
        <v>56</v>
      </c>
      <c r="O23" s="636">
        <v>8.58</v>
      </c>
      <c r="P23" s="637">
        <v>5.0950051875</v>
      </c>
      <c r="Q23" s="637">
        <v>0.88366584587287711</v>
      </c>
      <c r="R23" s="637"/>
      <c r="U23" s="548" t="s">
        <v>72</v>
      </c>
      <c r="V23" s="638">
        <v>0.85595424482488425</v>
      </c>
      <c r="W23" s="639">
        <v>0.85746514964712361</v>
      </c>
      <c r="X23" s="766"/>
      <c r="Y23" s="733"/>
      <c r="Z23" s="698"/>
    </row>
    <row r="24" spans="1:26">
      <c r="A24" s="136"/>
      <c r="B24" s="138"/>
      <c r="C24" s="138"/>
      <c r="D24" s="138"/>
      <c r="E24" s="138"/>
      <c r="F24" s="138"/>
      <c r="G24" s="138"/>
      <c r="H24" s="138"/>
      <c r="I24" s="138"/>
      <c r="J24" s="138"/>
      <c r="K24" s="138"/>
      <c r="L24" s="138"/>
      <c r="M24" s="635" t="s">
        <v>65</v>
      </c>
      <c r="N24" s="637" t="s">
        <v>56</v>
      </c>
      <c r="O24" s="636">
        <v>6.5019999999999998</v>
      </c>
      <c r="P24" s="637">
        <v>4.2872024149999994</v>
      </c>
      <c r="Q24" s="637">
        <v>0.98120047654750908</v>
      </c>
      <c r="R24" s="637"/>
      <c r="U24" s="548" t="s">
        <v>66</v>
      </c>
      <c r="V24" s="638">
        <v>0.83460040630757404</v>
      </c>
      <c r="W24" s="639">
        <v>0.78163301238663951</v>
      </c>
      <c r="X24" s="766"/>
      <c r="Y24" s="733"/>
      <c r="Z24" s="698"/>
    </row>
    <row r="25" spans="1:26">
      <c r="A25" s="136"/>
      <c r="B25" s="138"/>
      <c r="C25" s="138"/>
      <c r="D25" s="138"/>
      <c r="E25" s="138"/>
      <c r="F25" s="138"/>
      <c r="G25" s="138"/>
      <c r="H25" s="138"/>
      <c r="I25" s="138"/>
      <c r="J25" s="138"/>
      <c r="K25" s="138"/>
      <c r="L25" s="138"/>
      <c r="M25" s="635" t="s">
        <v>66</v>
      </c>
      <c r="N25" s="637" t="s">
        <v>56</v>
      </c>
      <c r="O25" s="636">
        <v>6.6360000000000001</v>
      </c>
      <c r="P25" s="637">
        <v>3.7687534425</v>
      </c>
      <c r="Q25" s="637">
        <v>0.84512719278771631</v>
      </c>
      <c r="R25" s="637"/>
      <c r="U25" s="548" t="s">
        <v>432</v>
      </c>
      <c r="V25" s="638">
        <v>0.78341544848748224</v>
      </c>
      <c r="W25" s="639">
        <v>0.76695877945030488</v>
      </c>
      <c r="X25" s="766"/>
      <c r="Y25" s="733"/>
      <c r="Z25" s="698"/>
    </row>
    <row r="26" spans="1:26">
      <c r="A26" s="136"/>
      <c r="B26" s="138"/>
      <c r="C26" s="138"/>
      <c r="D26" s="138"/>
      <c r="E26" s="138"/>
      <c r="F26" s="138"/>
      <c r="G26" s="138"/>
      <c r="H26" s="138"/>
      <c r="I26" s="138"/>
      <c r="J26" s="138"/>
      <c r="K26" s="138"/>
      <c r="L26" s="138"/>
      <c r="M26" s="635" t="s">
        <v>67</v>
      </c>
      <c r="N26" s="637" t="s">
        <v>56</v>
      </c>
      <c r="O26" s="636">
        <v>9.5660000000000007</v>
      </c>
      <c r="P26" s="637">
        <v>3.4269490875000002</v>
      </c>
      <c r="Q26" s="637">
        <v>0.53309916561818649</v>
      </c>
      <c r="R26" s="637"/>
      <c r="U26" s="548" t="s">
        <v>397</v>
      </c>
      <c r="V26" s="638">
        <v>0.74556498906963442</v>
      </c>
      <c r="W26" s="639">
        <v>0.99425426893571567</v>
      </c>
      <c r="X26" s="766"/>
      <c r="Y26" s="733"/>
      <c r="Z26" s="698"/>
    </row>
    <row r="27" spans="1:26">
      <c r="A27" s="136"/>
      <c r="B27" s="138"/>
      <c r="C27" s="138"/>
      <c r="D27" s="138"/>
      <c r="E27" s="138"/>
      <c r="F27" s="138"/>
      <c r="G27" s="138"/>
      <c r="H27" s="138"/>
      <c r="I27" s="138"/>
      <c r="J27" s="138"/>
      <c r="K27" s="138"/>
      <c r="L27" s="138"/>
      <c r="M27" s="635" t="s">
        <v>69</v>
      </c>
      <c r="N27" s="637" t="s">
        <v>56</v>
      </c>
      <c r="O27" s="636">
        <v>5.67</v>
      </c>
      <c r="P27" s="637">
        <v>3.4236093099999998</v>
      </c>
      <c r="Q27" s="637">
        <v>0.89852852051314358</v>
      </c>
      <c r="R27" s="637"/>
      <c r="U27" s="548" t="s">
        <v>62</v>
      </c>
      <c r="V27" s="638">
        <v>0.74246490444693047</v>
      </c>
      <c r="W27" s="639">
        <v>0.7220751875683501</v>
      </c>
      <c r="X27" s="766"/>
      <c r="Y27" s="733"/>
      <c r="Z27" s="698"/>
    </row>
    <row r="28" spans="1:26">
      <c r="A28" s="136"/>
      <c r="B28" s="138"/>
      <c r="C28" s="138"/>
      <c r="D28" s="138"/>
      <c r="E28" s="138"/>
      <c r="F28" s="138"/>
      <c r="G28" s="138"/>
      <c r="H28" s="138"/>
      <c r="I28" s="138"/>
      <c r="J28" s="138"/>
      <c r="K28" s="138"/>
      <c r="L28" s="138"/>
      <c r="M28" s="635" t="s">
        <v>68</v>
      </c>
      <c r="N28" s="637" t="s">
        <v>56</v>
      </c>
      <c r="O28" s="636">
        <v>5.1890000000000001</v>
      </c>
      <c r="P28" s="637">
        <v>3.3025711824999999</v>
      </c>
      <c r="Q28" s="637">
        <v>0.94710742920578328</v>
      </c>
      <c r="R28" s="637"/>
      <c r="U28" s="548" t="s">
        <v>68</v>
      </c>
      <c r="V28" s="638">
        <v>0.73613147971371429</v>
      </c>
      <c r="W28" s="639">
        <v>0.60097086826979718</v>
      </c>
      <c r="X28" s="766"/>
      <c r="Y28" s="733"/>
      <c r="Z28" s="698"/>
    </row>
    <row r="29" spans="1:26">
      <c r="A29" s="136"/>
      <c r="B29" s="138"/>
      <c r="C29" s="138"/>
      <c r="D29" s="138"/>
      <c r="E29" s="138"/>
      <c r="F29" s="138"/>
      <c r="G29" s="138"/>
      <c r="H29" s="138"/>
      <c r="I29" s="138"/>
      <c r="J29" s="138"/>
      <c r="K29" s="138"/>
      <c r="L29" s="138"/>
      <c r="M29" s="635" t="s">
        <v>64</v>
      </c>
      <c r="N29" s="637" t="s">
        <v>56</v>
      </c>
      <c r="O29" s="636">
        <v>9.0798699999999997</v>
      </c>
      <c r="P29" s="637">
        <v>2.7751872925000001</v>
      </c>
      <c r="Q29" s="637">
        <v>0.45482402223728613</v>
      </c>
      <c r="R29" s="637"/>
      <c r="U29" s="548" t="s">
        <v>63</v>
      </c>
      <c r="V29" s="638">
        <v>0.7239805100877571</v>
      </c>
      <c r="W29" s="639">
        <v>0.71007320381284245</v>
      </c>
      <c r="X29" s="766"/>
      <c r="Y29" s="733"/>
      <c r="Z29" s="698"/>
    </row>
    <row r="30" spans="1:26">
      <c r="A30" s="136"/>
      <c r="B30" s="138"/>
      <c r="C30" s="138"/>
      <c r="D30" s="138"/>
      <c r="E30" s="138"/>
      <c r="F30" s="138"/>
      <c r="G30" s="138"/>
      <c r="H30" s="138"/>
      <c r="I30" s="138"/>
      <c r="J30" s="138"/>
      <c r="K30" s="138"/>
      <c r="L30" s="138"/>
      <c r="M30" s="548" t="s">
        <v>71</v>
      </c>
      <c r="N30" s="637" t="s">
        <v>56</v>
      </c>
      <c r="O30" s="636">
        <v>3.91621</v>
      </c>
      <c r="P30" s="637">
        <v>2.2575873500000001</v>
      </c>
      <c r="Q30" s="637">
        <v>0.85784597483767422</v>
      </c>
      <c r="R30" s="637"/>
      <c r="U30" s="548" t="s">
        <v>402</v>
      </c>
      <c r="V30" s="638">
        <v>0.62170925966221224</v>
      </c>
      <c r="W30" s="639">
        <v>0.61662018861423562</v>
      </c>
      <c r="X30" s="766"/>
      <c r="Y30" s="733"/>
      <c r="Z30" s="698"/>
    </row>
    <row r="31" spans="1:26">
      <c r="A31" s="136"/>
      <c r="B31" s="138"/>
      <c r="C31" s="138"/>
      <c r="D31" s="138"/>
      <c r="E31" s="138"/>
      <c r="F31" s="138"/>
      <c r="G31" s="138"/>
      <c r="H31" s="138"/>
      <c r="I31" s="138"/>
      <c r="J31" s="138"/>
      <c r="K31" s="138"/>
      <c r="L31" s="138"/>
      <c r="M31" s="635" t="s">
        <v>70</v>
      </c>
      <c r="N31" s="637" t="s">
        <v>56</v>
      </c>
      <c r="O31" s="637">
        <v>3.3107500000000001</v>
      </c>
      <c r="P31" s="637">
        <v>2.2353242500000001</v>
      </c>
      <c r="Q31" s="637">
        <v>1.0047195868077654</v>
      </c>
      <c r="R31" s="637"/>
      <c r="U31" s="548" t="s">
        <v>64</v>
      </c>
      <c r="V31" s="638">
        <v>0.51260588013097752</v>
      </c>
      <c r="W31" s="639">
        <v>0.58430524040921994</v>
      </c>
      <c r="X31" s="766"/>
      <c r="Y31" s="733"/>
      <c r="Z31" s="698"/>
    </row>
    <row r="32" spans="1:26">
      <c r="A32" s="136"/>
      <c r="B32" s="138"/>
      <c r="C32" s="138"/>
      <c r="D32" s="138"/>
      <c r="E32" s="138"/>
      <c r="F32" s="138"/>
      <c r="G32" s="138"/>
      <c r="H32" s="138"/>
      <c r="I32" s="138"/>
      <c r="J32" s="138"/>
      <c r="K32" s="138"/>
      <c r="L32" s="138"/>
      <c r="M32" s="635" t="s">
        <v>72</v>
      </c>
      <c r="N32" s="637" t="s">
        <v>56</v>
      </c>
      <c r="O32" s="637">
        <v>3.9729999999999999</v>
      </c>
      <c r="P32" s="637">
        <v>2.2291999999999996</v>
      </c>
      <c r="Q32" s="637">
        <v>0.83495139812783892</v>
      </c>
      <c r="R32" s="637"/>
      <c r="U32" s="548" t="s">
        <v>73</v>
      </c>
      <c r="V32" s="638">
        <v>0.41479009375209602</v>
      </c>
      <c r="W32" s="639">
        <v>0.25562847019286977</v>
      </c>
      <c r="X32" s="766"/>
      <c r="Y32" s="733"/>
      <c r="Z32" s="698"/>
    </row>
    <row r="33" spans="1:26">
      <c r="A33" s="136"/>
      <c r="B33" s="138"/>
      <c r="C33" s="138"/>
      <c r="D33" s="138"/>
      <c r="E33" s="138"/>
      <c r="F33" s="138"/>
      <c r="G33" s="138"/>
      <c r="H33" s="138"/>
      <c r="I33" s="138"/>
      <c r="J33" s="138"/>
      <c r="K33" s="138"/>
      <c r="L33" s="138"/>
      <c r="M33" s="635" t="s">
        <v>73</v>
      </c>
      <c r="N33" s="637" t="s">
        <v>56</v>
      </c>
      <c r="O33" s="637">
        <v>1.7689999999999999</v>
      </c>
      <c r="P33" s="637">
        <v>0.56025199999999997</v>
      </c>
      <c r="Q33" s="637">
        <v>0.47128792161296407</v>
      </c>
      <c r="R33" s="637"/>
      <c r="U33" s="548" t="s">
        <v>67</v>
      </c>
      <c r="V33" s="638">
        <v>0.38396663058076447</v>
      </c>
      <c r="W33" s="639">
        <v>0.60499546896021816</v>
      </c>
      <c r="X33" s="766"/>
      <c r="Y33" s="733"/>
      <c r="Z33" s="698"/>
    </row>
    <row r="34" spans="1:26">
      <c r="B34" s="138"/>
      <c r="C34" s="138"/>
      <c r="D34" s="138"/>
      <c r="E34" s="138"/>
      <c r="F34" s="138"/>
      <c r="G34" s="138"/>
      <c r="H34" s="138"/>
      <c r="I34" s="138"/>
      <c r="J34" s="138"/>
      <c r="K34" s="138"/>
      <c r="L34" s="138"/>
      <c r="M34" s="635" t="s">
        <v>398</v>
      </c>
      <c r="N34" s="637" t="s">
        <v>56</v>
      </c>
      <c r="O34" s="637">
        <v>0.678643</v>
      </c>
      <c r="P34" s="637">
        <v>0.22904150000000001</v>
      </c>
      <c r="Q34" s="637">
        <v>0.50223101907216383</v>
      </c>
      <c r="R34" s="637"/>
      <c r="U34" s="548" t="s">
        <v>398</v>
      </c>
      <c r="V34" s="638">
        <v>0.37748404798938623</v>
      </c>
      <c r="W34" s="639">
        <v>0.45038261840088978</v>
      </c>
      <c r="X34" s="766"/>
      <c r="Y34" s="733"/>
      <c r="Z34" s="698"/>
    </row>
    <row r="35" spans="1:26">
      <c r="A35" s="136"/>
      <c r="B35" s="138"/>
      <c r="C35" s="138"/>
      <c r="D35" s="138"/>
      <c r="E35" s="138"/>
      <c r="F35" s="138"/>
      <c r="G35" s="138"/>
      <c r="H35" s="138"/>
      <c r="I35" s="138"/>
      <c r="J35" s="138"/>
      <c r="K35" s="138"/>
      <c r="L35" s="138"/>
      <c r="M35" s="635" t="s">
        <v>74</v>
      </c>
      <c r="N35" s="637" t="s">
        <v>210</v>
      </c>
      <c r="O35" s="636">
        <v>97.15</v>
      </c>
      <c r="P35" s="637">
        <v>29.2027009</v>
      </c>
      <c r="Q35" s="637">
        <v>0.44731240503149272</v>
      </c>
      <c r="R35" s="637"/>
      <c r="T35" s="548" t="s">
        <v>421</v>
      </c>
      <c r="U35" s="548" t="s">
        <v>76</v>
      </c>
      <c r="V35" s="638">
        <v>0.54164860803981285</v>
      </c>
      <c r="W35" s="639">
        <v>0.62263682015801547</v>
      </c>
      <c r="X35" s="766"/>
      <c r="Y35" s="733"/>
      <c r="Z35" s="698"/>
    </row>
    <row r="36" spans="1:26" ht="10.95" customHeight="1">
      <c r="A36" s="136"/>
      <c r="B36" s="138"/>
      <c r="C36" s="138"/>
      <c r="D36" s="138"/>
      <c r="E36" s="138"/>
      <c r="F36" s="138"/>
      <c r="G36" s="138"/>
      <c r="H36" s="138"/>
      <c r="I36" s="138"/>
      <c r="J36" s="138"/>
      <c r="K36" s="138"/>
      <c r="L36" s="138"/>
      <c r="M36" s="635" t="s">
        <v>75</v>
      </c>
      <c r="N36" s="637" t="s">
        <v>210</v>
      </c>
      <c r="O36" s="636">
        <v>83.15</v>
      </c>
      <c r="P36" s="637">
        <v>14.041859515000001</v>
      </c>
      <c r="Q36" s="637">
        <v>0.25130035211393636</v>
      </c>
      <c r="R36" s="637"/>
      <c r="U36" s="548" t="s">
        <v>74</v>
      </c>
      <c r="V36" s="638">
        <v>0.50561765531271163</v>
      </c>
      <c r="W36" s="639">
        <v>0.58476480208542325</v>
      </c>
      <c r="X36" s="766"/>
      <c r="Y36" s="733"/>
      <c r="Z36" s="698"/>
    </row>
    <row r="37" spans="1:26">
      <c r="A37" s="136"/>
      <c r="B37" s="138"/>
      <c r="C37" s="138"/>
      <c r="D37" s="138"/>
      <c r="E37" s="138"/>
      <c r="F37" s="138"/>
      <c r="G37" s="138"/>
      <c r="H37" s="138"/>
      <c r="I37" s="138"/>
      <c r="J37" s="138"/>
      <c r="K37" s="138"/>
      <c r="L37" s="138"/>
      <c r="M37" s="635" t="s">
        <v>404</v>
      </c>
      <c r="N37" s="637" t="s">
        <v>210</v>
      </c>
      <c r="O37" s="636">
        <v>132.30000000000001</v>
      </c>
      <c r="P37" s="637">
        <v>11.4647495</v>
      </c>
      <c r="Q37" s="637">
        <v>0.12895418848756432</v>
      </c>
      <c r="R37" s="637"/>
      <c r="U37" s="548" t="s">
        <v>454</v>
      </c>
      <c r="V37" s="638">
        <v>0.36246318332133881</v>
      </c>
      <c r="W37" s="639">
        <v>0.29871663337423765</v>
      </c>
      <c r="X37" s="766"/>
      <c r="Y37" s="733"/>
      <c r="Z37" s="698"/>
    </row>
    <row r="38" spans="1:26" ht="11.25" customHeight="1">
      <c r="A38" s="136"/>
      <c r="B38" s="138"/>
      <c r="C38" s="138"/>
      <c r="D38" s="138"/>
      <c r="E38" s="138"/>
      <c r="F38" s="138"/>
      <c r="G38" s="138"/>
      <c r="H38" s="138"/>
      <c r="I38" s="138"/>
      <c r="J38" s="138"/>
      <c r="K38" s="138"/>
      <c r="L38" s="138"/>
      <c r="M38" s="635" t="s">
        <v>76</v>
      </c>
      <c r="N38" s="637" t="s">
        <v>210</v>
      </c>
      <c r="O38" s="636">
        <v>32</v>
      </c>
      <c r="P38" s="637">
        <v>9.9414852749999998</v>
      </c>
      <c r="Q38" s="637">
        <v>0.46230865304129459</v>
      </c>
      <c r="R38" s="640"/>
      <c r="U38" s="548" t="s">
        <v>75</v>
      </c>
      <c r="V38" s="638">
        <v>0.32903380233123036</v>
      </c>
      <c r="W38" s="639">
        <v>0.42082930965072318</v>
      </c>
      <c r="X38" s="766"/>
      <c r="Y38" s="733"/>
      <c r="Z38" s="698"/>
    </row>
    <row r="39" spans="1:26">
      <c r="A39" s="136"/>
      <c r="B39" s="138"/>
      <c r="C39" s="138"/>
      <c r="D39" s="138"/>
      <c r="E39" s="138"/>
      <c r="F39" s="138"/>
      <c r="G39" s="138"/>
      <c r="H39" s="138"/>
      <c r="I39" s="138"/>
      <c r="J39" s="138"/>
      <c r="K39" s="138"/>
      <c r="L39" s="138"/>
      <c r="M39" s="635" t="s">
        <v>454</v>
      </c>
      <c r="N39" s="637" t="s">
        <v>210</v>
      </c>
      <c r="O39" s="636">
        <v>18.37</v>
      </c>
      <c r="P39" s="637">
        <v>5.8031445724999999</v>
      </c>
      <c r="Q39" s="637">
        <v>0.47009427350655836</v>
      </c>
      <c r="U39" s="548" t="s">
        <v>77</v>
      </c>
      <c r="V39" s="638">
        <v>0.30348706661394087</v>
      </c>
      <c r="W39" s="639">
        <v>0.36120627579079562</v>
      </c>
      <c r="X39" s="766"/>
      <c r="Y39" s="733"/>
      <c r="Z39" s="698"/>
    </row>
    <row r="40" spans="1:26">
      <c r="A40" s="136"/>
      <c r="B40" s="138"/>
      <c r="C40" s="138"/>
      <c r="D40" s="138"/>
      <c r="E40" s="138"/>
      <c r="F40" s="138"/>
      <c r="G40" s="138"/>
      <c r="H40" s="138"/>
      <c r="I40" s="138"/>
      <c r="J40" s="138"/>
      <c r="K40" s="138"/>
      <c r="L40" s="138"/>
      <c r="M40" s="635" t="s">
        <v>453</v>
      </c>
      <c r="N40" s="637" t="s">
        <v>210</v>
      </c>
      <c r="O40" s="636">
        <v>18.37</v>
      </c>
      <c r="P40" s="637">
        <v>4.4773826725000001</v>
      </c>
      <c r="Q40" s="637">
        <v>0.36269852118004253</v>
      </c>
      <c r="U40" s="548" t="s">
        <v>404</v>
      </c>
      <c r="V40" s="638">
        <v>0.29704103251470076</v>
      </c>
      <c r="W40" s="639">
        <v>0.47245548391987041</v>
      </c>
      <c r="X40" s="766"/>
      <c r="Y40" s="733"/>
      <c r="Z40" s="698"/>
    </row>
    <row r="41" spans="1:26">
      <c r="A41" s="136"/>
      <c r="B41" s="138"/>
      <c r="C41" s="138"/>
      <c r="D41" s="138"/>
      <c r="E41" s="138"/>
      <c r="F41" s="138"/>
      <c r="G41" s="138"/>
      <c r="H41" s="138"/>
      <c r="I41" s="138"/>
      <c r="J41" s="138"/>
      <c r="K41" s="138"/>
      <c r="L41" s="138"/>
      <c r="M41" s="548" t="s">
        <v>77</v>
      </c>
      <c r="N41" s="637" t="s">
        <v>210</v>
      </c>
      <c r="O41" s="636">
        <v>30.86</v>
      </c>
      <c r="P41" s="637">
        <v>3.6505583175000003</v>
      </c>
      <c r="Q41" s="637">
        <v>0.17603300222490975</v>
      </c>
      <c r="U41" s="548" t="s">
        <v>453</v>
      </c>
      <c r="V41" s="638">
        <v>0.29215128592968154</v>
      </c>
      <c r="W41" s="639">
        <v>0.2405384521788472</v>
      </c>
      <c r="X41" s="766"/>
      <c r="Y41" s="733"/>
      <c r="Z41" s="698"/>
    </row>
    <row r="42" spans="1:26">
      <c r="A42" s="136"/>
      <c r="B42" s="138"/>
      <c r="C42" s="138"/>
      <c r="D42" s="138"/>
      <c r="E42" s="138"/>
      <c r="F42" s="138"/>
      <c r="G42" s="138"/>
      <c r="H42" s="138"/>
      <c r="I42" s="138"/>
      <c r="J42" s="138"/>
      <c r="K42" s="138"/>
      <c r="L42" s="138"/>
      <c r="M42" s="548" t="s">
        <v>405</v>
      </c>
      <c r="N42" s="637" t="s">
        <v>78</v>
      </c>
      <c r="O42" s="636">
        <v>144.47999999999999</v>
      </c>
      <c r="P42" s="637">
        <v>28.25839225</v>
      </c>
      <c r="Q42" s="637">
        <v>0.29105190298624301</v>
      </c>
      <c r="T42" s="548" t="s">
        <v>413</v>
      </c>
      <c r="U42" s="548" t="s">
        <v>224</v>
      </c>
      <c r="V42" s="638">
        <v>0.37657554934675141</v>
      </c>
      <c r="W42" s="639">
        <v>0.35949506453036723</v>
      </c>
      <c r="X42" s="766"/>
      <c r="Y42" s="733"/>
      <c r="Z42" s="698"/>
    </row>
    <row r="43" spans="1:26" ht="36" customHeight="1">
      <c r="A43" s="872"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febrero 2023.
Nota: Son consideradas las centrales adjudicadas por subasta RER y cuenten con operación comercial</v>
      </c>
      <c r="B43" s="872"/>
      <c r="C43" s="872"/>
      <c r="D43" s="872"/>
      <c r="E43" s="872"/>
      <c r="F43" s="872"/>
      <c r="G43" s="872"/>
      <c r="H43" s="872"/>
      <c r="I43" s="872"/>
      <c r="J43" s="872"/>
      <c r="K43" s="872"/>
      <c r="L43" s="872"/>
      <c r="M43" s="635" t="s">
        <v>406</v>
      </c>
      <c r="N43" s="637" t="s">
        <v>78</v>
      </c>
      <c r="O43" s="636">
        <v>44.54</v>
      </c>
      <c r="P43" s="637">
        <v>6.49759916</v>
      </c>
      <c r="Q43" s="637">
        <v>0.21708680666923255</v>
      </c>
      <c r="U43" s="548" t="s">
        <v>79</v>
      </c>
      <c r="V43" s="638">
        <v>0.34981427833686446</v>
      </c>
      <c r="W43" s="639">
        <v>0.3574143230270127</v>
      </c>
      <c r="X43" s="766"/>
      <c r="Y43" s="733"/>
      <c r="Z43" s="698"/>
    </row>
    <row r="44" spans="1:26" ht="18" customHeight="1">
      <c r="A44" s="136"/>
      <c r="B44" s="138"/>
      <c r="C44" s="138"/>
      <c r="D44" s="138"/>
      <c r="E44" s="138"/>
      <c r="F44" s="138"/>
      <c r="G44" s="138"/>
      <c r="H44" s="138"/>
      <c r="I44" s="138"/>
      <c r="J44" s="138"/>
      <c r="K44" s="138"/>
      <c r="L44" s="138"/>
      <c r="M44" s="635" t="s">
        <v>224</v>
      </c>
      <c r="N44" s="637" t="s">
        <v>78</v>
      </c>
      <c r="O44" s="636">
        <v>20</v>
      </c>
      <c r="P44" s="637">
        <v>4.9983784599999996</v>
      </c>
      <c r="Q44" s="637">
        <v>0.37190315922619049</v>
      </c>
      <c r="U44" s="548" t="s">
        <v>225</v>
      </c>
      <c r="V44" s="638">
        <v>0.34705278019067792</v>
      </c>
      <c r="W44" s="639">
        <v>0.34555259419138412</v>
      </c>
      <c r="X44" s="766"/>
      <c r="Y44" s="733"/>
      <c r="Z44" s="698"/>
    </row>
    <row r="45" spans="1:26" ht="12">
      <c r="A45" s="136"/>
      <c r="B45" s="138"/>
      <c r="C45" s="876" t="str">
        <f>"Factor de planta de las centrales RER  Acumulado al "&amp;'1. Resumen'!Q7&amp;" de "&amp;'1. Resumen'!Q4</f>
        <v>Factor de planta de las centrales RER  Acumulado al 28 de febrero</v>
      </c>
      <c r="D45" s="876"/>
      <c r="E45" s="876"/>
      <c r="F45" s="876"/>
      <c r="G45" s="876"/>
      <c r="H45" s="876"/>
      <c r="I45" s="876"/>
      <c r="J45" s="876"/>
      <c r="K45" s="138"/>
      <c r="L45" s="138"/>
      <c r="M45" s="635" t="s">
        <v>225</v>
      </c>
      <c r="N45" s="637" t="s">
        <v>78</v>
      </c>
      <c r="O45" s="636">
        <v>20</v>
      </c>
      <c r="P45" s="637">
        <v>4.4283024475000001</v>
      </c>
      <c r="Q45" s="637">
        <v>0.32948678924851194</v>
      </c>
      <c r="U45" s="548" t="s">
        <v>405</v>
      </c>
      <c r="V45" s="638">
        <v>0.33464012745298166</v>
      </c>
      <c r="W45" s="639">
        <v>0.36200269493637038</v>
      </c>
      <c r="X45" s="766"/>
      <c r="Y45" s="733"/>
      <c r="Z45" s="698"/>
    </row>
    <row r="46" spans="1:26" ht="9.75" customHeight="1">
      <c r="A46" s="136"/>
      <c r="B46" s="138"/>
      <c r="C46" s="138"/>
      <c r="D46" s="138"/>
      <c r="E46" s="138"/>
      <c r="F46" s="138"/>
      <c r="G46" s="138"/>
      <c r="H46" s="138"/>
      <c r="I46" s="138"/>
      <c r="J46" s="138"/>
      <c r="K46" s="138"/>
      <c r="L46" s="138"/>
      <c r="M46" s="635" t="s">
        <v>79</v>
      </c>
      <c r="N46" s="637" t="s">
        <v>78</v>
      </c>
      <c r="O46" s="636">
        <v>16</v>
      </c>
      <c r="P46" s="637">
        <v>3.5289202</v>
      </c>
      <c r="Q46" s="637">
        <v>0.32821058407738096</v>
      </c>
      <c r="U46" s="547" t="s">
        <v>226</v>
      </c>
      <c r="V46" s="638">
        <v>0.25594126059322037</v>
      </c>
      <c r="W46" s="639">
        <v>0.26284912429378537</v>
      </c>
      <c r="X46" s="766"/>
      <c r="Y46" s="733"/>
      <c r="Z46" s="698"/>
    </row>
    <row r="47" spans="1:26" ht="9.75" customHeight="1">
      <c r="A47" s="136"/>
      <c r="B47" s="138"/>
      <c r="C47" s="138"/>
      <c r="D47" s="138"/>
      <c r="E47" s="138"/>
      <c r="F47" s="138"/>
      <c r="G47" s="138"/>
      <c r="H47" s="138"/>
      <c r="I47" s="138"/>
      <c r="J47" s="138"/>
      <c r="K47" s="138"/>
      <c r="L47" s="138"/>
      <c r="M47" s="635" t="s">
        <v>226</v>
      </c>
      <c r="N47" s="637" t="s">
        <v>78</v>
      </c>
      <c r="O47" s="636">
        <v>20</v>
      </c>
      <c r="P47" s="637">
        <v>3.3501379999999998</v>
      </c>
      <c r="Q47" s="637">
        <v>0.24926622023809522</v>
      </c>
      <c r="U47" s="548" t="s">
        <v>406</v>
      </c>
      <c r="V47" s="638">
        <v>0.24809440626910617</v>
      </c>
      <c r="W47" s="639">
        <v>0.28651143202865959</v>
      </c>
      <c r="Y47" s="733"/>
      <c r="Z47" s="698"/>
    </row>
    <row r="48" spans="1:26" ht="9.75" customHeight="1">
      <c r="A48" s="136"/>
      <c r="B48" s="138"/>
      <c r="C48" s="138"/>
      <c r="D48" s="138"/>
      <c r="E48" s="138"/>
      <c r="F48" s="138"/>
      <c r="G48" s="138"/>
      <c r="H48" s="138"/>
      <c r="I48" s="138"/>
      <c r="J48" s="138"/>
      <c r="K48" s="138"/>
      <c r="L48" s="138"/>
      <c r="M48" s="635" t="s">
        <v>80</v>
      </c>
      <c r="N48" s="637" t="s">
        <v>78</v>
      </c>
      <c r="O48" s="636">
        <v>20</v>
      </c>
      <c r="P48" s="637">
        <v>3.09292525</v>
      </c>
      <c r="Q48" s="637">
        <v>0.23012836681547619</v>
      </c>
      <c r="U48" s="548" t="s">
        <v>80</v>
      </c>
      <c r="V48" s="638">
        <v>0.24506775247175139</v>
      </c>
      <c r="W48" s="639">
        <v>0.24452874770480226</v>
      </c>
      <c r="Y48" s="733"/>
      <c r="Z48" s="698"/>
    </row>
    <row r="49" spans="1:26" ht="9.75" customHeight="1">
      <c r="A49" s="136"/>
      <c r="B49" s="138"/>
      <c r="C49" s="138"/>
      <c r="D49" s="138"/>
      <c r="E49" s="138"/>
      <c r="F49" s="138"/>
      <c r="G49" s="138"/>
      <c r="H49" s="138"/>
      <c r="I49" s="138"/>
      <c r="J49" s="138"/>
      <c r="K49" s="138"/>
      <c r="L49" s="138"/>
      <c r="M49" s="635" t="s">
        <v>81</v>
      </c>
      <c r="N49" s="637" t="s">
        <v>385</v>
      </c>
      <c r="O49" s="636">
        <v>12.74105</v>
      </c>
      <c r="P49" s="637">
        <v>3.7944055849999998</v>
      </c>
      <c r="Q49" s="637">
        <v>0.44316888187711972</v>
      </c>
      <c r="T49" s="548" t="s">
        <v>414</v>
      </c>
      <c r="U49" s="548" t="s">
        <v>82</v>
      </c>
      <c r="V49" s="663">
        <v>0.95802442964362045</v>
      </c>
      <c r="W49" s="639">
        <v>0.6230277474029523</v>
      </c>
      <c r="Y49" s="733"/>
      <c r="Z49" s="698"/>
    </row>
    <row r="50" spans="1:26" ht="9.75" customHeight="1">
      <c r="A50" s="136"/>
      <c r="B50" s="138"/>
      <c r="C50" s="138"/>
      <c r="D50" s="138"/>
      <c r="E50" s="138"/>
      <c r="F50" s="138"/>
      <c r="G50" s="138"/>
      <c r="H50" s="138"/>
      <c r="I50" s="138"/>
      <c r="J50" s="138"/>
      <c r="K50" s="138"/>
      <c r="L50" s="138"/>
      <c r="M50" s="635" t="s">
        <v>82</v>
      </c>
      <c r="N50" s="637" t="s">
        <v>385</v>
      </c>
      <c r="O50" s="636">
        <v>4.2625000000000002</v>
      </c>
      <c r="P50" s="637">
        <v>2.7599692250000003</v>
      </c>
      <c r="Q50" s="637">
        <v>0.96354183249546144</v>
      </c>
      <c r="U50" s="548" t="s">
        <v>407</v>
      </c>
      <c r="V50" s="663">
        <v>0.91997818090866301</v>
      </c>
      <c r="W50" s="639">
        <v>0.793493820621469</v>
      </c>
    </row>
    <row r="51" spans="1:26" ht="20.25" customHeight="1">
      <c r="A51" s="136"/>
      <c r="B51" s="138"/>
      <c r="C51" s="138"/>
      <c r="D51" s="138"/>
      <c r="E51" s="138"/>
      <c r="F51" s="138"/>
      <c r="G51" s="138"/>
      <c r="H51" s="138"/>
      <c r="I51" s="138"/>
      <c r="J51" s="138"/>
      <c r="K51" s="138"/>
      <c r="L51" s="138"/>
      <c r="M51" s="635" t="s">
        <v>407</v>
      </c>
      <c r="N51" s="637" t="s">
        <v>385</v>
      </c>
      <c r="O51" s="636">
        <v>2.4</v>
      </c>
      <c r="P51" s="637">
        <v>1.4683715749999999</v>
      </c>
      <c r="Q51" s="637">
        <v>0.91044864521329372</v>
      </c>
      <c r="U51" s="548" t="s">
        <v>442</v>
      </c>
      <c r="V51" s="663">
        <v>0.75541737288135602</v>
      </c>
      <c r="W51" s="639">
        <v>0.82139703242702466</v>
      </c>
    </row>
    <row r="52" spans="1:26" ht="9.75" customHeight="1">
      <c r="A52" s="136"/>
      <c r="B52" s="138"/>
      <c r="C52" s="138"/>
      <c r="D52" s="138"/>
      <c r="E52" s="138"/>
      <c r="F52" s="138"/>
      <c r="G52" s="138"/>
      <c r="H52" s="138"/>
      <c r="I52" s="138"/>
      <c r="J52" s="138"/>
      <c r="K52" s="138"/>
      <c r="L52" s="138"/>
      <c r="M52" s="635" t="s">
        <v>442</v>
      </c>
      <c r="N52" s="637" t="s">
        <v>385</v>
      </c>
      <c r="O52" s="636">
        <v>2.4</v>
      </c>
      <c r="P52" s="637">
        <v>1.2593227250000001</v>
      </c>
      <c r="Q52" s="637">
        <v>0.78083006262400811</v>
      </c>
      <c r="U52" s="548" t="s">
        <v>81</v>
      </c>
      <c r="V52" s="663">
        <v>0.69616164884835419</v>
      </c>
      <c r="W52" s="639">
        <v>0.96601774183260181</v>
      </c>
    </row>
    <row r="53" spans="1:26" ht="9.75" customHeight="1">
      <c r="B53" s="138"/>
      <c r="C53" s="138"/>
      <c r="D53" s="138"/>
      <c r="E53" s="138"/>
      <c r="F53" s="138"/>
      <c r="G53" s="138"/>
      <c r="H53" s="138"/>
      <c r="I53" s="138"/>
      <c r="J53" s="138"/>
      <c r="K53" s="138"/>
      <c r="L53" s="138"/>
      <c r="M53" s="635" t="s">
        <v>83</v>
      </c>
      <c r="N53" s="637" t="s">
        <v>385</v>
      </c>
      <c r="O53" s="636">
        <v>2.9537</v>
      </c>
      <c r="P53" s="637">
        <v>0.75610167500000003</v>
      </c>
      <c r="Q53" s="637">
        <v>0.38092944513096566</v>
      </c>
      <c r="U53" s="548" t="s">
        <v>83</v>
      </c>
      <c r="V53" s="663">
        <v>0.37770318932550173</v>
      </c>
      <c r="W53" s="639">
        <v>0.86803186523309162</v>
      </c>
    </row>
    <row r="54" spans="1:26" ht="30.75" customHeight="1">
      <c r="N54" s="637"/>
      <c r="O54" s="636"/>
      <c r="P54" s="637"/>
      <c r="Q54" s="637"/>
    </row>
    <row r="55" spans="1:26" ht="9.75" customHeight="1">
      <c r="V55" s="663"/>
    </row>
    <row r="56" spans="1:26" ht="9.75" customHeight="1">
      <c r="V56" s="663"/>
    </row>
    <row r="57" spans="1:26" ht="9.75" customHeight="1">
      <c r="V57" s="663"/>
    </row>
    <row r="58" spans="1:26" ht="9.75" customHeight="1"/>
    <row r="59" spans="1:26" ht="9.75" customHeight="1"/>
    <row r="60" spans="1:26" ht="9.75" customHeight="1"/>
    <row r="61" spans="1:26" ht="9.75" customHeight="1"/>
    <row r="62" spans="1:26" ht="9.75" customHeight="1"/>
    <row r="64" spans="1:26" ht="26.25" customHeight="1">
      <c r="A64" s="872"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febrero.
Nota: Son consideradas las centrales adjudicadas por subasta RER y cuenten con operación comercial</v>
      </c>
      <c r="B64" s="872"/>
      <c r="C64" s="872"/>
      <c r="D64" s="872"/>
      <c r="E64" s="872"/>
      <c r="F64" s="872"/>
      <c r="G64" s="872"/>
      <c r="H64" s="872"/>
      <c r="I64" s="872"/>
      <c r="J64" s="872"/>
      <c r="K64" s="872"/>
      <c r="L64" s="872"/>
    </row>
  </sheetData>
  <mergeCells count="4">
    <mergeCell ref="A43:L43"/>
    <mergeCell ref="A2:L2"/>
    <mergeCell ref="C45:J45"/>
    <mergeCell ref="A64:L64"/>
  </mergeCells>
  <pageMargins left="0.4365" right="0.33950000000000002" top="1.0236220472440944" bottom="0.62992125984251968"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R74"/>
  <sheetViews>
    <sheetView showGridLines="0" view="pageBreakPreview" zoomScaleNormal="100" zoomScaleSheetLayoutView="100" workbookViewId="0">
      <selection activeCell="L21" sqref="L21"/>
    </sheetView>
  </sheetViews>
  <sheetFormatPr baseColWidth="10" defaultColWidth="9.28515625" defaultRowHeight="10.199999999999999"/>
  <cols>
    <col min="1" max="1" width="30.140625" customWidth="1"/>
    <col min="2" max="2" width="11.42578125" bestFit="1" customWidth="1"/>
    <col min="3" max="3" width="10.7109375" bestFit="1" customWidth="1"/>
    <col min="4" max="4" width="10.28515625" bestFit="1" customWidth="1"/>
    <col min="8" max="8" width="8" customWidth="1"/>
    <col min="10" max="10" width="8.85546875" customWidth="1"/>
    <col min="11" max="11" width="9.28515625" customWidth="1"/>
    <col min="12" max="12" width="22.85546875" style="662" customWidth="1"/>
    <col min="13" max="13" width="19.140625" style="277" customWidth="1"/>
    <col min="14" max="14" width="10.42578125" style="277" bestFit="1" customWidth="1"/>
    <col min="15" max="15" width="9.42578125" style="277" bestFit="1" customWidth="1"/>
    <col min="16" max="18" width="9.28515625" style="662"/>
  </cols>
  <sheetData>
    <row r="1" spans="1:15" ht="11.25" customHeight="1">
      <c r="A1" s="873" t="s">
        <v>228</v>
      </c>
      <c r="B1" s="873"/>
      <c r="C1" s="873"/>
      <c r="D1" s="873"/>
      <c r="E1" s="873"/>
      <c r="F1" s="873"/>
      <c r="G1" s="873"/>
      <c r="H1" s="873"/>
      <c r="I1" s="873"/>
      <c r="J1" s="873"/>
      <c r="K1" s="17"/>
    </row>
    <row r="2" spans="1:15" ht="6" customHeight="1">
      <c r="A2" s="17"/>
      <c r="B2" s="17"/>
      <c r="C2" s="17"/>
      <c r="D2" s="17"/>
      <c r="E2" s="17"/>
      <c r="F2" s="17"/>
      <c r="G2" s="17"/>
      <c r="H2" s="17"/>
      <c r="I2" s="17"/>
      <c r="J2" s="17"/>
      <c r="K2" s="17"/>
      <c r="L2" s="664"/>
      <c r="M2" s="707"/>
    </row>
    <row r="3" spans="1:15" ht="11.25" customHeight="1">
      <c r="A3" s="879" t="s">
        <v>238</v>
      </c>
      <c r="B3" s="880" t="str">
        <f>+'1. Resumen'!Q4</f>
        <v>febrero</v>
      </c>
      <c r="C3" s="881"/>
      <c r="D3" s="881"/>
      <c r="E3" s="138"/>
      <c r="F3" s="138"/>
      <c r="G3" s="882" t="s">
        <v>608</v>
      </c>
      <c r="H3" s="882"/>
      <c r="I3" s="882"/>
      <c r="J3" s="882"/>
      <c r="K3" s="138"/>
      <c r="M3" s="708"/>
      <c r="N3" s="709">
        <v>2023</v>
      </c>
      <c r="O3" s="709">
        <v>2022</v>
      </c>
    </row>
    <row r="4" spans="1:15" ht="11.25" customHeight="1">
      <c r="A4" s="879"/>
      <c r="B4" s="367">
        <f>+'1. Resumen'!Q5</f>
        <v>2023</v>
      </c>
      <c r="C4" s="368">
        <f>+B4-1</f>
        <v>2022</v>
      </c>
      <c r="D4" s="368" t="s">
        <v>34</v>
      </c>
      <c r="E4" s="138"/>
      <c r="F4" s="138"/>
      <c r="G4" s="138"/>
      <c r="H4" s="138"/>
      <c r="I4" s="138"/>
      <c r="J4" s="138"/>
      <c r="K4" s="138"/>
      <c r="L4" s="714"/>
      <c r="M4" s="710" t="s">
        <v>394</v>
      </c>
      <c r="N4" s="711"/>
      <c r="O4" s="711">
        <v>0.27635500000000002</v>
      </c>
    </row>
    <row r="5" spans="1:15" ht="10.5" customHeight="1">
      <c r="A5" s="585" t="s">
        <v>392</v>
      </c>
      <c r="B5" s="735">
        <v>872.92927214250005</v>
      </c>
      <c r="C5" s="736">
        <v>743.38112655999998</v>
      </c>
      <c r="D5" s="586">
        <f>IF(C5=0,"",B5/C5-1)</f>
        <v>0.17426881172244002</v>
      </c>
      <c r="E5" s="138"/>
      <c r="F5" s="138"/>
      <c r="G5" s="138"/>
      <c r="H5" s="138"/>
      <c r="I5" s="138"/>
      <c r="J5" s="138"/>
      <c r="K5" s="138"/>
      <c r="L5" s="715"/>
      <c r="M5" s="710" t="s">
        <v>117</v>
      </c>
      <c r="N5" s="711">
        <v>0</v>
      </c>
      <c r="O5" s="711">
        <v>0</v>
      </c>
    </row>
    <row r="6" spans="1:15" ht="10.5" customHeight="1">
      <c r="A6" s="587" t="s">
        <v>87</v>
      </c>
      <c r="B6" s="737">
        <v>537.19791023999994</v>
      </c>
      <c r="C6" s="737">
        <v>561.09198647999995</v>
      </c>
      <c r="D6" s="588">
        <f t="shared" ref="D6:D64" si="0">IF(C6=0,"",B6/C6-1)</f>
        <v>-4.2584953654211E-2</v>
      </c>
      <c r="E6" s="322"/>
      <c r="F6" s="138"/>
      <c r="G6" s="138"/>
      <c r="H6" s="138"/>
      <c r="I6" s="138"/>
      <c r="J6" s="138"/>
      <c r="K6" s="138"/>
      <c r="M6" s="711" t="s">
        <v>522</v>
      </c>
      <c r="N6" s="711">
        <v>0.15665475000000001</v>
      </c>
      <c r="O6" s="711">
        <v>0.17689199999999999</v>
      </c>
    </row>
    <row r="7" spans="1:15" ht="10.5" customHeight="1">
      <c r="A7" s="585" t="s">
        <v>86</v>
      </c>
      <c r="B7" s="736">
        <v>467.36514999999991</v>
      </c>
      <c r="C7" s="736">
        <v>456.40198625000011</v>
      </c>
      <c r="D7" s="586">
        <f t="shared" si="0"/>
        <v>2.4020850216007972E-2</v>
      </c>
      <c r="E7" s="138"/>
      <c r="F7" s="138"/>
      <c r="G7" s="138"/>
      <c r="H7" s="138"/>
      <c r="I7" s="138"/>
      <c r="J7" s="138"/>
      <c r="K7" s="138"/>
      <c r="M7" s="710" t="s">
        <v>114</v>
      </c>
      <c r="N7" s="711">
        <v>0.18361670250000001</v>
      </c>
      <c r="O7" s="711">
        <v>0.40749669999999999</v>
      </c>
    </row>
    <row r="8" spans="1:15" ht="10.5" customHeight="1">
      <c r="A8" s="587" t="s">
        <v>85</v>
      </c>
      <c r="B8" s="737">
        <v>460.87017147749998</v>
      </c>
      <c r="C8" s="737">
        <v>220.10488226500001</v>
      </c>
      <c r="D8" s="588">
        <f t="shared" si="0"/>
        <v>1.0938661911307603</v>
      </c>
      <c r="E8" s="138"/>
      <c r="F8" s="138"/>
      <c r="G8" s="138"/>
      <c r="H8" s="138"/>
      <c r="I8" s="138"/>
      <c r="J8" s="138"/>
      <c r="K8" s="138"/>
      <c r="M8" s="711" t="s">
        <v>115</v>
      </c>
      <c r="N8" s="711">
        <v>0.44145900250000003</v>
      </c>
      <c r="O8" s="711">
        <v>3.384604495</v>
      </c>
    </row>
    <row r="9" spans="1:15" ht="10.5" customHeight="1">
      <c r="A9" s="585" t="s">
        <v>232</v>
      </c>
      <c r="B9" s="736">
        <v>310.01301704250005</v>
      </c>
      <c r="C9" s="736">
        <v>323.40601878249998</v>
      </c>
      <c r="D9" s="586">
        <f t="shared" si="0"/>
        <v>-4.1412345355907321E-2</v>
      </c>
      <c r="E9" s="138"/>
      <c r="F9" s="138"/>
      <c r="G9" s="138"/>
      <c r="H9" s="138"/>
      <c r="I9" s="138"/>
      <c r="J9" s="138"/>
      <c r="K9" s="138"/>
      <c r="L9" s="714"/>
      <c r="M9" s="711" t="s">
        <v>237</v>
      </c>
      <c r="N9" s="711">
        <v>0.45871258250000002</v>
      </c>
      <c r="O9" s="711">
        <v>0</v>
      </c>
    </row>
    <row r="10" spans="1:15" ht="10.5" customHeight="1">
      <c r="A10" s="587" t="s">
        <v>230</v>
      </c>
      <c r="B10" s="737">
        <v>234.86939600250003</v>
      </c>
      <c r="C10" s="737">
        <v>290.2292862475</v>
      </c>
      <c r="D10" s="588">
        <f t="shared" si="0"/>
        <v>-0.19074536191978397</v>
      </c>
      <c r="E10" s="138"/>
      <c r="F10" s="138"/>
      <c r="G10" s="138"/>
      <c r="H10" s="138"/>
      <c r="I10" s="138"/>
      <c r="J10" s="138"/>
      <c r="K10" s="138"/>
      <c r="L10" s="715"/>
      <c r="M10" s="711" t="s">
        <v>449</v>
      </c>
      <c r="N10" s="711">
        <v>0.56025199999999997</v>
      </c>
      <c r="O10" s="711">
        <v>0.31054206749999996</v>
      </c>
    </row>
    <row r="11" spans="1:15" ht="10.5" customHeight="1">
      <c r="A11" s="585" t="s">
        <v>88</v>
      </c>
      <c r="B11" s="736">
        <v>228.55121860499997</v>
      </c>
      <c r="C11" s="736">
        <v>243.72024154750002</v>
      </c>
      <c r="D11" s="586">
        <f t="shared" si="0"/>
        <v>-6.2239487562397167E-2</v>
      </c>
      <c r="E11" s="138"/>
      <c r="F11" s="138"/>
      <c r="G11" s="138"/>
      <c r="H11" s="138"/>
      <c r="I11" s="138"/>
      <c r="J11" s="138"/>
      <c r="K11" s="138"/>
      <c r="L11" s="715"/>
      <c r="M11" s="710" t="s">
        <v>100</v>
      </c>
      <c r="N11" s="711">
        <v>0.68496994749999995</v>
      </c>
      <c r="O11" s="711">
        <v>17.791702910000001</v>
      </c>
    </row>
    <row r="12" spans="1:15" ht="10.5" customHeight="1">
      <c r="A12" s="587" t="s">
        <v>234</v>
      </c>
      <c r="B12" s="737">
        <v>214.62843991999998</v>
      </c>
      <c r="C12" s="737">
        <v>228.84824375000002</v>
      </c>
      <c r="D12" s="589">
        <f t="shared" si="0"/>
        <v>-6.2136390461157043E-2</v>
      </c>
      <c r="E12" s="138"/>
      <c r="F12" s="138"/>
      <c r="G12" s="138"/>
      <c r="H12" s="138"/>
      <c r="I12" s="138"/>
      <c r="J12" s="138"/>
      <c r="K12" s="138"/>
      <c r="L12" s="715"/>
      <c r="M12" s="710" t="s">
        <v>236</v>
      </c>
      <c r="N12" s="711">
        <v>1.0421827925</v>
      </c>
      <c r="O12" s="711">
        <v>1.6403910000000001E-2</v>
      </c>
    </row>
    <row r="13" spans="1:15" ht="10.5" customHeight="1">
      <c r="A13" s="585" t="s">
        <v>92</v>
      </c>
      <c r="B13" s="736">
        <v>133.75907330000001</v>
      </c>
      <c r="C13" s="736">
        <v>131.39487875</v>
      </c>
      <c r="D13" s="586">
        <f t="shared" si="0"/>
        <v>1.799304944371749E-2</v>
      </c>
      <c r="E13" s="138"/>
      <c r="F13" s="138"/>
      <c r="G13" s="138"/>
      <c r="H13" s="138"/>
      <c r="I13" s="138"/>
      <c r="J13" s="138"/>
      <c r="K13" s="138"/>
      <c r="L13" s="715"/>
      <c r="M13" s="711" t="s">
        <v>521</v>
      </c>
      <c r="N13" s="711">
        <v>1.0512335400000001</v>
      </c>
      <c r="O13" s="711">
        <v>1.66658325</v>
      </c>
    </row>
    <row r="14" spans="1:15" ht="10.5" customHeight="1">
      <c r="A14" s="587" t="s">
        <v>91</v>
      </c>
      <c r="B14" s="737">
        <v>113.03945</v>
      </c>
      <c r="C14" s="737">
        <v>107.22554574999999</v>
      </c>
      <c r="D14" s="588">
        <f t="shared" si="0"/>
        <v>5.4221260515244341E-2</v>
      </c>
      <c r="E14" s="138"/>
      <c r="F14" s="138"/>
      <c r="G14" s="138"/>
      <c r="H14" s="138"/>
      <c r="I14" s="138"/>
      <c r="J14" s="138"/>
      <c r="K14" s="138"/>
      <c r="L14" s="715"/>
      <c r="M14" s="711" t="s">
        <v>103</v>
      </c>
      <c r="N14" s="711">
        <v>1.94137063</v>
      </c>
      <c r="O14" s="711">
        <v>7.5406091050000006</v>
      </c>
    </row>
    <row r="15" spans="1:15" ht="10.5" customHeight="1">
      <c r="A15" s="585" t="s">
        <v>90</v>
      </c>
      <c r="B15" s="736">
        <v>111.74241649999998</v>
      </c>
      <c r="C15" s="736">
        <v>106.97428047</v>
      </c>
      <c r="D15" s="586">
        <f t="shared" si="0"/>
        <v>4.4572732894774258E-2</v>
      </c>
      <c r="E15" s="138"/>
      <c r="F15" s="138"/>
      <c r="G15" s="138"/>
      <c r="H15" s="138"/>
      <c r="I15" s="138"/>
      <c r="J15" s="138"/>
      <c r="K15" s="138" t="s">
        <v>8</v>
      </c>
      <c r="L15" s="715"/>
      <c r="M15" s="711" t="s">
        <v>409</v>
      </c>
      <c r="N15" s="711">
        <v>1.9526254274999999</v>
      </c>
      <c r="O15" s="711">
        <v>0.36941843000000002</v>
      </c>
    </row>
    <row r="16" spans="1:15" ht="10.5" customHeight="1">
      <c r="A16" s="587" t="s">
        <v>89</v>
      </c>
      <c r="B16" s="737">
        <v>90.826078187499988</v>
      </c>
      <c r="C16" s="737">
        <v>65.775956440000002</v>
      </c>
      <c r="D16" s="588">
        <f t="shared" si="0"/>
        <v>0.38084009877302805</v>
      </c>
      <c r="E16" s="138"/>
      <c r="F16" s="138"/>
      <c r="G16" s="138"/>
      <c r="H16" s="138"/>
      <c r="I16" s="138"/>
      <c r="J16" s="138"/>
      <c r="K16" s="138"/>
      <c r="L16" s="715"/>
      <c r="M16" s="711" t="s">
        <v>112</v>
      </c>
      <c r="N16" s="711">
        <v>2.2291999999999996</v>
      </c>
      <c r="O16" s="711">
        <v>2.2706999999999997</v>
      </c>
    </row>
    <row r="17" spans="1:15" ht="10.5" customHeight="1">
      <c r="A17" s="585" t="s">
        <v>98</v>
      </c>
      <c r="B17" s="736">
        <v>78.771005127500004</v>
      </c>
      <c r="C17" s="736">
        <v>129.95889207499999</v>
      </c>
      <c r="D17" s="586">
        <f t="shared" si="0"/>
        <v>-0.39387752642550367</v>
      </c>
      <c r="E17" s="138"/>
      <c r="F17" s="138"/>
      <c r="G17" s="138"/>
      <c r="H17" s="138"/>
      <c r="I17" s="138"/>
      <c r="J17" s="138"/>
      <c r="K17" s="138"/>
      <c r="L17" s="716"/>
      <c r="M17" s="710" t="s">
        <v>113</v>
      </c>
      <c r="N17" s="711">
        <v>2.2353242500000001</v>
      </c>
      <c r="O17" s="711">
        <v>2.1246458749999997</v>
      </c>
    </row>
    <row r="18" spans="1:15" ht="10.5" customHeight="1">
      <c r="A18" s="587" t="s">
        <v>93</v>
      </c>
      <c r="B18" s="737">
        <v>73.889684007499994</v>
      </c>
      <c r="C18" s="737">
        <v>71.997302307499993</v>
      </c>
      <c r="D18" s="588">
        <f t="shared" si="0"/>
        <v>2.6284063976698135E-2</v>
      </c>
      <c r="E18" s="138"/>
      <c r="F18" s="138"/>
      <c r="G18" s="138"/>
      <c r="H18" s="138"/>
      <c r="I18" s="138"/>
      <c r="J18" s="138"/>
      <c r="K18" s="138"/>
      <c r="L18" s="715"/>
      <c r="M18" s="711" t="s">
        <v>111</v>
      </c>
      <c r="N18" s="711">
        <v>2.2575873500000001</v>
      </c>
      <c r="O18" s="711">
        <v>2.3666678000000001</v>
      </c>
    </row>
    <row r="19" spans="1:15" ht="10.5" customHeight="1">
      <c r="A19" s="585" t="s">
        <v>408</v>
      </c>
      <c r="B19" s="736">
        <v>60.478934682499997</v>
      </c>
      <c r="C19" s="736">
        <v>59.271970699999997</v>
      </c>
      <c r="D19" s="586">
        <f t="shared" si="0"/>
        <v>2.0363149195914865E-2</v>
      </c>
      <c r="E19" s="138"/>
      <c r="F19" s="138"/>
      <c r="G19" s="138"/>
      <c r="H19" s="138"/>
      <c r="I19" s="138"/>
      <c r="J19" s="138"/>
      <c r="K19" s="138"/>
      <c r="L19" s="715"/>
      <c r="M19" s="710" t="s">
        <v>229</v>
      </c>
      <c r="N19" s="711">
        <v>2.3344347499999998</v>
      </c>
      <c r="O19" s="711">
        <v>0.39049348</v>
      </c>
    </row>
    <row r="20" spans="1:15" ht="10.5" customHeight="1">
      <c r="A20" s="587" t="s">
        <v>94</v>
      </c>
      <c r="B20" s="737">
        <v>53.042405499999994</v>
      </c>
      <c r="C20" s="737">
        <v>29.031294249999995</v>
      </c>
      <c r="D20" s="588">
        <f t="shared" si="0"/>
        <v>0.82707684484304389</v>
      </c>
      <c r="E20" s="138"/>
      <c r="F20" s="138"/>
      <c r="G20" s="138"/>
      <c r="H20" s="138"/>
      <c r="I20" s="138"/>
      <c r="J20" s="138"/>
      <c r="K20" s="138"/>
      <c r="L20" s="715"/>
      <c r="M20" s="711" t="s">
        <v>446</v>
      </c>
      <c r="N20" s="711">
        <v>3.09292525</v>
      </c>
      <c r="O20" s="711">
        <v>3.2033306800000001</v>
      </c>
    </row>
    <row r="21" spans="1:15" ht="10.5" customHeight="1">
      <c r="A21" s="585" t="s">
        <v>455</v>
      </c>
      <c r="B21" s="736">
        <v>47.923402017500003</v>
      </c>
      <c r="C21" s="736">
        <v>41.624914912500003</v>
      </c>
      <c r="D21" s="586">
        <f t="shared" si="0"/>
        <v>0.15131531483584015</v>
      </c>
      <c r="E21" s="138"/>
      <c r="F21" s="138"/>
      <c r="G21" s="138"/>
      <c r="H21" s="138"/>
      <c r="I21" s="138"/>
      <c r="J21" s="138"/>
      <c r="K21" s="138"/>
      <c r="L21" s="716"/>
      <c r="M21" s="710" t="s">
        <v>110</v>
      </c>
      <c r="N21" s="711">
        <v>3.3025711824999999</v>
      </c>
      <c r="O21" s="711">
        <v>2.6829282049999996</v>
      </c>
    </row>
    <row r="22" spans="1:15" ht="10.5" customHeight="1">
      <c r="A22" s="587" t="s">
        <v>450</v>
      </c>
      <c r="B22" s="737">
        <v>47.188454057500003</v>
      </c>
      <c r="C22" s="737">
        <v>44.315105762499996</v>
      </c>
      <c r="D22" s="588">
        <f t="shared" si="0"/>
        <v>6.4839026006149547E-2</v>
      </c>
      <c r="E22" s="138"/>
      <c r="F22" s="138"/>
      <c r="G22" s="138"/>
      <c r="H22" s="138"/>
      <c r="I22" s="138"/>
      <c r="J22" s="138"/>
      <c r="K22" s="138"/>
      <c r="L22" s="715"/>
      <c r="M22" s="710" t="s">
        <v>445</v>
      </c>
      <c r="N22" s="711">
        <v>3.3501379999999998</v>
      </c>
      <c r="O22" s="711">
        <v>3.5959666000000001</v>
      </c>
    </row>
    <row r="23" spans="1:15" ht="10.5" customHeight="1">
      <c r="A23" s="585" t="s">
        <v>106</v>
      </c>
      <c r="B23" s="736">
        <v>41.066045692500005</v>
      </c>
      <c r="C23" s="736">
        <v>43.146944687499996</v>
      </c>
      <c r="D23" s="586">
        <f t="shared" si="0"/>
        <v>-4.822818881084856E-2</v>
      </c>
      <c r="E23" s="138"/>
      <c r="F23" s="138"/>
      <c r="G23" s="138"/>
      <c r="H23" s="138"/>
      <c r="I23" s="138"/>
      <c r="J23" s="138"/>
      <c r="K23" s="138"/>
      <c r="L23" s="715"/>
      <c r="M23" s="710" t="s">
        <v>108</v>
      </c>
      <c r="N23" s="711">
        <v>3.5289202</v>
      </c>
      <c r="O23" s="711">
        <v>3.9109825825</v>
      </c>
    </row>
    <row r="24" spans="1:15" ht="10.5" customHeight="1">
      <c r="A24" s="587" t="s">
        <v>96</v>
      </c>
      <c r="B24" s="737">
        <v>39.723141749999996</v>
      </c>
      <c r="C24" s="737">
        <v>73.593435999999997</v>
      </c>
      <c r="D24" s="588">
        <f t="shared" si="0"/>
        <v>-0.46023526133499193</v>
      </c>
      <c r="E24" s="138"/>
      <c r="F24" s="138"/>
      <c r="G24" s="138"/>
      <c r="H24" s="138"/>
      <c r="I24" s="138"/>
      <c r="J24" s="138"/>
      <c r="K24" s="138"/>
      <c r="L24" s="715"/>
      <c r="M24" s="711" t="s">
        <v>104</v>
      </c>
      <c r="N24" s="711">
        <v>3.7944055849999998</v>
      </c>
      <c r="O24" s="711">
        <v>7.4996974325000005</v>
      </c>
    </row>
    <row r="25" spans="1:15" ht="10.5" customHeight="1">
      <c r="A25" s="585" t="s">
        <v>231</v>
      </c>
      <c r="B25" s="736">
        <v>30.032857675000002</v>
      </c>
      <c r="C25" s="736">
        <v>19.557200052500001</v>
      </c>
      <c r="D25" s="586">
        <f t="shared" si="0"/>
        <v>0.53564199345401176</v>
      </c>
      <c r="E25" s="138"/>
      <c r="F25" s="138"/>
      <c r="G25" s="138"/>
      <c r="H25" s="138"/>
      <c r="I25" s="138"/>
      <c r="J25" s="138"/>
      <c r="K25" s="138"/>
      <c r="L25" s="715"/>
      <c r="M25" s="710" t="s">
        <v>105</v>
      </c>
      <c r="N25" s="711">
        <v>4.4283024475000001</v>
      </c>
      <c r="O25" s="711">
        <v>4.7377803075000005</v>
      </c>
    </row>
    <row r="26" spans="1:15" ht="10.5" customHeight="1">
      <c r="A26" s="587" t="s">
        <v>97</v>
      </c>
      <c r="B26" s="737">
        <v>29.2027009</v>
      </c>
      <c r="C26" s="737">
        <v>40.589682267500002</v>
      </c>
      <c r="D26" s="588">
        <f t="shared" si="0"/>
        <v>-0.28053881507265488</v>
      </c>
      <c r="E26" s="138"/>
      <c r="F26" s="138"/>
      <c r="G26" s="138"/>
      <c r="H26" s="138"/>
      <c r="I26" s="138"/>
      <c r="J26" s="138"/>
      <c r="K26" s="138"/>
      <c r="L26" s="715"/>
      <c r="M26" s="710" t="s">
        <v>447</v>
      </c>
      <c r="N26" s="711">
        <v>4.4773826725000001</v>
      </c>
      <c r="O26" s="711">
        <v>2.3865346024999998</v>
      </c>
    </row>
    <row r="27" spans="1:15" ht="10.5" customHeight="1">
      <c r="A27" s="590" t="s">
        <v>431</v>
      </c>
      <c r="B27" s="736">
        <v>19.000488259999997</v>
      </c>
      <c r="C27" s="736">
        <v>18.110857612499998</v>
      </c>
      <c r="D27" s="586">
        <f t="shared" si="0"/>
        <v>4.912139814328742E-2</v>
      </c>
      <c r="E27" s="138"/>
      <c r="F27" s="138"/>
      <c r="G27" s="138"/>
      <c r="H27" s="138"/>
      <c r="I27" s="138"/>
      <c r="J27" s="138"/>
      <c r="K27" s="138"/>
      <c r="L27" s="715"/>
      <c r="M27" s="710" t="s">
        <v>107</v>
      </c>
      <c r="N27" s="711">
        <v>4.9983784599999996</v>
      </c>
      <c r="O27" s="711">
        <v>4.8764394000000006</v>
      </c>
    </row>
    <row r="28" spans="1:15" ht="10.5" customHeight="1">
      <c r="A28" s="591" t="s">
        <v>95</v>
      </c>
      <c r="B28" s="737">
        <v>17.692417832500002</v>
      </c>
      <c r="C28" s="737">
        <v>26.319048575</v>
      </c>
      <c r="D28" s="588">
        <f t="shared" si="0"/>
        <v>-0.32777137509044618</v>
      </c>
      <c r="E28" s="138"/>
      <c r="F28" s="138"/>
      <c r="G28" s="138"/>
      <c r="H28" s="138"/>
      <c r="I28" s="138"/>
      <c r="J28" s="138"/>
      <c r="K28" s="138"/>
      <c r="L28" s="715"/>
      <c r="M28" s="711" t="s">
        <v>430</v>
      </c>
      <c r="N28" s="711">
        <v>5.0939247500000002</v>
      </c>
      <c r="O28" s="711">
        <v>5.8084564274999995</v>
      </c>
    </row>
    <row r="29" spans="1:15" ht="10.5" customHeight="1">
      <c r="A29" s="592" t="s">
        <v>109</v>
      </c>
      <c r="B29" s="736">
        <v>16.832120234999998</v>
      </c>
      <c r="C29" s="736">
        <v>18.065279367500001</v>
      </c>
      <c r="D29" s="586">
        <f t="shared" si="0"/>
        <v>-6.8261282176377169E-2</v>
      </c>
      <c r="E29" s="138"/>
      <c r="F29" s="138"/>
      <c r="G29" s="138"/>
      <c r="H29" s="138"/>
      <c r="I29" s="138"/>
      <c r="J29" s="138"/>
      <c r="K29" s="138"/>
      <c r="L29" s="715"/>
      <c r="M29" s="711" t="s">
        <v>448</v>
      </c>
      <c r="N29" s="711">
        <v>5.8031445724999999</v>
      </c>
      <c r="O29" s="711">
        <v>3.176344555</v>
      </c>
    </row>
    <row r="30" spans="1:15" ht="10.5" customHeight="1">
      <c r="A30" s="591" t="s">
        <v>116</v>
      </c>
      <c r="B30" s="737">
        <v>13.146740900000001</v>
      </c>
      <c r="C30" s="737">
        <v>13.060900607500001</v>
      </c>
      <c r="D30" s="588">
        <f t="shared" si="0"/>
        <v>6.5723103696775365E-3</v>
      </c>
      <c r="E30" s="138"/>
      <c r="F30" s="138"/>
      <c r="G30" s="138"/>
      <c r="H30" s="138"/>
      <c r="I30" s="138"/>
      <c r="J30" s="138"/>
      <c r="K30" s="138"/>
      <c r="L30" s="715"/>
      <c r="M30" s="711" t="s">
        <v>393</v>
      </c>
      <c r="N30" s="711">
        <v>6.2437652000000003</v>
      </c>
      <c r="O30" s="711">
        <v>6.4533672749999997</v>
      </c>
    </row>
    <row r="31" spans="1:15" ht="10.5" customHeight="1">
      <c r="A31" s="592" t="s">
        <v>422</v>
      </c>
      <c r="B31" s="736">
        <v>13.107826415</v>
      </c>
      <c r="C31" s="736">
        <v>13.1609892075</v>
      </c>
      <c r="D31" s="586">
        <f t="shared" si="0"/>
        <v>-4.0394222396067381E-3</v>
      </c>
      <c r="E31" s="138"/>
      <c r="F31" s="138"/>
      <c r="G31" s="138"/>
      <c r="H31" s="138"/>
      <c r="I31" s="138"/>
      <c r="J31" s="138"/>
      <c r="K31" s="138"/>
      <c r="L31" s="715"/>
      <c r="M31" s="710" t="s">
        <v>99</v>
      </c>
      <c r="N31" s="711">
        <v>9.7400855899999996</v>
      </c>
      <c r="O31" s="711">
        <v>18.370950002499999</v>
      </c>
    </row>
    <row r="32" spans="1:15" ht="10.5" customHeight="1">
      <c r="A32" s="593" t="s">
        <v>384</v>
      </c>
      <c r="B32" s="737">
        <v>12.987306969999999</v>
      </c>
      <c r="C32" s="737">
        <v>13.0702062675</v>
      </c>
      <c r="D32" s="588">
        <f t="shared" si="0"/>
        <v>-6.342615854972089E-3</v>
      </c>
      <c r="E32" s="138"/>
      <c r="F32" s="138"/>
      <c r="G32" s="138"/>
      <c r="H32" s="138"/>
      <c r="I32" s="138"/>
      <c r="J32" s="138"/>
      <c r="K32" s="138"/>
      <c r="L32" s="715"/>
      <c r="M32" s="710" t="s">
        <v>235</v>
      </c>
      <c r="N32" s="711">
        <v>9.9414852749999998</v>
      </c>
      <c r="O32" s="711">
        <v>14.5104917025</v>
      </c>
    </row>
    <row r="33" spans="1:15" ht="10.5" customHeight="1">
      <c r="A33" s="594" t="s">
        <v>101</v>
      </c>
      <c r="B33" s="736">
        <v>12.669626317500001</v>
      </c>
      <c r="C33" s="736">
        <v>12.5927930175</v>
      </c>
      <c r="D33" s="586">
        <f t="shared" si="0"/>
        <v>6.1013708311752346E-3</v>
      </c>
      <c r="E33" s="138"/>
      <c r="F33" s="138"/>
      <c r="G33" s="138"/>
      <c r="H33" s="138"/>
      <c r="I33" s="138"/>
      <c r="J33" s="138"/>
      <c r="K33" s="138"/>
      <c r="L33" s="717"/>
      <c r="M33" s="710" t="s">
        <v>233</v>
      </c>
      <c r="N33" s="711">
        <v>10.524519250000001</v>
      </c>
      <c r="O33" s="711">
        <v>10.500089599999999</v>
      </c>
    </row>
    <row r="34" spans="1:15" ht="10.5" customHeight="1">
      <c r="A34" s="593" t="s">
        <v>439</v>
      </c>
      <c r="B34" s="737">
        <v>12.488799</v>
      </c>
      <c r="C34" s="737">
        <v>11.336722740000001</v>
      </c>
      <c r="D34" s="588">
        <f t="shared" si="0"/>
        <v>0.10162339561635947</v>
      </c>
      <c r="E34" s="138"/>
      <c r="F34" s="138"/>
      <c r="G34" s="138"/>
      <c r="H34" s="138"/>
      <c r="I34" s="138"/>
      <c r="J34" s="138"/>
      <c r="K34" s="138"/>
      <c r="L34" s="717"/>
      <c r="M34" s="710" t="s">
        <v>400</v>
      </c>
      <c r="N34" s="711">
        <v>11.038627085</v>
      </c>
      <c r="O34" s="711">
        <v>9.9216563375</v>
      </c>
    </row>
    <row r="35" spans="1:15" ht="10.5" customHeight="1">
      <c r="A35" s="594" t="s">
        <v>451</v>
      </c>
      <c r="B35" s="736">
        <v>12.4493663475</v>
      </c>
      <c r="C35" s="736">
        <v>11.382516770000001</v>
      </c>
      <c r="D35" s="586">
        <f t="shared" si="0"/>
        <v>9.3727037618939413E-2</v>
      </c>
      <c r="E35" s="138"/>
      <c r="F35" s="138"/>
      <c r="G35" s="138"/>
      <c r="H35" s="138"/>
      <c r="I35" s="138"/>
      <c r="J35" s="138"/>
      <c r="K35" s="138"/>
      <c r="L35" s="716"/>
      <c r="M35" s="711" t="s">
        <v>102</v>
      </c>
      <c r="N35" s="711">
        <v>12.0708682075</v>
      </c>
      <c r="O35" s="711">
        <v>11.773653069999998</v>
      </c>
    </row>
    <row r="36" spans="1:15" ht="10.5" customHeight="1">
      <c r="A36" s="593" t="s">
        <v>102</v>
      </c>
      <c r="B36" s="737">
        <v>12.0708682075</v>
      </c>
      <c r="C36" s="737">
        <v>11.773653069999998</v>
      </c>
      <c r="D36" s="588">
        <f t="shared" si="0"/>
        <v>2.5244088281938915E-2</v>
      </c>
      <c r="E36" s="138"/>
      <c r="F36" s="138"/>
      <c r="G36" s="138"/>
      <c r="H36" s="138"/>
      <c r="I36" s="138"/>
      <c r="J36" s="138"/>
      <c r="K36" s="138"/>
      <c r="L36" s="716"/>
      <c r="M36" s="710" t="s">
        <v>451</v>
      </c>
      <c r="N36" s="711">
        <v>12.4493663475</v>
      </c>
      <c r="O36" s="711">
        <v>11.382516770000001</v>
      </c>
    </row>
    <row r="37" spans="1:15" ht="10.5" customHeight="1">
      <c r="A37" s="594" t="s">
        <v>400</v>
      </c>
      <c r="B37" s="736">
        <v>11.038627085</v>
      </c>
      <c r="C37" s="736">
        <v>9.9216563375</v>
      </c>
      <c r="D37" s="586">
        <f t="shared" si="0"/>
        <v>0.11257906034079057</v>
      </c>
      <c r="E37" s="138"/>
      <c r="F37" s="138"/>
      <c r="G37" s="138"/>
      <c r="H37" s="138"/>
      <c r="I37" s="138"/>
      <c r="J37" s="138"/>
      <c r="K37" s="138"/>
      <c r="L37" s="716"/>
      <c r="M37" s="711" t="s">
        <v>439</v>
      </c>
      <c r="N37" s="711">
        <v>12.488799</v>
      </c>
      <c r="O37" s="711">
        <v>11.336722740000001</v>
      </c>
    </row>
    <row r="38" spans="1:15" ht="10.5" customHeight="1">
      <c r="A38" s="593" t="s">
        <v>233</v>
      </c>
      <c r="B38" s="737">
        <v>10.524519250000001</v>
      </c>
      <c r="C38" s="737">
        <v>10.500089599999999</v>
      </c>
      <c r="D38" s="588">
        <f t="shared" si="0"/>
        <v>2.3266134795651983E-3</v>
      </c>
      <c r="E38" s="138"/>
      <c r="F38" s="138"/>
      <c r="G38" s="138"/>
      <c r="H38" s="138"/>
      <c r="I38" s="138"/>
      <c r="J38" s="138"/>
      <c r="K38" s="138"/>
      <c r="L38" s="717"/>
      <c r="M38" s="710" t="s">
        <v>101</v>
      </c>
      <c r="N38" s="711">
        <v>12.669626317500001</v>
      </c>
      <c r="O38" s="711">
        <v>12.5927930175</v>
      </c>
    </row>
    <row r="39" spans="1:15" ht="10.5" customHeight="1">
      <c r="A39" s="594" t="s">
        <v>235</v>
      </c>
      <c r="B39" s="736">
        <v>9.9414852749999998</v>
      </c>
      <c r="C39" s="736">
        <v>14.5104917025</v>
      </c>
      <c r="D39" s="586">
        <f t="shared" si="0"/>
        <v>-0.31487605803963281</v>
      </c>
      <c r="E39" s="138"/>
      <c r="F39" s="138"/>
      <c r="G39" s="138"/>
      <c r="H39" s="138"/>
      <c r="I39" s="138"/>
      <c r="J39" s="138"/>
      <c r="K39" s="138"/>
      <c r="L39" s="717"/>
      <c r="M39" s="711" t="s">
        <v>384</v>
      </c>
      <c r="N39" s="711">
        <v>12.987306969999999</v>
      </c>
      <c r="O39" s="711">
        <v>13.0702062675</v>
      </c>
    </row>
    <row r="40" spans="1:15" ht="10.5" customHeight="1">
      <c r="A40" s="591" t="s">
        <v>99</v>
      </c>
      <c r="B40" s="737">
        <v>9.7400855899999996</v>
      </c>
      <c r="C40" s="737">
        <v>18.370950002499999</v>
      </c>
      <c r="D40" s="588">
        <f t="shared" si="0"/>
        <v>-0.46981045679866706</v>
      </c>
      <c r="E40" s="138"/>
      <c r="F40" s="138"/>
      <c r="G40" s="138"/>
      <c r="H40" s="138"/>
      <c r="I40" s="138"/>
      <c r="J40" s="138"/>
      <c r="K40" s="138"/>
      <c r="L40" s="717"/>
      <c r="M40" s="710" t="s">
        <v>422</v>
      </c>
      <c r="N40" s="711">
        <v>13.107826415</v>
      </c>
      <c r="O40" s="711">
        <v>13.1609892075</v>
      </c>
    </row>
    <row r="41" spans="1:15" ht="10.5" customHeight="1">
      <c r="A41" s="592" t="s">
        <v>393</v>
      </c>
      <c r="B41" s="736">
        <v>6.2437652000000003</v>
      </c>
      <c r="C41" s="736">
        <v>6.4533672749999997</v>
      </c>
      <c r="D41" s="586">
        <f t="shared" si="0"/>
        <v>-3.2479489554544161E-2</v>
      </c>
      <c r="E41" s="138"/>
      <c r="F41" s="138"/>
      <c r="G41" s="138"/>
      <c r="H41" s="138"/>
      <c r="I41" s="138"/>
      <c r="J41" s="138"/>
      <c r="K41" s="138"/>
      <c r="M41" s="710" t="s">
        <v>116</v>
      </c>
      <c r="N41" s="711">
        <v>13.146740900000001</v>
      </c>
      <c r="O41" s="711">
        <v>13.060900607500001</v>
      </c>
    </row>
    <row r="42" spans="1:15" ht="10.5" customHeight="1">
      <c r="A42" s="591" t="s">
        <v>448</v>
      </c>
      <c r="B42" s="737">
        <v>5.8031445724999999</v>
      </c>
      <c r="C42" s="737">
        <v>3.176344555</v>
      </c>
      <c r="D42" s="588">
        <f t="shared" si="0"/>
        <v>0.82698837358971589</v>
      </c>
      <c r="E42" s="138"/>
      <c r="F42" s="138"/>
      <c r="G42" s="138"/>
      <c r="H42" s="138"/>
      <c r="I42" s="138"/>
      <c r="J42" s="138"/>
      <c r="K42" s="138"/>
      <c r="M42" s="712" t="s">
        <v>109</v>
      </c>
      <c r="N42" s="711">
        <v>16.832120234999998</v>
      </c>
      <c r="O42" s="711">
        <v>18.065279367500001</v>
      </c>
    </row>
    <row r="43" spans="1:15" ht="10.5" customHeight="1">
      <c r="A43" s="592" t="s">
        <v>430</v>
      </c>
      <c r="B43" s="736">
        <v>5.0939247500000002</v>
      </c>
      <c r="C43" s="736">
        <v>5.8084564274999995</v>
      </c>
      <c r="D43" s="586">
        <f t="shared" si="0"/>
        <v>-0.12301575925009367</v>
      </c>
      <c r="E43" s="138"/>
      <c r="F43" s="138"/>
      <c r="G43" s="138"/>
      <c r="H43" s="138"/>
      <c r="I43" s="138"/>
      <c r="J43" s="138"/>
      <c r="K43" s="138"/>
      <c r="M43" s="710" t="s">
        <v>95</v>
      </c>
      <c r="N43" s="711">
        <v>17.692417832500002</v>
      </c>
      <c r="O43" s="711">
        <v>26.319048575</v>
      </c>
    </row>
    <row r="44" spans="1:15" ht="10.5" customHeight="1">
      <c r="A44" s="591" t="s">
        <v>107</v>
      </c>
      <c r="B44" s="737">
        <v>4.9983784599999996</v>
      </c>
      <c r="C44" s="737">
        <v>4.8764394000000006</v>
      </c>
      <c r="D44" s="588">
        <f t="shared" si="0"/>
        <v>2.5005757274457086E-2</v>
      </c>
      <c r="E44" s="138"/>
      <c r="F44" s="138"/>
      <c r="G44" s="138"/>
      <c r="H44" s="138"/>
      <c r="I44" s="138"/>
      <c r="J44" s="138"/>
      <c r="K44" s="138"/>
      <c r="M44" s="710" t="s">
        <v>431</v>
      </c>
      <c r="N44" s="711">
        <v>19.000488259999997</v>
      </c>
      <c r="O44" s="711">
        <v>18.110857612499998</v>
      </c>
    </row>
    <row r="45" spans="1:15" ht="10.5" customHeight="1">
      <c r="A45" s="592" t="s">
        <v>447</v>
      </c>
      <c r="B45" s="736">
        <v>4.4773826725000001</v>
      </c>
      <c r="C45" s="736">
        <v>2.3865346024999998</v>
      </c>
      <c r="D45" s="586">
        <f t="shared" si="0"/>
        <v>0.8761021389799859</v>
      </c>
      <c r="E45" s="138"/>
      <c r="F45" s="138"/>
      <c r="G45" s="138"/>
      <c r="H45" s="138"/>
      <c r="I45" s="138"/>
      <c r="J45" s="138"/>
      <c r="K45" s="138"/>
      <c r="M45" s="710" t="s">
        <v>97</v>
      </c>
      <c r="N45" s="711">
        <v>29.2027009</v>
      </c>
      <c r="O45" s="711">
        <v>40.589682267500002</v>
      </c>
    </row>
    <row r="46" spans="1:15" ht="10.5" customHeight="1">
      <c r="A46" s="591" t="s">
        <v>105</v>
      </c>
      <c r="B46" s="737">
        <v>4.4283024475000001</v>
      </c>
      <c r="C46" s="737">
        <v>4.7377803075000005</v>
      </c>
      <c r="D46" s="588">
        <f t="shared" si="0"/>
        <v>-6.5321277035596315E-2</v>
      </c>
      <c r="E46" s="138"/>
      <c r="F46" s="138"/>
      <c r="G46" s="138"/>
      <c r="H46" s="138"/>
      <c r="I46" s="138"/>
      <c r="J46" s="138"/>
      <c r="K46" s="138"/>
      <c r="M46" s="711" t="s">
        <v>231</v>
      </c>
      <c r="N46" s="711">
        <v>30.032857675000002</v>
      </c>
      <c r="O46" s="711">
        <v>19.557200052500001</v>
      </c>
    </row>
    <row r="47" spans="1:15" ht="10.5" customHeight="1">
      <c r="A47" s="594" t="s">
        <v>104</v>
      </c>
      <c r="B47" s="736">
        <v>3.7944055849999998</v>
      </c>
      <c r="C47" s="736">
        <v>7.4996974325000005</v>
      </c>
      <c r="D47" s="586">
        <f t="shared" si="0"/>
        <v>-0.49405884448659065</v>
      </c>
      <c r="E47" s="138"/>
      <c r="F47" s="138"/>
      <c r="G47" s="138"/>
      <c r="H47" s="138"/>
      <c r="I47" s="138"/>
      <c r="J47" s="138"/>
      <c r="K47" s="138"/>
      <c r="M47" s="713" t="s">
        <v>96</v>
      </c>
      <c r="N47" s="711">
        <v>39.723141749999996</v>
      </c>
      <c r="O47" s="711">
        <v>73.593435999999997</v>
      </c>
    </row>
    <row r="48" spans="1:15" ht="10.5" customHeight="1">
      <c r="A48" s="591" t="s">
        <v>108</v>
      </c>
      <c r="B48" s="737">
        <v>3.5289202</v>
      </c>
      <c r="C48" s="737">
        <v>3.9109825825</v>
      </c>
      <c r="D48" s="588">
        <f t="shared" si="0"/>
        <v>-9.7689614934509894E-2</v>
      </c>
      <c r="E48" s="138"/>
      <c r="F48" s="138"/>
      <c r="G48" s="138"/>
      <c r="H48" s="138"/>
      <c r="I48" s="138"/>
      <c r="J48" s="138"/>
      <c r="K48" s="138"/>
      <c r="M48" s="710" t="s">
        <v>106</v>
      </c>
      <c r="N48" s="711">
        <v>41.066045692500005</v>
      </c>
      <c r="O48" s="711">
        <v>43.146944687499996</v>
      </c>
    </row>
    <row r="49" spans="1:15" ht="10.5" customHeight="1">
      <c r="A49" s="592" t="s">
        <v>445</v>
      </c>
      <c r="B49" s="736">
        <v>3.3501379999999998</v>
      </c>
      <c r="C49" s="736">
        <v>3.5959666000000001</v>
      </c>
      <c r="D49" s="586">
        <f t="shared" si="0"/>
        <v>-6.8362314599918816E-2</v>
      </c>
      <c r="E49" s="138"/>
      <c r="F49" s="138"/>
      <c r="G49" s="138"/>
      <c r="H49" s="138"/>
      <c r="I49" s="138"/>
      <c r="J49" s="138"/>
      <c r="K49" s="138"/>
      <c r="M49" s="710" t="s">
        <v>450</v>
      </c>
      <c r="N49" s="711">
        <v>47.188454057500003</v>
      </c>
      <c r="O49" s="711">
        <v>44.315105762499996</v>
      </c>
    </row>
    <row r="50" spans="1:15" ht="10.5" customHeight="1">
      <c r="A50" s="593" t="s">
        <v>110</v>
      </c>
      <c r="B50" s="737">
        <v>3.3025711824999999</v>
      </c>
      <c r="C50" s="737">
        <v>2.6829282049999996</v>
      </c>
      <c r="D50" s="588">
        <f t="shared" si="0"/>
        <v>0.23095771863936276</v>
      </c>
      <c r="E50" s="138"/>
      <c r="F50" s="138"/>
      <c r="G50" s="138"/>
      <c r="H50" s="138"/>
      <c r="I50" s="138"/>
      <c r="J50" s="138"/>
      <c r="K50" s="138"/>
      <c r="M50" s="710" t="s">
        <v>455</v>
      </c>
      <c r="N50" s="711">
        <v>47.923402017500003</v>
      </c>
      <c r="O50" s="711">
        <v>41.624914912500003</v>
      </c>
    </row>
    <row r="51" spans="1:15" ht="10.5" customHeight="1">
      <c r="A51" s="592" t="s">
        <v>446</v>
      </c>
      <c r="B51" s="736">
        <v>3.09292525</v>
      </c>
      <c r="C51" s="736">
        <v>3.2033306800000001</v>
      </c>
      <c r="D51" s="586">
        <f t="shared" si="0"/>
        <v>-3.446582355337735E-2</v>
      </c>
      <c r="E51" s="138"/>
      <c r="F51" s="138"/>
      <c r="G51" s="138"/>
      <c r="H51" s="138"/>
      <c r="I51" s="138"/>
      <c r="J51" s="138"/>
      <c r="K51" s="138"/>
      <c r="M51" s="710" t="s">
        <v>94</v>
      </c>
      <c r="N51" s="711">
        <v>53.042405499999994</v>
      </c>
      <c r="O51" s="711">
        <v>29.031294249999995</v>
      </c>
    </row>
    <row r="52" spans="1:15" ht="10.5" customHeight="1">
      <c r="A52" s="591" t="s">
        <v>229</v>
      </c>
      <c r="B52" s="737">
        <v>2.3344347499999998</v>
      </c>
      <c r="C52" s="737">
        <v>0.39049348</v>
      </c>
      <c r="D52" s="588">
        <f t="shared" si="0"/>
        <v>4.9781657558021193</v>
      </c>
      <c r="E52" s="138"/>
      <c r="F52" s="138"/>
      <c r="G52" s="138"/>
      <c r="H52" s="138"/>
      <c r="I52" s="138"/>
      <c r="J52" s="138"/>
      <c r="K52" s="138"/>
      <c r="M52" s="710" t="s">
        <v>408</v>
      </c>
      <c r="N52" s="711">
        <v>60.478934682499997</v>
      </c>
      <c r="O52" s="711">
        <v>59.271970699999997</v>
      </c>
    </row>
    <row r="53" spans="1:15" ht="10.5" customHeight="1">
      <c r="A53" s="592" t="s">
        <v>111</v>
      </c>
      <c r="B53" s="736">
        <v>2.2575873500000001</v>
      </c>
      <c r="C53" s="736">
        <v>2.3666678000000001</v>
      </c>
      <c r="D53" s="586">
        <f t="shared" si="0"/>
        <v>-4.6090308914499944E-2</v>
      </c>
      <c r="E53" s="138"/>
      <c r="F53" s="138"/>
      <c r="G53" s="138"/>
      <c r="H53" s="138"/>
      <c r="I53" s="138"/>
      <c r="J53" s="138"/>
      <c r="K53" s="138"/>
      <c r="M53" s="710" t="s">
        <v>93</v>
      </c>
      <c r="N53" s="711">
        <v>73.889684007499994</v>
      </c>
      <c r="O53" s="711">
        <v>71.997302307499993</v>
      </c>
    </row>
    <row r="54" spans="1:15" ht="10.5" customHeight="1">
      <c r="A54" s="591" t="s">
        <v>113</v>
      </c>
      <c r="B54" s="737">
        <v>2.2353242500000001</v>
      </c>
      <c r="C54" s="737">
        <v>2.1246458749999997</v>
      </c>
      <c r="D54" s="588">
        <f t="shared" si="0"/>
        <v>5.2092622258756549E-2</v>
      </c>
      <c r="E54" s="138"/>
      <c r="F54" s="138"/>
      <c r="G54" s="138"/>
      <c r="H54" s="138"/>
      <c r="I54" s="138"/>
      <c r="J54" s="138"/>
      <c r="K54" s="138"/>
      <c r="M54" s="711" t="s">
        <v>98</v>
      </c>
      <c r="N54" s="711">
        <v>78.771005127500004</v>
      </c>
      <c r="O54" s="711">
        <v>129.95889207499999</v>
      </c>
    </row>
    <row r="55" spans="1:15" ht="10.5" customHeight="1">
      <c r="A55" s="594" t="s">
        <v>112</v>
      </c>
      <c r="B55" s="736">
        <v>2.2291999999999996</v>
      </c>
      <c r="C55" s="736">
        <v>2.2706999999999997</v>
      </c>
      <c r="D55" s="586">
        <f t="shared" si="0"/>
        <v>-1.8276302461796012E-2</v>
      </c>
      <c r="E55" s="138"/>
      <c r="F55" s="138"/>
      <c r="G55" s="138"/>
      <c r="H55" s="138"/>
      <c r="I55" s="138"/>
      <c r="J55" s="138"/>
      <c r="K55" s="138"/>
      <c r="M55" s="710" t="s">
        <v>89</v>
      </c>
      <c r="N55" s="711">
        <v>90.826078187499988</v>
      </c>
      <c r="O55" s="711">
        <v>65.775956440000002</v>
      </c>
    </row>
    <row r="56" spans="1:15" ht="10.5" customHeight="1">
      <c r="A56" s="591" t="s">
        <v>409</v>
      </c>
      <c r="B56" s="737">
        <v>1.9526254274999999</v>
      </c>
      <c r="C56" s="737">
        <v>0.36941843000000002</v>
      </c>
      <c r="D56" s="588">
        <f t="shared" si="0"/>
        <v>4.2856740999630141</v>
      </c>
      <c r="E56" s="138"/>
      <c r="F56" s="138"/>
      <c r="G56" s="138"/>
      <c r="H56" s="138"/>
      <c r="I56" s="138"/>
      <c r="J56" s="138"/>
      <c r="K56" s="138"/>
      <c r="M56" s="710" t="s">
        <v>90</v>
      </c>
      <c r="N56" s="711">
        <v>111.74241649999998</v>
      </c>
      <c r="O56" s="711">
        <v>106.97428047</v>
      </c>
    </row>
    <row r="57" spans="1:15" ht="10.5" customHeight="1">
      <c r="A57" s="592" t="s">
        <v>103</v>
      </c>
      <c r="B57" s="736">
        <v>1.94137063</v>
      </c>
      <c r="C57" s="736">
        <v>7.5406091050000006</v>
      </c>
      <c r="D57" s="586">
        <f t="shared" si="0"/>
        <v>-0.74254458718557326</v>
      </c>
      <c r="E57" s="138"/>
      <c r="F57" s="138"/>
      <c r="G57" s="138"/>
      <c r="H57" s="138"/>
      <c r="I57" s="138"/>
      <c r="J57" s="138"/>
      <c r="K57" s="138"/>
      <c r="M57" s="711" t="s">
        <v>91</v>
      </c>
      <c r="N57" s="711">
        <v>113.03945</v>
      </c>
      <c r="O57" s="711">
        <v>107.22554574999999</v>
      </c>
    </row>
    <row r="58" spans="1:15" ht="10.5" customHeight="1">
      <c r="A58" s="591" t="s">
        <v>521</v>
      </c>
      <c r="B58" s="737">
        <v>1.0512335400000001</v>
      </c>
      <c r="C58" s="737">
        <v>1.66658325</v>
      </c>
      <c r="D58" s="588">
        <f t="shared" si="0"/>
        <v>-0.36922830587670907</v>
      </c>
      <c r="E58" s="138"/>
      <c r="F58" s="138"/>
      <c r="G58" s="138"/>
      <c r="H58" s="138"/>
      <c r="I58" s="138"/>
      <c r="J58" s="138"/>
      <c r="K58" s="138"/>
      <c r="M58" s="710" t="s">
        <v>92</v>
      </c>
      <c r="N58" s="711">
        <v>133.75907330000001</v>
      </c>
      <c r="O58" s="711">
        <v>131.39487875</v>
      </c>
    </row>
    <row r="59" spans="1:15" ht="10.5" customHeight="1">
      <c r="A59" s="592" t="s">
        <v>236</v>
      </c>
      <c r="B59" s="738">
        <v>1.0421827925</v>
      </c>
      <c r="C59" s="738">
        <v>1.6403910000000001E-2</v>
      </c>
      <c r="D59" s="595">
        <f t="shared" si="0"/>
        <v>62.532584152192982</v>
      </c>
      <c r="E59" s="138"/>
      <c r="F59" s="138"/>
      <c r="G59" s="138"/>
      <c r="H59" s="138"/>
      <c r="I59" s="138"/>
      <c r="J59" s="138"/>
      <c r="K59" s="138"/>
      <c r="M59" s="710" t="s">
        <v>234</v>
      </c>
      <c r="N59" s="711">
        <v>214.62843991999998</v>
      </c>
      <c r="O59" s="711">
        <v>228.84824375000002</v>
      </c>
    </row>
    <row r="60" spans="1:15" ht="10.5" customHeight="1">
      <c r="A60" s="596" t="s">
        <v>100</v>
      </c>
      <c r="B60" s="737">
        <v>0.68496994749999995</v>
      </c>
      <c r="C60" s="737">
        <v>17.791702910000001</v>
      </c>
      <c r="D60" s="588">
        <f t="shared" si="0"/>
        <v>-0.96150059660028353</v>
      </c>
      <c r="E60" s="138"/>
      <c r="F60" s="138"/>
      <c r="G60" s="138"/>
      <c r="H60" s="138"/>
      <c r="I60" s="138"/>
      <c r="J60" s="138"/>
      <c r="K60" s="138"/>
      <c r="M60" s="710" t="s">
        <v>88</v>
      </c>
      <c r="N60" s="711">
        <v>228.55121860499997</v>
      </c>
      <c r="O60" s="711">
        <v>243.72024154750002</v>
      </c>
    </row>
    <row r="61" spans="1:15" ht="10.5" customHeight="1">
      <c r="A61" s="592" t="s">
        <v>449</v>
      </c>
      <c r="B61" s="738">
        <v>0.56025199999999997</v>
      </c>
      <c r="C61" s="738">
        <v>0.31054206749999996</v>
      </c>
      <c r="D61" s="595">
        <f t="shared" si="0"/>
        <v>0.80410984093161564</v>
      </c>
      <c r="E61" s="138"/>
      <c r="F61" s="138"/>
      <c r="G61" s="138"/>
      <c r="H61" s="138"/>
      <c r="I61" s="138"/>
      <c r="J61" s="138"/>
      <c r="K61" s="138"/>
      <c r="M61" s="710" t="s">
        <v>230</v>
      </c>
      <c r="N61" s="711">
        <v>234.86939600250003</v>
      </c>
      <c r="O61" s="711">
        <v>290.2292862475</v>
      </c>
    </row>
    <row r="62" spans="1:15" ht="10.5" customHeight="1">
      <c r="A62" s="596" t="s">
        <v>237</v>
      </c>
      <c r="B62" s="737">
        <v>0.45871258250000002</v>
      </c>
      <c r="C62" s="737">
        <v>0</v>
      </c>
      <c r="D62" s="588" t="str">
        <f t="shared" si="0"/>
        <v/>
      </c>
      <c r="E62" s="138"/>
      <c r="F62" s="138"/>
      <c r="G62" s="138"/>
      <c r="H62" s="138"/>
      <c r="I62" s="138"/>
      <c r="J62" s="138"/>
      <c r="K62" s="138"/>
      <c r="M62" s="710" t="s">
        <v>232</v>
      </c>
      <c r="N62" s="711">
        <v>310.01301704250005</v>
      </c>
      <c r="O62" s="711">
        <v>323.40601878249998</v>
      </c>
    </row>
    <row r="63" spans="1:15" ht="10.5" customHeight="1">
      <c r="A63" s="592" t="s">
        <v>115</v>
      </c>
      <c r="B63" s="738">
        <v>0.44145900250000003</v>
      </c>
      <c r="C63" s="738">
        <v>3.384604495</v>
      </c>
      <c r="D63" s="595">
        <f t="shared" si="0"/>
        <v>-0.86956851143105274</v>
      </c>
      <c r="E63" s="138"/>
      <c r="F63" s="138"/>
      <c r="G63" s="138"/>
      <c r="H63" s="138"/>
      <c r="I63" s="138"/>
      <c r="J63" s="138"/>
      <c r="K63" s="138"/>
      <c r="M63" s="710" t="s">
        <v>85</v>
      </c>
      <c r="N63" s="711">
        <v>460.87017147749998</v>
      </c>
      <c r="O63" s="711">
        <v>220.10488226500001</v>
      </c>
    </row>
    <row r="64" spans="1:15" ht="10.5" customHeight="1">
      <c r="A64" s="596" t="s">
        <v>114</v>
      </c>
      <c r="B64" s="737">
        <v>0.18361670250000001</v>
      </c>
      <c r="C64" s="737">
        <v>0.40749669999999999</v>
      </c>
      <c r="D64" s="588">
        <f t="shared" si="0"/>
        <v>-0.54940321602604381</v>
      </c>
      <c r="E64" s="138"/>
      <c r="F64" s="138"/>
      <c r="G64" s="138"/>
      <c r="H64" s="138"/>
      <c r="I64" s="138"/>
      <c r="J64" s="138"/>
      <c r="K64" s="138"/>
      <c r="M64" s="710" t="s">
        <v>86</v>
      </c>
      <c r="N64" s="711">
        <v>467.36514999999991</v>
      </c>
      <c r="O64" s="711">
        <v>456.40198625000011</v>
      </c>
    </row>
    <row r="65" spans="1:15" ht="10.5" customHeight="1">
      <c r="A65" s="592" t="s">
        <v>522</v>
      </c>
      <c r="B65" s="738">
        <v>0.15665475000000001</v>
      </c>
      <c r="C65" s="738">
        <v>0.17689199999999999</v>
      </c>
      <c r="D65" s="595">
        <f>IF(C65=0,"",B65/C65-1)</f>
        <v>-0.11440455192999111</v>
      </c>
      <c r="E65" s="138"/>
      <c r="F65" s="138"/>
      <c r="G65" s="138"/>
      <c r="H65" s="138"/>
      <c r="I65" s="138"/>
      <c r="J65" s="138"/>
      <c r="K65" s="138"/>
      <c r="M65" s="710" t="s">
        <v>87</v>
      </c>
      <c r="N65" s="711">
        <v>537.19791023999994</v>
      </c>
      <c r="O65" s="711">
        <v>561.09198647999995</v>
      </c>
    </row>
    <row r="66" spans="1:15" ht="10.5" customHeight="1">
      <c r="A66" s="596" t="s">
        <v>117</v>
      </c>
      <c r="B66" s="737">
        <v>0</v>
      </c>
      <c r="C66" s="737">
        <v>0</v>
      </c>
      <c r="D66" s="588" t="str">
        <f>IF(C66=0,"",B66/C66-1)</f>
        <v/>
      </c>
      <c r="E66" s="138"/>
      <c r="F66" s="138"/>
      <c r="G66" s="138"/>
      <c r="H66" s="138"/>
      <c r="I66" s="138"/>
      <c r="J66" s="138"/>
      <c r="K66" s="138"/>
      <c r="M66" s="710" t="s">
        <v>392</v>
      </c>
      <c r="N66" s="711">
        <v>872.92927214250005</v>
      </c>
      <c r="O66" s="711">
        <v>743.38112655999998</v>
      </c>
    </row>
    <row r="67" spans="1:15" ht="10.5" customHeight="1">
      <c r="A67" s="592" t="s">
        <v>394</v>
      </c>
      <c r="B67" s="738"/>
      <c r="C67" s="738">
        <v>0.27635500000000002</v>
      </c>
      <c r="D67" s="595">
        <f>IF(C67=0,"",B67/C67-1)</f>
        <v>-1</v>
      </c>
      <c r="E67" s="138"/>
      <c r="F67" s="138"/>
      <c r="G67" s="138"/>
      <c r="H67" s="138"/>
      <c r="I67" s="138"/>
      <c r="J67" s="138"/>
      <c r="K67" s="138"/>
      <c r="M67" s="710"/>
      <c r="N67" s="711"/>
      <c r="O67" s="711"/>
    </row>
    <row r="68" spans="1:15" ht="10.5" customHeight="1">
      <c r="A68" s="597" t="s">
        <v>41</v>
      </c>
      <c r="B68" s="739">
        <f>+SUM(B5:B67)</f>
        <v>4526.4439845574971</v>
      </c>
      <c r="C68" s="739">
        <f>+SUM(C5:C67)</f>
        <v>4321.2422742750023</v>
      </c>
      <c r="D68" s="598">
        <f>IF(C68=0,"",B68/C68-1)</f>
        <v>4.7486740445934039E-2</v>
      </c>
      <c r="E68" s="138"/>
      <c r="F68" s="138"/>
      <c r="G68" s="138"/>
      <c r="H68" s="138"/>
      <c r="I68" s="138"/>
      <c r="J68" s="138"/>
      <c r="K68" s="138"/>
    </row>
    <row r="69" spans="1:15" ht="10.5" customHeight="1">
      <c r="E69" s="138"/>
      <c r="F69" s="138"/>
      <c r="G69" s="138"/>
      <c r="H69" s="138"/>
      <c r="I69" s="138"/>
      <c r="J69" s="138"/>
      <c r="K69" s="138"/>
      <c r="M69" s="710"/>
      <c r="N69" s="711"/>
      <c r="O69" s="711"/>
    </row>
    <row r="70" spans="1:15" ht="40.5" customHeight="1">
      <c r="A70" s="884" t="str">
        <f>"Cuadro N° 6: Participación de las empresas generadoras del COES en la producción de energía eléctrica (GWh) en "&amp;'1. Resumen'!Q4</f>
        <v>Cuadro N° 6: Participación de las empresas generadoras del COES en la producción de energía eléctrica (GWh) en febrero</v>
      </c>
      <c r="B70" s="884"/>
      <c r="C70" s="884"/>
      <c r="D70" s="410"/>
      <c r="E70" s="883" t="str">
        <f>"Gráfico N° 10: Comparación de producción energética (GWh) de las empresas generadoras del COES en "&amp;'1. Resumen'!Q4</f>
        <v>Gráfico N° 10: Comparación de producción energética (GWh) de las empresas generadoras del COES en febrero</v>
      </c>
      <c r="F70" s="883"/>
      <c r="G70" s="883"/>
      <c r="H70" s="883"/>
      <c r="I70" s="883"/>
      <c r="J70" s="883"/>
      <c r="K70" s="883"/>
    </row>
    <row r="71" spans="1:15">
      <c r="A71" s="877"/>
      <c r="B71" s="877"/>
      <c r="C71" s="877"/>
      <c r="D71" s="877"/>
      <c r="E71" s="877"/>
      <c r="F71" s="877"/>
      <c r="G71" s="877"/>
      <c r="H71" s="877"/>
      <c r="I71" s="877"/>
      <c r="J71" s="877"/>
      <c r="K71" s="877"/>
    </row>
    <row r="72" spans="1:15">
      <c r="A72" s="878"/>
      <c r="B72" s="878"/>
      <c r="C72" s="878"/>
      <c r="D72" s="878"/>
      <c r="E72" s="878"/>
      <c r="F72" s="878"/>
      <c r="G72" s="878"/>
      <c r="H72" s="878"/>
      <c r="I72" s="878"/>
      <c r="J72" s="878"/>
      <c r="K72" s="878"/>
    </row>
    <row r="73" spans="1:15">
      <c r="A73" s="877"/>
      <c r="B73" s="877"/>
      <c r="C73" s="877"/>
      <c r="D73" s="877"/>
      <c r="E73" s="877"/>
      <c r="F73" s="877"/>
      <c r="G73" s="877"/>
      <c r="H73" s="877"/>
      <c r="I73" s="877"/>
      <c r="J73" s="877"/>
      <c r="K73" s="877"/>
    </row>
    <row r="74" spans="1:15">
      <c r="A74" s="878"/>
      <c r="B74" s="878"/>
      <c r="C74" s="878"/>
      <c r="D74" s="878"/>
      <c r="E74" s="878"/>
      <c r="F74" s="878"/>
      <c r="G74" s="878"/>
      <c r="H74" s="878"/>
      <c r="I74" s="878"/>
      <c r="J74" s="878"/>
      <c r="K74" s="878"/>
    </row>
  </sheetData>
  <autoFilter ref="M3:O66" xr:uid="{00000000-0001-0000-0800-000000000000}"/>
  <mergeCells count="10">
    <mergeCell ref="A71:K71"/>
    <mergeCell ref="A72:K72"/>
    <mergeCell ref="A73:K73"/>
    <mergeCell ref="A74:K74"/>
    <mergeCell ref="A1:J1"/>
    <mergeCell ref="A3:A4"/>
    <mergeCell ref="B3:D3"/>
    <mergeCell ref="G3:J3"/>
    <mergeCell ref="E70:K70"/>
    <mergeCell ref="A70:C70"/>
  </mergeCells>
  <pageMargins left="0.30716666666666664" right="0.29908333333333331" top="0.88916666666666666" bottom="0.55774999999999997" header="0.31496062992125984" footer="0.31496062992125984"/>
  <pageSetup paperSize="9" scale="97" orientation="portrait" r:id="rId1"/>
  <headerFooter>
    <oddHeader>&amp;R&amp;7Informe de la Operación Mensual - febrero 2023
INFSGI-MES-02-2023
31/05/2023
Versión: 02</oddHeader>
    <oddFooter>&amp;LCOES, 2023&amp;RDirección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33</vt:i4>
      </vt:variant>
      <vt:variant>
        <vt:lpstr>Rangos con nombre</vt:lpstr>
      </vt:variant>
      <vt:variant>
        <vt:i4>24</vt:i4>
      </vt:variant>
    </vt:vector>
  </HeadingPairs>
  <TitlesOfParts>
    <vt:vector size="57" baseType="lpstr">
      <vt:lpstr>Portada</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29.ANEXO III-5</vt:lpstr>
      <vt:lpstr>30.ANEXO III-6</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'29.ANEXO III-5'!Área_de_impresión</vt:lpstr>
      <vt:lpstr>'30.ANEXO III-6'!Área_de_impresión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2023-06-01T14:40:16Z</cp:lastPrinted>
  <dcterms:created xsi:type="dcterms:W3CDTF">2018-02-13T14:18:17Z</dcterms:created>
  <dcterms:modified xsi:type="dcterms:W3CDTF">2023-06-01T15:52:06Z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