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3\7. JULIO\"/>
    </mc:Choice>
  </mc:AlternateContent>
  <xr:revisionPtr revIDLastSave="0" documentId="13_ncr:1_{B8A5DD1D-7F29-4053-84F9-CF159C2849FC}" xr6:coauthVersionLast="47" xr6:coauthVersionMax="47" xr10:uidLastSave="{00000000-0000-0000-0000-000000000000}"/>
  <bookViews>
    <workbookView xWindow="-108" yWindow="-108" windowWidth="23256" windowHeight="12576" tabRatio="753"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Contraportada" sheetId="59" r:id="rId30"/>
  </sheets>
  <definedNames>
    <definedName name="_xlnm._FilterDatabase" localSheetId="7" hidden="1">'6. FP RER'!$U$52:$W$53</definedName>
    <definedName name="_xlnm._FilterDatabase" localSheetId="8" hidden="1">'7. Generacion empresa'!$M$3:$O$66</definedName>
    <definedName name="_xlnm._FilterDatabase" localSheetId="10" hidden="1">'9. Pot. Empresa'!$M$6:$O$60</definedName>
    <definedName name="_xlnm.Print_Area" localSheetId="2">'1. Resumen'!$A$1:$M$51</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generación'!$A$1:$J$57</definedName>
    <definedName name="_xlnm.Print_Area" localSheetId="21">'20. ANEXOI-3'!$A$1:$G$54</definedName>
    <definedName name="_xlnm.Print_Area" localSheetId="22">'21. ANEXOII-1'!$A$1:$F$80</definedName>
    <definedName name="_xlnm.Print_Area" localSheetId="24">'23. ANEXOII-3'!$A$1:$F$69</definedName>
    <definedName name="_xlnm.Print_Area" localSheetId="26">'25.ANEXO III -1'!$A$1:$F$12</definedName>
    <definedName name="_xlnm.Print_Area" localSheetId="27">'26.ANEXO III-2'!$A$1:$F$11</definedName>
    <definedName name="_xlnm.Print_Area" localSheetId="28">'27.ANEXO III-3'!$A$1:$F$4</definedName>
    <definedName name="_xlnm.Print_Area" localSheetId="6">'5. RER'!$A$1:$K$63</definedName>
    <definedName name="_xlnm.Print_Area" localSheetId="7">'6. FP RER'!$A$1:$L$64</definedName>
    <definedName name="_xlnm.Print_Area" localSheetId="8">'7. Generacion empresa'!$A$1:$K$69</definedName>
    <definedName name="_xlnm.Print_Area" localSheetId="9">'8. Max Potencia'!$A$1:$K$62</definedName>
    <definedName name="_xlnm.Print_Area" localSheetId="10">'9. Pot. Empresa'!$A$1:$K$71</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0" i="12" l="1"/>
  <c r="K11" i="12"/>
  <c r="K12" i="12"/>
  <c r="K13" i="12"/>
  <c r="E11" i="9"/>
  <c r="J12" i="7" l="1"/>
  <c r="H12" i="7"/>
  <c r="G12" i="7"/>
  <c r="E12" i="7"/>
  <c r="D12" i="7"/>
  <c r="C12" i="7"/>
  <c r="B12" i="7"/>
  <c r="B67" i="11" l="1"/>
  <c r="I19" i="6"/>
  <c r="H19" i="6"/>
  <c r="C67" i="11" l="1"/>
  <c r="I9" i="22" l="1"/>
  <c r="I8" i="22"/>
  <c r="I7" i="22"/>
  <c r="C10" i="22"/>
  <c r="D10" i="22"/>
  <c r="E10" i="22"/>
  <c r="F10" i="22"/>
  <c r="G10" i="22"/>
  <c r="H10" i="22"/>
  <c r="D14" i="21"/>
  <c r="E14" i="21"/>
  <c r="F14" i="21"/>
  <c r="F79" i="36" l="1"/>
  <c r="C2" i="23" l="1"/>
  <c r="B10" i="22" l="1"/>
  <c r="J10" i="22" l="1"/>
  <c r="I10" i="6" l="1"/>
  <c r="H10" i="6"/>
  <c r="C32" i="16" l="1"/>
  <c r="F31" i="16" l="1"/>
  <c r="B30" i="6" l="1"/>
  <c r="G42" i="38" l="1"/>
  <c r="F42" i="38"/>
  <c r="C69" i="13" l="1"/>
  <c r="B69" i="13"/>
  <c r="D68" i="13"/>
  <c r="D67" i="13"/>
  <c r="D66" i="13"/>
  <c r="F18" i="16" l="1"/>
  <c r="G41" i="38" l="1"/>
  <c r="F71" i="13" l="1"/>
  <c r="A71" i="13"/>
  <c r="A57" i="7"/>
  <c r="F41" i="38" l="1"/>
  <c r="J14" i="12" l="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9" i="13"/>
  <c r="D50" i="13"/>
  <c r="D51" i="13"/>
  <c r="D52" i="13"/>
  <c r="D53" i="13"/>
  <c r="D54" i="13"/>
  <c r="D55" i="13"/>
  <c r="D56" i="13"/>
  <c r="D57" i="13"/>
  <c r="D58" i="13"/>
  <c r="D59" i="13"/>
  <c r="D60" i="13"/>
  <c r="D61" i="13"/>
  <c r="D62" i="13"/>
  <c r="D63" i="13"/>
  <c r="D64" i="13"/>
  <c r="D65" i="13"/>
  <c r="E29" i="6" l="1"/>
  <c r="D29" i="6"/>
  <c r="A43" i="10" l="1"/>
  <c r="F14" i="7"/>
  <c r="B11" i="9" l="1"/>
  <c r="C11" i="9"/>
  <c r="D11" i="9"/>
  <c r="A64" i="10" l="1"/>
  <c r="F54" i="46" l="1"/>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D66" i="11" l="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16" i="7" l="1"/>
  <c r="A58" i="12" l="1"/>
  <c r="F71" i="45" l="1"/>
  <c r="F70" i="45"/>
  <c r="F69" i="45"/>
  <c r="F67" i="45"/>
  <c r="F66" i="45"/>
  <c r="D24" i="6" l="1"/>
  <c r="F77" i="36" l="1"/>
  <c r="F76" i="36"/>
  <c r="F75" i="36"/>
  <c r="F74" i="36"/>
  <c r="F72" i="36"/>
  <c r="F71" i="36"/>
  <c r="E58" i="46" l="1"/>
  <c r="F5" i="45" l="1"/>
  <c r="F6" i="45"/>
  <c r="F8" i="45"/>
  <c r="F9" i="45"/>
  <c r="F10" i="45"/>
  <c r="F11" i="45"/>
  <c r="F12" i="45"/>
  <c r="F13" i="45"/>
  <c r="F14" i="45"/>
  <c r="F15" i="45"/>
  <c r="F16" i="45"/>
  <c r="F17" i="45"/>
  <c r="F18" i="45"/>
  <c r="F19" i="45"/>
  <c r="F22"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5" i="45"/>
  <c r="F68" i="45"/>
  <c r="I10" i="22" l="1"/>
  <c r="B16" i="7" l="1"/>
  <c r="C16" i="7"/>
  <c r="E16" i="7"/>
  <c r="E5" i="36" l="1"/>
  <c r="E4" i="36"/>
  <c r="F55" i="46" l="1"/>
  <c r="D5" i="11"/>
  <c r="D2" i="46" l="1"/>
  <c r="C2" i="46"/>
  <c r="D2" i="45"/>
  <c r="C2" i="45"/>
  <c r="C56" i="46" l="1"/>
  <c r="C58" i="46" s="1"/>
  <c r="D56" i="46"/>
  <c r="D58" i="46" s="1"/>
  <c r="F73"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6" i="11" l="1"/>
  <c r="F58" i="46" l="1"/>
  <c r="E4" i="45" l="1"/>
  <c r="E4" i="46" s="1"/>
  <c r="B14" i="12" l="1"/>
  <c r="F13" i="8"/>
  <c r="N14" i="18" l="1"/>
  <c r="J11" i="9" l="1"/>
  <c r="H11" i="9"/>
  <c r="G11" i="9"/>
  <c r="D6" i="16" l="1"/>
  <c r="C28" i="14" l="1"/>
  <c r="A35" i="22" l="1"/>
  <c r="F6" i="36" l="1"/>
  <c r="A69" i="11" l="1"/>
  <c r="F21" i="8" l="1"/>
  <c r="E12" i="9"/>
  <c r="F18" i="8" l="1"/>
  <c r="I18" i="12"/>
  <c r="F18" i="12"/>
  <c r="H14" i="12"/>
  <c r="G14" i="12"/>
  <c r="E14" i="12"/>
  <c r="D14" i="12"/>
  <c r="C14" i="12"/>
  <c r="F14" i="12" l="1"/>
  <c r="I14" i="12"/>
  <c r="K14" i="12"/>
  <c r="I14" i="7" l="1"/>
  <c r="K14" i="7"/>
  <c r="F15" i="7"/>
  <c r="I15" i="7"/>
  <c r="K15" i="7"/>
  <c r="C3" i="4"/>
  <c r="F7" i="16" l="1"/>
  <c r="F8" i="16"/>
  <c r="F9" i="16"/>
  <c r="F10" i="16"/>
  <c r="F11" i="16"/>
  <c r="F12" i="16"/>
  <c r="F13" i="16"/>
  <c r="F14" i="16"/>
  <c r="F15" i="16"/>
  <c r="F16" i="16"/>
  <c r="F17" i="16"/>
  <c r="F19" i="16"/>
  <c r="F20" i="16"/>
  <c r="F21" i="16"/>
  <c r="F22" i="16"/>
  <c r="F23" i="16"/>
  <c r="F24" i="16"/>
  <c r="F25" i="16"/>
  <c r="F26" i="16"/>
  <c r="F27" i="16"/>
  <c r="F28" i="16"/>
  <c r="F29" i="16"/>
  <c r="F30" i="16"/>
  <c r="F10" i="7"/>
  <c r="F12" i="7"/>
  <c r="D12" i="9" l="1"/>
  <c r="B47" i="4" l="1"/>
  <c r="A9" i="4"/>
  <c r="A48" i="21" l="1"/>
  <c r="A63" i="9" l="1"/>
  <c r="A35" i="9"/>
  <c r="A63" i="8"/>
  <c r="B49" i="4" l="1"/>
  <c r="F2" i="38" l="1"/>
  <c r="N29" i="18" l="1"/>
  <c r="N28" i="18"/>
  <c r="N27" i="18"/>
  <c r="N26" i="18"/>
  <c r="N25" i="18"/>
  <c r="N24" i="18"/>
  <c r="N23" i="18"/>
  <c r="N20" i="18"/>
  <c r="N19" i="18"/>
  <c r="N18" i="18"/>
  <c r="N17" i="18"/>
  <c r="N16" i="18"/>
  <c r="N15" i="18"/>
  <c r="N12" i="18"/>
  <c r="N11" i="18"/>
  <c r="N10" i="18"/>
  <c r="N9" i="18"/>
  <c r="H47" i="4" l="1"/>
  <c r="A50" i="22" l="1"/>
  <c r="B58" i="18"/>
  <c r="B40" i="18"/>
  <c r="B21" i="18"/>
  <c r="B18" i="12" l="1"/>
  <c r="B20" i="12" s="1"/>
  <c r="C18" i="12"/>
  <c r="D18" i="12"/>
  <c r="D20" i="12" s="1"/>
  <c r="E18" i="12"/>
  <c r="E20" i="12" s="1"/>
  <c r="G18" i="12"/>
  <c r="G20" i="12" s="1"/>
  <c r="H18" i="12"/>
  <c r="H20" i="12" s="1"/>
  <c r="J20" i="12"/>
  <c r="F26" i="6" l="1"/>
  <c r="F28" i="6"/>
  <c r="F11" i="14" l="1"/>
  <c r="F27" i="6" l="1"/>
  <c r="F25" i="6"/>
  <c r="E24" i="6" l="1"/>
  <c r="E69" i="11" l="1"/>
  <c r="C45" i="10"/>
  <c r="D3" i="36" l="1"/>
  <c r="C3" i="36"/>
  <c r="F2" i="37"/>
  <c r="F3" i="23"/>
  <c r="C1" i="37"/>
  <c r="C1" i="38" s="1"/>
  <c r="E14" i="22"/>
  <c r="A14" i="22"/>
  <c r="A11" i="22"/>
  <c r="A15" i="21"/>
  <c r="F6" i="21"/>
  <c r="E6" i="21"/>
  <c r="D6" i="21"/>
  <c r="B47" i="18"/>
  <c r="B28" i="18"/>
  <c r="B10" i="18"/>
  <c r="E6" i="16"/>
  <c r="B3" i="13"/>
  <c r="B4" i="11"/>
  <c r="C4" i="11" s="1"/>
  <c r="B3" i="11"/>
  <c r="G6" i="7"/>
  <c r="G4" i="8" s="1"/>
  <c r="G4" i="9" s="1"/>
  <c r="D7" i="7"/>
  <c r="E7" i="7" s="1"/>
  <c r="A57" i="6"/>
  <c r="D5" i="8" l="1"/>
  <c r="C7" i="7"/>
  <c r="B7" i="7" s="1"/>
  <c r="B5" i="8" s="1"/>
  <c r="D4" i="46"/>
  <c r="C4" i="46"/>
  <c r="D4" i="45"/>
  <c r="C4" i="45"/>
  <c r="D4" i="36"/>
  <c r="D5" i="36"/>
  <c r="C5" i="36"/>
  <c r="C4" i="36"/>
  <c r="D3" i="45" l="1"/>
  <c r="D3" i="46"/>
  <c r="C3" i="46"/>
  <c r="C3" i="45"/>
  <c r="C6" i="13"/>
  <c r="B6" i="13"/>
  <c r="C5" i="13"/>
  <c r="B5" i="13"/>
  <c r="C5" i="8" l="1"/>
  <c r="D5" i="9"/>
  <c r="B5" i="9"/>
  <c r="J22" i="8"/>
  <c r="E22" i="8"/>
  <c r="D22" i="8"/>
  <c r="C22" i="8"/>
  <c r="B22" i="8"/>
  <c r="K21" i="8"/>
  <c r="K20" i="8"/>
  <c r="I20" i="8"/>
  <c r="F20" i="8"/>
  <c r="F8" i="8"/>
  <c r="A2" i="8"/>
  <c r="A4" i="7"/>
  <c r="C5" i="9" l="1"/>
  <c r="F40" i="9"/>
  <c r="F29" i="6"/>
  <c r="B12" i="9"/>
  <c r="G22" i="8"/>
  <c r="H22" i="8"/>
  <c r="I21" i="8"/>
  <c r="I20" i="4" l="1"/>
  <c r="C20" i="4"/>
  <c r="F27" i="14"/>
  <c r="F26" i="14"/>
  <c r="F25" i="14"/>
  <c r="F24" i="14"/>
  <c r="F23" i="14"/>
  <c r="F22" i="14"/>
  <c r="F21" i="14"/>
  <c r="F20" i="14"/>
  <c r="F19" i="14"/>
  <c r="F18" i="14"/>
  <c r="F17" i="14"/>
  <c r="F16" i="14"/>
  <c r="F15" i="14"/>
  <c r="F14" i="14"/>
  <c r="F13" i="14"/>
  <c r="F12" i="14"/>
  <c r="F10" i="14"/>
  <c r="F9" i="14"/>
  <c r="F8" i="14"/>
  <c r="F7" i="14"/>
  <c r="K16" i="12"/>
  <c r="I13" i="12"/>
  <c r="F13" i="12"/>
  <c r="I12" i="12"/>
  <c r="F12" i="12"/>
  <c r="I11" i="12"/>
  <c r="F11" i="12"/>
  <c r="I10" i="12"/>
  <c r="C20"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F10" i="12"/>
  <c r="K17" i="12"/>
  <c r="C12" i="9"/>
  <c r="K7" i="9"/>
  <c r="I6" i="9"/>
  <c r="F7" i="8"/>
  <c r="I12" i="7"/>
  <c r="E5" i="8"/>
  <c r="I18" i="8" l="1"/>
  <c r="E5" i="9"/>
  <c r="I20" i="12"/>
  <c r="K20" i="12"/>
  <c r="F41" i="9"/>
  <c r="M40" i="9" s="1"/>
  <c r="F20" i="12"/>
  <c r="K18" i="8"/>
  <c r="J12" i="9"/>
  <c r="G12" i="9"/>
  <c r="K12" i="7"/>
  <c r="I11" i="9"/>
  <c r="H12" i="9"/>
  <c r="F11" i="9"/>
  <c r="K11" i="9"/>
  <c r="D67" i="11" l="1"/>
  <c r="D69" i="13"/>
</calcChain>
</file>

<file path=xl/sharedStrings.xml><?xml version="1.0" encoding="utf-8"?>
<sst xmlns="http://schemas.openxmlformats.org/spreadsheetml/2006/main" count="1649" uniqueCount="738">
  <si>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</si>
  <si>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</si>
  <si>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</si>
  <si>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</si>
  <si>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</si>
  <si>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</si>
  <si>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</si>
  <si>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</si>
  <si>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</si>
  <si>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</si>
  <si>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</si>
  <si>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</si>
  <si>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</si>
  <si>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</si>
  <si>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</si>
  <si>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</si>
  <si>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</si>
  <si>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</si>
  <si>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</si>
  <si>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</si>
  <si>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</si>
  <si>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</si>
  <si>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</si>
  <si>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</si>
  <si>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</si>
  <si>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</si>
  <si>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</si>
  <si>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</si>
  <si>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</si>
  <si>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</si>
  <si>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</si>
  <si>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</si>
  <si>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</si>
  <si>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</si>
  <si>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</si>
  <si>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</si>
  <si>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</si>
  <si>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</si>
  <si>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</si>
  <si>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</si>
  <si>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</si>
  <si>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</si>
  <si>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</si>
  <si>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</si>
  <si>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</si>
  <si>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</si>
  <si>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</si>
  <si>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</si>
  <si>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</si>
  <si>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</si>
  <si>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</si>
  <si>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</si>
  <si>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</si>
  <si>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</si>
  <si>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</si>
  <si>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</si>
  <si>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</si>
  <si>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</si>
  <si>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</si>
  <si>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</si>
  <si>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</si>
  <si>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</si>
  <si>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</si>
  <si>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</si>
  <si>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</si>
  <si>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</si>
  <si>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</si>
  <si>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</si>
  <si>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</si>
  <si>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</si>
  <si>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</si>
  <si>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</si>
  <si>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</si>
  <si>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</si>
  <si>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</si>
  <si>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</si>
  <si>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</si>
  <si>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</si>
  <si>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</si>
  <si>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</si>
  <si>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</si>
  <si>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</si>
  <si>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</si>
  <si>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</si>
  <si>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</si>
  <si>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</si>
  <si>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</si>
  <si>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</si>
  <si>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</si>
  <si>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</si>
  <si>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</si>
  <si>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</si>
  <si>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</si>
  <si>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</si>
  <si>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</si>
  <si>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</si>
  <si>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</si>
  <si>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</si>
  <si>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</si>
  <si>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</si>
  <si>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</si>
  <si>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</si>
  <si>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</si>
  <si>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</si>
  <si>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</si>
  <si>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</si>
  <si>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</si>
  <si>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</si>
  <si>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</si>
  <si>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</si>
  <si>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</si>
  <si>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</si>
  <si>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</si>
  <si>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</si>
  <si>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</si>
  <si>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</si>
  <si>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</si>
  <si>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</si>
  <si>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</si>
  <si>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</si>
  <si>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</si>
  <si>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</si>
  <si>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</si>
  <si>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</si>
  <si>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</si>
  <si>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</si>
  <si>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</si>
  <si>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</si>
  <si>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</si>
  <si>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</si>
  <si>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</si>
  <si>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</si>
  <si>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</si>
  <si>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</si>
  <si>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</si>
  <si>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</si>
  <si>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</si>
  <si>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</si>
  <si>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</si>
  <si>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</si>
  <si>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</si>
  <si>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</si>
  <si>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</si>
  <si>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</si>
  <si>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</si>
  <si>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</si>
  <si>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</si>
  <si>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</si>
  <si>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</si>
  <si>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Tulumayo</t>
  </si>
  <si>
    <t>Descarga Lagunas STATKRAFT</t>
  </si>
  <si>
    <t>Descarga Lagunas ENEL</t>
  </si>
  <si>
    <t>Descargado Viconga</t>
  </si>
  <si>
    <t>Ingreso Toma Cahua (Pativilca)</t>
  </si>
  <si>
    <t>Descargado Pomacocha</t>
  </si>
  <si>
    <t>Natural Santa</t>
  </si>
  <si>
    <t>Natural Chancay</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</si>
  <si>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</si>
  <si>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</si>
  <si>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</si>
  <si>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</si>
  <si>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</si>
  <si>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</si>
  <si>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</si>
  <si>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</si>
  <si>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</si>
  <si>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</si>
  <si>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</si>
  <si>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</si>
  <si>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</si>
  <si>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</si>
  <si>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</si>
  <si>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</si>
  <si>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</si>
  <si>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</si>
  <si>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</si>
  <si>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</si>
  <si>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</si>
  <si>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</si>
  <si>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</si>
  <si>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</si>
  <si>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</si>
  <si>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</si>
  <si>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</si>
  <si>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</si>
  <si>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</si>
  <si>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</si>
  <si>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</si>
  <si>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</si>
  <si>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</si>
  <si>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</si>
  <si>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</si>
  <si>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</si>
  <si>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</si>
  <si>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</si>
  <si>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</si>
  <si>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</si>
  <si>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</si>
  <si>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</si>
  <si>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</si>
  <si>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</si>
  <si>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</si>
  <si>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</si>
  <si>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</si>
  <si>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</si>
  <si>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</si>
  <si>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</si>
  <si>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</si>
  <si>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</si>
  <si>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</si>
  <si>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</si>
  <si>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</si>
  <si>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</si>
  <si>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</si>
  <si>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</si>
  <si>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</si>
  <si>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</si>
  <si>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</si>
  <si>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</si>
  <si>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</si>
  <si>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</si>
  <si>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</si>
  <si>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</si>
  <si>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</si>
  <si>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</si>
  <si>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</si>
  <si>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</si>
  <si>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</si>
  <si>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</si>
  <si>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</si>
  <si>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</si>
  <si>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</si>
  <si>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</si>
  <si>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</si>
  <si>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</si>
  <si>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</si>
  <si>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</si>
  <si>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</si>
  <si>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</si>
  <si>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</si>
  <si>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</si>
  <si>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</si>
  <si>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</si>
  <si>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</si>
  <si>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</si>
  <si>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</si>
  <si>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</si>
  <si>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</si>
  <si>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</si>
  <si>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</si>
  <si>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</si>
  <si>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</si>
  <si>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</si>
  <si>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</si>
  <si>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</si>
  <si>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</si>
  <si>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</si>
  <si>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</si>
  <si>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</si>
  <si>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MANTARO</t>
  </si>
  <si>
    <t>TULUMAYO</t>
  </si>
  <si>
    <t>TARMA</t>
  </si>
  <si>
    <t>TURBINADO CHARCANI V</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</si>
  <si>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</si>
  <si>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</si>
  <si>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</si>
  <si>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</si>
  <si>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</si>
  <si>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</si>
  <si>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</si>
  <si>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</si>
  <si>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</si>
  <si>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</si>
  <si>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</si>
  <si>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</si>
  <si>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</si>
  <si>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</si>
  <si>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</si>
  <si>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</si>
  <si>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</si>
  <si>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</si>
  <si>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</si>
  <si>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</si>
  <si>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</si>
  <si>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</si>
  <si>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</si>
  <si>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</si>
  <si>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</si>
  <si>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</si>
  <si>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</si>
  <si>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</si>
  <si>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</si>
  <si>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</si>
  <si>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</si>
  <si>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</si>
  <si>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</si>
  <si>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</si>
  <si>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</si>
  <si>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</si>
  <si>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YUNCAN</t>
  </si>
  <si>
    <t>C.T. CHILCA 1</t>
  </si>
  <si>
    <t>C.T. CHILCA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</si>
  <si>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</si>
  <si>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</si>
  <si>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</si>
  <si>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</si>
  <si>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</si>
  <si>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</si>
  <si>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</si>
  <si>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</si>
  <si>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</si>
  <si>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</si>
  <si>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</si>
  <si>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</si>
  <si>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</si>
  <si>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</si>
  <si>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</si>
  <si>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</si>
  <si>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</si>
  <si>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</si>
  <si>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</si>
  <si>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</si>
  <si>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</si>
  <si>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</si>
  <si>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</si>
  <si>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</si>
  <si>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</si>
  <si>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</si>
  <si>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</si>
  <si>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</si>
  <si>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</si>
  <si>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</si>
  <si>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</si>
  <si>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</si>
  <si>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</si>
  <si>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</si>
  <si>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</si>
  <si>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</si>
  <si>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</si>
  <si>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</si>
  <si>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</si>
  <si>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</si>
  <si>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</si>
  <si>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</si>
  <si>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</si>
  <si>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</si>
  <si>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</si>
  <si>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</si>
  <si>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</si>
  <si>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</si>
  <si>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</si>
  <si>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</si>
  <si>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</si>
  <si>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</si>
  <si>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</si>
  <si>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</si>
  <si>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</si>
  <si>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</si>
  <si>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</si>
  <si>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</si>
  <si>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</si>
  <si>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</si>
  <si>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</si>
  <si>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</si>
  <si>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</si>
  <si>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</si>
  <si>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</si>
  <si>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</si>
  <si>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</si>
  <si>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</si>
  <si>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</si>
  <si>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</si>
  <si>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</si>
  <si>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</si>
  <si>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</si>
  <si>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</si>
  <si>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</si>
  <si>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</si>
  <si>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</si>
  <si>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</si>
  <si>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</si>
  <si>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</si>
  <si>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</si>
  <si>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</si>
  <si>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</si>
  <si>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</si>
  <si>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</si>
  <si>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</si>
  <si>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</si>
  <si>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</si>
  <si>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</si>
  <si>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</si>
  <si>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C.H. ÁNGEL II</t>
  </si>
  <si>
    <t>C.H. ÁNGEL III</t>
  </si>
  <si>
    <t>C.H. ÁNGEL I</t>
  </si>
  <si>
    <t>C.H. HER 1</t>
  </si>
  <si>
    <t>Lagunas Rajucolta (ORAZUL)</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</si>
  <si>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</si>
  <si>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</si>
  <si>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</si>
  <si>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</si>
  <si>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</si>
  <si>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</si>
  <si>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</si>
  <si>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</si>
  <si>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</si>
  <si>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</si>
  <si>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</si>
  <si>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</si>
  <si>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</si>
  <si>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</si>
  <si>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</si>
  <si>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</si>
  <si>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</si>
  <si>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</si>
  <si>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</si>
  <si>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</si>
  <si>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</si>
  <si>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</si>
  <si>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</si>
  <si>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</si>
  <si>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</si>
  <si>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</si>
  <si>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</si>
  <si>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</si>
  <si>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</si>
  <si>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</si>
  <si>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</si>
  <si>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</si>
  <si>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</si>
  <si>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</si>
  <si>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</si>
  <si>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</si>
  <si>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</si>
  <si>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</si>
  <si>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</si>
  <si>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</si>
  <si>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</si>
  <si>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</si>
  <si>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C.T. CALLAO</t>
  </si>
  <si>
    <t>C.H. MANTA I</t>
  </si>
  <si>
    <t>HIDRANDINA</t>
  </si>
  <si>
    <t>MAJES</t>
  </si>
  <si>
    <t>REPARTICION</t>
  </si>
  <si>
    <t>GR PAINO</t>
  </si>
  <si>
    <t>GR TARUCA</t>
  </si>
  <si>
    <t>ATRIA</t>
  </si>
  <si>
    <t>EMGE JUNÍN</t>
  </si>
  <si>
    <t>CELEPSA RENOVABLES</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</si>
  <si>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</si>
  <si>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</si>
  <si>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</si>
  <si>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</si>
  <si>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</si>
  <si>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</si>
  <si>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</si>
  <si>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</si>
  <si>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</si>
  <si>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</si>
  <si>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</si>
  <si>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</si>
  <si>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</si>
  <si>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</si>
  <si>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</si>
  <si>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</si>
  <si>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</si>
  <si>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</si>
  <si>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</si>
  <si>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</si>
  <si>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</si>
  <si>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</si>
  <si>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</si>
  <si>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</si>
  <si>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</si>
  <si>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</si>
  <si>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</si>
  <si>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</si>
  <si>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</si>
  <si>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</si>
  <si>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</si>
  <si>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</si>
  <si>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</si>
  <si>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</si>
  <si>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</si>
  <si>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</si>
  <si>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</si>
  <si>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</si>
  <si>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</si>
  <si>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</si>
  <si>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</si>
  <si>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</si>
  <si>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</si>
  <si>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</si>
  <si>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</si>
  <si>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</si>
  <si>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</si>
  <si>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</si>
  <si>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</si>
  <si>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</si>
  <si>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</si>
  <si>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</si>
  <si>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</si>
  <si>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</si>
  <si>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</si>
  <si>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</si>
  <si>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</si>
  <si>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</si>
  <si>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</si>
  <si>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</si>
  <si>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</si>
  <si>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</si>
  <si>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</si>
  <si>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</si>
  <si>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</si>
  <si>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19:45</t>
  </si>
  <si>
    <t>2.2.  CONCLUSIÓN DE OPERACIÓN COMERCIAL EN EL SEIN</t>
  </si>
  <si>
    <t>CENTRALES SANTA ROSA</t>
  </si>
  <si>
    <t>COLCA SOLAR</t>
  </si>
  <si>
    <t>Total CENTRALES SANTA ROSA</t>
  </si>
  <si>
    <t>Total COLCA SOLAR</t>
  </si>
  <si>
    <t>Var (%)
2022/2021</t>
  </si>
  <si>
    <t>Var. (2022/2021)</t>
  </si>
  <si>
    <t>C.H. SANTA ROSA I</t>
  </si>
  <si>
    <t>C.H. SANTA ROSA II</t>
  </si>
  <si>
    <t>C.S. YARUCAYA</t>
  </si>
  <si>
    <t>C.H. LA VIRGEN</t>
  </si>
  <si>
    <t>20:00</t>
  </si>
  <si>
    <t>INDEPENDENCIA</t>
  </si>
  <si>
    <t>T-30  T3-261  T4-261</t>
  </si>
  <si>
    <t>Natural Tarma</t>
  </si>
  <si>
    <t>Descargado Yuracmayo</t>
  </si>
  <si>
    <t>TAMBORAQUE (RÍMAC)</t>
  </si>
  <si>
    <t>SHEQUE (SANTA EULALIA)</t>
  </si>
  <si>
    <t>Ingreso Toma Sheque (Santa Eulalia)</t>
  </si>
  <si>
    <t>Ingreso Toma Tamboraque (Rímac)</t>
  </si>
  <si>
    <t>NATURAL ARICOTA</t>
  </si>
  <si>
    <t>NATURAL VILCANOTA</t>
  </si>
  <si>
    <t>NATURAL SAN GABÁN</t>
  </si>
  <si>
    <t>Diesel2/Residual500</t>
  </si>
  <si>
    <t>Var (%)
2023/2022</t>
  </si>
  <si>
    <t>NORTE</t>
  </si>
  <si>
    <t>M.C.H. TUPURI</t>
  </si>
  <si>
    <t xml:space="preserve">C.T. ILO 2  </t>
  </si>
  <si>
    <t>C.T. LAS FLORES</t>
  </si>
  <si>
    <t>2023 / 2022</t>
  </si>
  <si>
    <t>00:15</t>
  </si>
  <si>
    <t>Gráfico N°13: Evolución semanal del volumen de las lagunas de ENEL durante los años 2020 - 2023</t>
  </si>
  <si>
    <t>Gráfico N°14: Evolución semanal del volumen del lago JUNÍN durante los años 2020 - 2023</t>
  </si>
  <si>
    <t>Gráfico N°15: Evolución semanal del volumen de los embalses de EGASA durante los años 2020 - 2023</t>
  </si>
  <si>
    <t>Gráfico N°16: Evolución del promedio semanal de caudales de los ríos SANTA, CHANCAY y PATIVILCA en los años 2020 - 2023.</t>
  </si>
  <si>
    <t>Gráfico N°19: Evolución del promedio semanal de caudales de las cuencas CHILI, ARICOTA, VILCANOTA Y SAN GABÁN en los años 2020 - 2023.</t>
  </si>
  <si>
    <t>Gráfico N°18: Evolución del promedio semanal de caudales de los ríos MANTARO, TULUMAYO y TARMA  en los años 2020 - 2023.</t>
  </si>
  <si>
    <t>Gráfico N°17: Evolución del promedio semanal de caudales de los ríos RÍMAC y SANTA EULALIA en los años 2020 - 2023.</t>
  </si>
  <si>
    <t>Variación 2023/2022 (GWh)</t>
  </si>
  <si>
    <t>Variación 2023/2022 (MW)</t>
  </si>
  <si>
    <t>Empresa</t>
  </si>
  <si>
    <t>Recurso Energético</t>
  </si>
  <si>
    <t>Tipo de Tecnologia</t>
  </si>
  <si>
    <t>Central</t>
  </si>
  <si>
    <t>Unidad</t>
  </si>
  <si>
    <t>Tensión  
(kV)</t>
  </si>
  <si>
    <t>Potencia Instalada (MW)</t>
  </si>
  <si>
    <t xml:space="preserve">Potencia Efectiva  (MW) </t>
  </si>
  <si>
    <t>Vapor</t>
  </si>
  <si>
    <t>TV</t>
  </si>
  <si>
    <t>SDF</t>
  </si>
  <si>
    <t xml:space="preserve">TV </t>
  </si>
  <si>
    <t>C.T. Oquendo</t>
  </si>
  <si>
    <t>16.02.2023</t>
  </si>
  <si>
    <t>2. MODIFICACIÓN DE LA OFERTA DE GENERACIÓN ELÉCTRICA DEL SEIN EN EL 2023</t>
  </si>
  <si>
    <t>19:00</t>
  </si>
  <si>
    <t>Var. (2023/2022)</t>
  </si>
  <si>
    <t>Nota: La generación de energia de la TV de C.T. Oquendo producto del vapor de agua sumistrado por Sudamericana de Fibras S.A. es considerada en el recurso de Gas Natural de Camisea</t>
  </si>
  <si>
    <t>Fecha de Ingreso</t>
  </si>
  <si>
    <t>Fecha de Retiro</t>
  </si>
  <si>
    <t>TG1</t>
  </si>
  <si>
    <t>SAN JUAN - LOS INDUSTRIALES</t>
  </si>
  <si>
    <t>L-2003  L-2004</t>
  </si>
  <si>
    <t>SANTA ROSA N. - CHAVARRÍA</t>
  </si>
  <si>
    <t>18:45</t>
  </si>
  <si>
    <t>12:30</t>
  </si>
  <si>
    <t>20:30</t>
  </si>
  <si>
    <t>20:15</t>
  </si>
  <si>
    <t>CONCESIONARIA LINEA DE TRANSMISION CCNCM S.A.C.</t>
  </si>
  <si>
    <t>ELECTRONOROESTE S.A.</t>
  </si>
  <si>
    <t>282.77</t>
  </si>
  <si>
    <t xml:space="preserve">EGESUR </t>
  </si>
  <si>
    <t>C.H. Quitaracsa</t>
  </si>
  <si>
    <t>C.H. Aricota 2</t>
  </si>
  <si>
    <t>G1; G2</t>
  </si>
  <si>
    <t>Viento</t>
  </si>
  <si>
    <t>AEROGENERADOR</t>
  </si>
  <si>
    <t xml:space="preserve">C.E. Punta Lomitas </t>
  </si>
  <si>
    <t>16.06.2023</t>
  </si>
  <si>
    <t>24.05.2023</t>
  </si>
  <si>
    <t>TRUJILLO NORTE - CHIMBOTE 1</t>
  </si>
  <si>
    <t>CHILCA - PLANICIE</t>
  </si>
  <si>
    <t>28.06.2023</t>
  </si>
  <si>
    <t>15.06.2023</t>
  </si>
  <si>
    <t>G1</t>
  </si>
  <si>
    <t>(1) Inicio de Operación comercial de la unidad TV de C.T. Oquendo, propiedad de SDF Energía, desde el 16/02/2023</t>
  </si>
  <si>
    <t>(2) Operación por pruebas de la C.E. Punta Lomitas Expansión, propiedad de ENGIE</t>
  </si>
  <si>
    <t>(3) Operación por pruebas de la C.S. Clemesí propiedad de ENEL GREEN.</t>
  </si>
  <si>
    <t>C.E. PUNTA LOMITAS EXP. (2)</t>
  </si>
  <si>
    <t>C.S. CLEMESI  (3)</t>
  </si>
  <si>
    <t>C.E. PUNTA LOMITAS_EXP (2)</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</si>
  <si>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las centrales C.S. Yarucaya y C.E PUnta Lomitas</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</si>
  <si>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centrales C.S. Yarucaya y C.E. Punta Lomitas</t>
  </si>
  <si>
    <t>24.03.2023</t>
  </si>
  <si>
    <t>(7) Inicio de Operación comercial de la  C.E. Punta Lomitas, propiedad de ENGIE, desde el 16/06/2023</t>
  </si>
  <si>
    <t>(8)  Inicio de Operación comercial de la unidad TG1  de C.T. Oquendo, propiedad de SDF Energía, desde el 28/06/2023</t>
  </si>
  <si>
    <t>C.T. OQUENDO (1) (4) (8)</t>
  </si>
  <si>
    <t>(4) Conclusión de Operación Comercial de la TG1 de C.T. Oquendo, propiedad de SDF Energía, con fecha 24/03/2024</t>
  </si>
  <si>
    <t>(5) Conclusión de Operación Comercial de la C.H. Aricota 2, propiedad de EGESUR,  con fecha 24/05/2023</t>
  </si>
  <si>
    <t>(6) Conclusión de Operación Comercial de la C.H. Quitaracsa, propiedad de ENGIE, con fecha 15/06/2024</t>
  </si>
  <si>
    <t>C.H. ARICOTA II (5)</t>
  </si>
  <si>
    <t>C.H. QUITARACSA (6)</t>
  </si>
  <si>
    <t>C.E. PUNTA LOMITAS (7)</t>
  </si>
  <si>
    <t>1.1. Producción de energía eléctrica en julio de 2023 en comparación al mismo mes del año anterior</t>
  </si>
  <si>
    <t>julio</t>
  </si>
  <si>
    <t>El total de la producción de energía eléctrica de la empresas generadoras integrantes del COES en el mes de julio 2023 fue de 4 805,62  GWh, lo que representa un incremento de 108,57 GWh (2,31%) en comparación con el año 2022.</t>
  </si>
  <si>
    <t>La producción de electricidad con centrales hidroeléctricas durante el mes de julio 2023 fue de 1 675,42 GWh (15,32% menor al registrado durante julio del año 2022).</t>
  </si>
  <si>
    <t>La producción de electricidad con centrales termoeléctricas durante el mes de julio 2023 fue de 2 872,89 GWh, 15,52% mayor al registrado durante julio del año 2022. La participación del gas natural de Camisea fue de 49,52%, mientras que las del gas que proviene de los yacimientos de Aguaytía y Malacas fue del 2,29%, la producción con diesel, residual, carbón, biogás y bagazo tuvieron una intervención del 7,20%, 0,09%, 0,00%, 0,12%, 0,56% respectivamente.</t>
  </si>
  <si>
    <t>La producción de energía eléctrica con centrales eólicas fue de 188,25 GWh y con centrales solares fue de 69,06 GWh, los cuales tuvieron una participación de 3,92% y 1,44% respectivamente.</t>
  </si>
  <si>
    <t>11/07/2023</t>
  </si>
  <si>
    <t>01/07/2023</t>
  </si>
  <si>
    <t>21:30</t>
  </si>
  <si>
    <t>02/07/2023</t>
  </si>
  <si>
    <t>00:30</t>
  </si>
  <si>
    <t>03/07/2023</t>
  </si>
  <si>
    <t>04/07/2023</t>
  </si>
  <si>
    <t>05/07/2023</t>
  </si>
  <si>
    <t>06/07/2023</t>
  </si>
  <si>
    <t>07/07/2023</t>
  </si>
  <si>
    <t>08/07/2023</t>
  </si>
  <si>
    <t>20:45</t>
  </si>
  <si>
    <t>09/07/2023</t>
  </si>
  <si>
    <t>10/07/2023</t>
  </si>
  <si>
    <t>12/07/2023</t>
  </si>
  <si>
    <t>13/07/2023</t>
  </si>
  <si>
    <t>14/07/2023</t>
  </si>
  <si>
    <t>15/07/2023</t>
  </si>
  <si>
    <t>16/07/2023</t>
  </si>
  <si>
    <t>17/07/2023</t>
  </si>
  <si>
    <t>18/07/2023</t>
  </si>
  <si>
    <t>11:15</t>
  </si>
  <si>
    <t>19/07/2023</t>
  </si>
  <si>
    <t>20/07/2023</t>
  </si>
  <si>
    <t>21/07/2023</t>
  </si>
  <si>
    <t>15:00</t>
  </si>
  <si>
    <t>22/07/2023</t>
  </si>
  <si>
    <t>23/07/2023</t>
  </si>
  <si>
    <t>24/07/2023</t>
  </si>
  <si>
    <t>25/07/2023</t>
  </si>
  <si>
    <t>26/07/2023</t>
  </si>
  <si>
    <t>27/07/2023</t>
  </si>
  <si>
    <t>28/07/2023</t>
  </si>
  <si>
    <t>29/07/2023</t>
  </si>
  <si>
    <t>30/07/2023</t>
  </si>
  <si>
    <t>23:15</t>
  </si>
  <si>
    <t>31/07/2023</t>
  </si>
  <si>
    <t xml:space="preserve">ELECTRO DUNAS                                     </t>
  </si>
  <si>
    <t>L. INDEPENDENCIA - PISCO L-6605</t>
  </si>
  <si>
    <t>30/07/2023 07:10</t>
  </si>
  <si>
    <t>Desconectó la línea L-6605 (Independencia - Pisco) de 60 kV por falla bifásica entre las fases "S" y "T" a 38.68 km de la S.E. Independencia, debido a causa no informada por ELECTRO DUNAS, titular del equipo. Como consecuencia se interrumpió el suministro de las SS.EE. Pisco y Alto La Luna con un total de 8.67 MW. A las 07:12:45 h, se puso en servicio la línea y se procedió a recuperar el suministro interrumpido.</t>
  </si>
  <si>
    <t>ISA PERU</t>
  </si>
  <si>
    <t>L. AGUAYTÍA - TINGO MARÍA L-2251</t>
  </si>
  <si>
    <t>28/07/2023 22:34</t>
  </si>
  <si>
    <t>Se produjo la desconexión de la línea L-2251 (Tingo María - Aguaytía) de 220 kV por falla de muy alta impedancia en la fase "R" entre las estructuras T33 y T34, debido a presuntas actividades de tala de arboles realizadas por pobladores de la zona, según lo informado por ISA PERÚ, titular del equipo. Como consecuencia se interrumpieron los suministros de las SS.EE. Aguaytía y Pucallpa con un total de 44.16 MW. Así mismo, desconectó la C.T. Aguaytía con 85 MW. A las 22:44 h, la C.T. R.F. Pucallpa energizó la barra de 60 kV de la S.E. Pucallpa ISA para su operación en sistema aislado con la carga de la S.E. Pucallpa y Aguaytía. La línea L-2251 quedó indisponible para su inspección. A las 07:31 h del 29.07.2023, se coordinó rechazo manual de carga de 8.37 MW debido a déficit de generación en el sistema aislado de las SS.EE. Pucallpa y Aguaytía (se consideró el rechazo del 100% de carga de los usuarios libres de la zona). A las 09:14 h del 29.07.2023, se realizó una maniobra de conexión de la L-2251, sin embargo, desconectó nuevamente y quedó indisponible para su revisión. A las 11:33 h del 29.07.2023, se coordinó con Electro Ucayali rechazar 0.5 MW de usuarios regulados de la zona. A las 15:37 h del 29.07.2023, se conectó la línea y se recuperó todo el suministro interrumpido.</t>
  </si>
  <si>
    <t>ELECTRO PUNO</t>
  </si>
  <si>
    <t>L. PUNO - POMATA - ILAVE L-6027</t>
  </si>
  <si>
    <t>28/07/2023 17:02</t>
  </si>
  <si>
    <t>Desconectó la línea L-6027 (Puno - Pomata - Ilave) de 60 kV por falla debido a fuertes vientos en la zona, según lo informado por  ELECTRO PUNO, titular del equipo. Como consecuencia se interrumpió el suministro de las subestaciones Pomata e Ilave con una carga de 3.2 MW. A las 17:05:18 h, se conectó la línea.</t>
  </si>
  <si>
    <t>CONELSUR LT SAC</t>
  </si>
  <si>
    <t>L. SANTA ROSA A. - GLORIA L-6434</t>
  </si>
  <si>
    <t>27/07/2023 21:10</t>
  </si>
  <si>
    <t xml:space="preserve">Desconectó la línea L-6434 (Santa Rosa - Gloria) de 60 kV por falla bifásica entre las fases "R" y "S" a 2.12 km de la S.E. Santa Rosa Antigua, debido a contacto de objeto extraño con los conductores de la torre T-133, según lo informado por CONELSUR, titular de la línea. Como consecuencia se interrumpió el suministro de Mepsa con 1.8 MW. La línea quedó fuera de servicio para su inspección. A las 00:02 h del día 29/07/2023 se conectó la línea. </t>
  </si>
  <si>
    <t>S.E. MOYOPAMPA S.E.</t>
  </si>
  <si>
    <t>27/07/2023 13:37</t>
  </si>
  <si>
    <t>Desconectó la S.E. Moyopampa 60 kV por actuación de la protección falla interruptor (50BF) del relé diferencial de barras, debido a error humano durante las pruebas del relé de respaldo en la celda CL-6055 en la S.E. Moyopampa, según lo informado por CONELSUR, titular de la subestación. Como consecuencia se interrumpió el suministro de las SS.EE. Chosica, Surco y San Mateo con un total de 13.07 MW, y salió de servicio la C.H. Moyopampa con 64.86 MW. A las 14:20 h, se energizó la S.E. Moyopampa mediante la conexión de la celda CL-6111. A las 14:29 h, se puso en servicio la línea L-6731 (Moyopampa - Chosica) y se procedió a recuperar la carga interrumpida. A partir de las 16:12 h la C.H. Moyopampa sincronizó con el SEIN.</t>
  </si>
  <si>
    <t xml:space="preserve">SINERSA                                           </t>
  </si>
  <si>
    <t>L. POECHOS - SULLANA L-6668</t>
  </si>
  <si>
    <t>23/07/2023 13:49</t>
  </si>
  <si>
    <t>Desconectó la línea L-6668 (Sullana - Poechos) de 60 kV por falla bifásica entre las fases "R y S", cuya causa se encuentra en investigación, según lo informado por SINERSA, titular de la línea. Como consecuencia se interrumpió el suministro de las SS.EE. Poechos y Las Lomas con una carga de 10 MW. Asimismo, desconectaron las CC.HH Poechos I y II con un total de 16.4 MW. A las 13:57:45 h, se conectó en servicio la línea y se procedió a recuperar la carga interrumpida. A las 14:04 h y 14:15 h las CC.HH Poechos I y II respectivamente, sincronizaron con el SEIN.</t>
  </si>
  <si>
    <t>L. CHIMBOTE SUR - NEPEÑA L-1112</t>
  </si>
  <si>
    <t>23/07/2023 12:22</t>
  </si>
  <si>
    <t>Se produjo la desconexión de la línea L-1112 (Chimbote Sur - Nepeña) de 138 kV por falla monofásica en la fase "T" a 11.8 km de la S.E. Chimbote Sur, debido a causa que se encuenta en evaluación, según lo informado por HIDRANDINA, titular de la línea. Como consecuencia se interrumpieron los suministros de las SS.EE. Nepeña, Casma y San Jacinto con un total de 9.46 MW. A las 12:27:12 h, se conectó la línea y se restableció el suministro interrumpido.</t>
  </si>
  <si>
    <t>COMPAÑIA TRANSMISORA ANDINA S.A.</t>
  </si>
  <si>
    <t>L. HUALLANCA - HUARAZ OESTE L-1127</t>
  </si>
  <si>
    <t>22/07/2023 08:41</t>
  </si>
  <si>
    <t>Desconectó la línea L-1127 (Huallanca - Huaraz Oeste) de 138 kV, por falla monofásica en la fase "T" a 64 km de la S.E Huallanca, cuya causa no ha sido informada por CTA, titular del equipo. Como consecuencia, se interrumpió la S.E. Ticapampa con 5.95 MW. Asimismo, desconectó la C.H Pariac con un total de 1.28 MW. A las 09:00 h, se conectó la línea y se recuperó la carga interrumpida. A las 09:41 h inició la sincronización de los generadores de la C.H Pariac.</t>
  </si>
  <si>
    <t>L. CACLIC - BELAUNDE TERRY L-2194</t>
  </si>
  <si>
    <t>19/07/2023 15:19</t>
  </si>
  <si>
    <t>Se produjo la desconexión de la línea L-2194 (Cáclic – Belaunde Terry) de 220 kV por falla monofásica en la fase "S", debido a descargas atmosféricas en la zona de Chachapoyas, de acuerdo con lo informado por CONCESIONARIA DE LÍNEA DE TRANSMISIÓN CCNCM, titular de la línea. Como consecuencia desconectaron las líneas L-6091 (Moyobamba – Rioja) de 60 kV y L-3301 (Pongo de Caynarachi – Yurimaguas) de 33 kV por actuación del Esquema de Rechazo de Carga por Mínima Tensión, y se interrumpieron los suministros de las SS.EE. Rioja, Cemento Selva, Nueva Cajamarca, Pongo de Caynarachi y Yurimaguas con un de total 22.858 MW. 
A las 15:36 h, se conectó la línea L-2194 y se inició las maniobras para restablecer el suministro interrumpido.</t>
  </si>
  <si>
    <t>L. TRUJILLO NORTE - SANTIAGO DE CAO L-1118</t>
  </si>
  <si>
    <t>18/07/2023 02:05</t>
  </si>
  <si>
    <t>Se produjo la desconexión de la línea L-1118 (Trujillo Norte - Santiago de Cao) de 138 kV por falla monofásica en la fase "R", debido a bajo nivel de aislamiento en la estructura N° 85 por condiciones climáticas de intensa humedad y neblina en la zona, según lo informado por HIDRANDINA, titular de la línea. Como consecuencia se interrumpió el suministro de las S.E. Santiago de Cao con 13.54 MW. A las 02:30 h, se energizó la línea y se procedió a recuperar los suministros interrumpidos.</t>
  </si>
  <si>
    <t>ELECTRO ORIENTE</t>
  </si>
  <si>
    <t>L. CUTERVO - NUEVA JAÉN L-1138</t>
  </si>
  <si>
    <t>14/07/2023 19:28</t>
  </si>
  <si>
    <t>Se produjo la desconexión de la línea L-1138 (Cutervo - Nueva Jaén) de 138 kV por falla externa en la línea de 60 kV, la cual fue originada por rotura de conductor de la fase "T" correspondiente a la línea L-60171 (Muyo - Bagua), según lo informado por ELECTRO ORIENTE, titular de la línea. Como consecuencia se interrumpió el suministro de la S.E. Nueva Jaén con un total de 32.2 MW. A las 19:44 h, se conectó la línea y se recuperó el suministro interrumpido.</t>
  </si>
  <si>
    <t>MINERA ARUNTANI</t>
  </si>
  <si>
    <t>L. PUNO - TUCARI L-6007</t>
  </si>
  <si>
    <t>15/07/2023 05:42</t>
  </si>
  <si>
    <t>Se produjo la desconexión de la línea L-6007 (Puno – Tucari) de 60 kV por falla monofásica en la fase "R", debido a posible sabotaje que causó una avería en la línea, según lo informado por MINERA ARUNTANI, titular de la línea. Como consecuencia se interrumpió el suministro de la S.E. Tucari con un total de 0.148 MW. A las 14:40 h se conectó la línea y se procedió a normalizar el suministro interrumpido.</t>
  </si>
  <si>
    <t>14/07/2023 17:32</t>
  </si>
  <si>
    <t xml:space="preserve">Se produjo la desconexión de la línea la L-6007 (Puno – Tucari) de 60 kV por falla monofásica en la fase "R",  originado por acto vandálico, según lo informado por MINERA ARUNTANI, titular de la línea. Como consecuencia se interrumpió el suministro de la S.E. Tucari con un total de 0.118 MW. A las 17:48 h, se conectó la línea y se procedió a normalizar el suministro interrumpido. </t>
  </si>
  <si>
    <t>L. PARAMONGA N. - 09 DE OCTUBRE L-6655</t>
  </si>
  <si>
    <t>10/07/2023 06:13</t>
  </si>
  <si>
    <t>Desconectó la línea L-6655 (Paramonga Nueva - 9 de Octubre) de 60 kV, por falla monofásica en la fase "R" a 77.5 km de la S.E. Paramonga Nueva, cuya causa se encuentra en investigación, según lo informado por HIDRANDINA, titular de la línea. Como consecuencia se interrumpió el suministro de la S.E. Huarmey y S.E. Puerto Antamina con un total de 4.7 MW. A las 08:19:34 h, se conectó la línea y se procedió a recuperar el suministro interrumpido.</t>
  </si>
  <si>
    <t>10/07/2023 01:42</t>
  </si>
  <si>
    <t>Desconectó la línea L-6655 (Paramonga Nueva - 9 de Octubre) de 60 kV por falla  monofásica en la fase "R" a 89.6 km de la S.E. Paramonga Existente, debido a causa que se encuentra en investigación, según lo informado por HIDRANDINA, titular de la línea. Como consecuencia se interrumpió la carga de la S.E. Huarmey y S.E. Puerto Antamina con un total de 4.72 MW. A las 02:45:50 h, se conectó la línea L-6655 y se coordinó recuperar la carga interrumpida.</t>
  </si>
  <si>
    <t>08/07/2023 17:02</t>
  </si>
  <si>
    <t>Se produjo la desconexión de la línea L-6007 (Puno  - Tucari) de 60 kV  por falla monofásica en la fase "S", debido a posible sabotaje en la estructura N° 306, según lo informado por Minera Aruntani, titular del equipo. Como consecuencia se interrumpió el suministro de la S.E. Tucari con 0.12 MW. A las 07:41 h del día 09/07/23, se energizó la línea y se procedió a retomar la carga interrumpida.</t>
  </si>
  <si>
    <t>07/07/2023 17:30</t>
  </si>
  <si>
    <t xml:space="preserve">Se produjo la desconexión de la línea L-6007 (Puno - Tucari) de 60 kV por falla monofásica en la fase "R", por probable sabotaje en la estructura N° 306, según lo informado por MINERA ARUNTANI, titular de la línea. Como consecuencia se interrumpió 0.15 MW en la S.E. Tucari. El 08.07.2023 a las 07:27 h se conectó la línea L-6007. </t>
  </si>
  <si>
    <t>STATKRAFT S.A</t>
  </si>
  <si>
    <t>L. PARAMONGA N. - PARAMONGA E. L-1101</t>
  </si>
  <si>
    <t>07/07/2023 17:39</t>
  </si>
  <si>
    <t>Se produjo la desconexión de las líneas L-1101 (Paramonga Nueva - Paramonga Existente) en la S.E Paramonga Nueva y L-1033 (Paramonga Existente - Cahua) en la S.E Cahua de 138 kV, por falla bifásica entre las fases "R y S" en el seccionador de barra de la celda CL-1011 en la S.E Paramonga Existente 138 kV, debido a la apertura intempestiva del seccionador de barra, según lo informado por STATKRAFT, titular de los equipos. Como consecuencia se interrumpió 23.06 MW en la barra de 13.8 kV de la S.E Paramonga Existente. Asimismo, se produjo la desconexión del generador G2 de la C.H Cahua con 20.12 MW. Por otro lado, el generador G1 de la C.H Cahua quedó operando en sistema aislado con 0.3 MW con la carga de los centros poblados aledaños y de sus servicios auxiliares. Cabe señalar que previo al evento la línea L-1102 (Paramonga Existente - Cahua) de 138 kV se encontraba fuera de servicio por mantenimiento. A las 18:00 h, entró en servicio la línea L-1101 y a las 18:11 h, se energizó la barra de 13.8 kV y se procedió a recuperar la carga interrumpida. A las 18:51 h, se conectó el generador G2 de la C.H. Cahua.</t>
  </si>
  <si>
    <t>S.E. TRUJILLO NOROESTE TP-A047</t>
  </si>
  <si>
    <t>04/07/2023 03:03</t>
  </si>
  <si>
    <t>Desconectó el transformador TP-A047 de 138/22.9/10 kV de la S.E. Trujillo Noroeste por actuación indebida de su protección Buchholz, según lo informado por Hidrandina, titular del equipo. Como consecuencia se interrumpió el suministro parcial de la Ciudad de Trujillo con 15.21 MW. A las 05:59:11 h se conectó el transformador TP-A047 y se procedió a recuperar el suministro interrumpido.</t>
  </si>
  <si>
    <t>L. ZORRITOS - TUMBES L-6665A</t>
  </si>
  <si>
    <t>01/07/2023 09:44</t>
  </si>
  <si>
    <t>Desconectó la línea L-6665 (Zorritos - Tumbes) de 60 kV por falla monofásica en la fase "R" a 23.5 km de la S.E.  Zorritos, debido a contacto de conductor de fase con una cometa en la estructura N°77, según lo informado por ELECTRONOROESTE, titular de la línea. Como consecuencia, se interrumpió el suministro de las subestaciones Tumbes, Puerto Pizarro y Zarumilla con una carga de 23.08 MW. A las 10:08:51 h, la línea se puso en servicio y se procedió a recuperar la carga interrumpida.</t>
  </si>
  <si>
    <t>SUB ESTACIÓN</t>
  </si>
  <si>
    <t>TR  3D</t>
  </si>
  <si>
    <t>LÍNEA DE TRANSMISIÓN</t>
  </si>
  <si>
    <t>L-2232  L-2233</t>
  </si>
  <si>
    <t>L-657</t>
  </si>
  <si>
    <t>SANTA ROSA A. - HUACHIPA</t>
  </si>
  <si>
    <t>L-2018  L-2011</t>
  </si>
  <si>
    <t>L-2211</t>
  </si>
  <si>
    <t>ICA - MARCONA</t>
  </si>
  <si>
    <t>L-2104; L-2105; L-2106; L-2107; L-2108; L-2109; L-2110; L-2111</t>
  </si>
  <si>
    <t>VOLUMEN ÚTIL
31-07-2023</t>
  </si>
  <si>
    <t>VOLUMEN ÚTIL
31-07-2022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</si>
</sst>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6">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sz val="8"/>
      <color rgb="FF002060"/>
      <name val="Arial"/>
      <family val="2"/>
    </font>
    <font>
      <sz val="9"/>
      <name val="Calibri"/>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0">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3" tint="0.39994506668294322"/>
      </left>
      <right style="thin">
        <color theme="3" tint="0.39991454817346722"/>
      </right>
      <top style="thin">
        <color theme="3" tint="0.39991454817346722"/>
      </top>
      <bottom/>
      <diagonal/>
    </border>
    <border>
      <left style="thin">
        <color theme="3" tint="0.39991454817346722"/>
      </left>
      <right style="hair">
        <color theme="3" tint="0.39985351115451523"/>
      </right>
      <top style="thin">
        <color theme="3" tint="0.39991454817346722"/>
      </top>
      <bottom/>
      <diagonal/>
    </border>
    <border>
      <left style="thin">
        <color theme="3" tint="0.39994506668294322"/>
      </left>
      <right style="thin">
        <color theme="3" tint="0.39991454817346722"/>
      </right>
      <top/>
      <bottom/>
      <diagonal/>
    </border>
    <border>
      <left style="thin">
        <color theme="3" tint="0.39991454817346722"/>
      </left>
      <right style="hair">
        <color theme="3" tint="0.39985351115451523"/>
      </right>
      <top/>
      <bottom/>
      <diagonal/>
    </border>
    <border>
      <left style="thin">
        <color theme="3" tint="0.39994506668294322"/>
      </left>
      <right style="thin">
        <color theme="3" tint="0.39991454817346722"/>
      </right>
      <top/>
      <bottom style="thin">
        <color theme="3" tint="0.39994506668294322"/>
      </bottom>
      <diagonal/>
    </border>
    <border>
      <left style="thin">
        <color theme="3" tint="0.39991454817346722"/>
      </left>
      <right style="hair">
        <color theme="3" tint="0.39985351115451523"/>
      </right>
      <top/>
      <bottom style="thin">
        <color theme="3" tint="0.39994506668294322"/>
      </bottom>
      <diagonal/>
    </border>
    <border>
      <left style="hair">
        <color theme="4"/>
      </left>
      <right style="hair">
        <color theme="4"/>
      </right>
      <top style="hair">
        <color theme="4"/>
      </top>
      <bottom/>
      <diagonal/>
    </border>
    <border>
      <left style="hair">
        <color theme="4"/>
      </left>
      <right style="hair">
        <color theme="4"/>
      </right>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s>
  <cellStyleXfs count="12">
    <xf numFmtId="0" fontId="0" fillId="0" borderId="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953">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1"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1"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0"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0"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0"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1"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1" applyFont="1" applyAlignment="1">
      <alignment horizontal="right" vertical="center"/>
    </xf>
    <xf numFmtId="167" fontId="5" fillId="0" borderId="0" xfId="1" applyNumberFormat="1" applyFont="1" applyAlignment="1">
      <alignment horizontal="right" vertical="center"/>
    </xf>
    <xf numFmtId="170"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1" quotePrefix="1" applyNumberFormat="1" applyFont="1" applyAlignment="1">
      <alignment horizontal="left" vertical="center"/>
    </xf>
    <xf numFmtId="167" fontId="13" fillId="0" borderId="0" xfId="1"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1" applyNumberFormat="1" applyFont="1" applyFill="1" applyBorder="1" applyAlignment="1">
      <alignment horizontal="right" vertical="center"/>
    </xf>
    <xf numFmtId="167" fontId="13" fillId="0" borderId="13" xfId="1" applyNumberFormat="1" applyFont="1" applyBorder="1" applyAlignment="1">
      <alignment horizontal="right" vertical="center"/>
    </xf>
    <xf numFmtId="167" fontId="21" fillId="4" borderId="16" xfId="1" applyNumberFormat="1" applyFont="1" applyFill="1" applyBorder="1" applyAlignment="1">
      <alignment horizontal="right" vertical="center"/>
    </xf>
    <xf numFmtId="167" fontId="13" fillId="4" borderId="10" xfId="1" applyNumberFormat="1" applyFont="1" applyFill="1" applyBorder="1" applyAlignment="1">
      <alignment horizontal="right" vertical="center"/>
    </xf>
    <xf numFmtId="167" fontId="21" fillId="4" borderId="15" xfId="1"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1"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1"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0"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0"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0"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0"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1" applyNumberFormat="1" applyFont="1" applyBorder="1" applyAlignment="1">
      <alignment horizontal="right" vertical="center"/>
    </xf>
    <xf numFmtId="10" fontId="21" fillId="4" borderId="13" xfId="1" applyNumberFormat="1" applyFont="1" applyFill="1" applyBorder="1" applyAlignment="1">
      <alignment horizontal="right" vertical="center"/>
    </xf>
    <xf numFmtId="10" fontId="21" fillId="0" borderId="13" xfId="1" applyNumberFormat="1" applyFont="1" applyBorder="1" applyAlignment="1">
      <alignment horizontal="right" vertical="center"/>
    </xf>
    <xf numFmtId="10" fontId="21" fillId="0" borderId="37" xfId="1" applyNumberFormat="1" applyFont="1" applyBorder="1" applyAlignment="1">
      <alignment horizontal="right" vertical="center"/>
    </xf>
    <xf numFmtId="10" fontId="21" fillId="0" borderId="10"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6" xfId="1"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0" applyFont="1" applyFill="1" applyAlignment="1">
      <alignment horizontal="right" vertical="center"/>
    </xf>
    <xf numFmtId="43" fontId="13" fillId="0" borderId="0" xfId="10" applyFont="1" applyAlignment="1">
      <alignment horizontal="right" vertical="center"/>
    </xf>
    <xf numFmtId="10" fontId="21" fillId="0" borderId="0" xfId="1"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1" applyNumberFormat="1" applyFont="1" applyBorder="1" applyAlignment="1">
      <alignment horizontal="right"/>
    </xf>
    <xf numFmtId="10" fontId="21" fillId="4" borderId="31" xfId="1" applyNumberFormat="1" applyFont="1" applyFill="1" applyBorder="1" applyAlignment="1">
      <alignment horizontal="right" vertical="center"/>
    </xf>
    <xf numFmtId="10" fontId="21" fillId="0" borderId="31" xfId="1" applyNumberFormat="1" applyFont="1" applyBorder="1" applyAlignment="1">
      <alignment horizontal="right"/>
    </xf>
    <xf numFmtId="10" fontId="21" fillId="0" borderId="34" xfId="1" applyNumberFormat="1" applyFont="1" applyBorder="1" applyAlignment="1">
      <alignment horizontal="right"/>
    </xf>
    <xf numFmtId="10" fontId="21" fillId="0" borderId="28" xfId="1" applyNumberFormat="1" applyFont="1" applyBorder="1" applyAlignment="1">
      <alignment horizontal="right"/>
    </xf>
    <xf numFmtId="10" fontId="21" fillId="0" borderId="33" xfId="1" applyNumberFormat="1" applyFont="1" applyBorder="1" applyAlignment="1">
      <alignment horizontal="right"/>
    </xf>
    <xf numFmtId="0" fontId="21" fillId="0" borderId="23" xfId="0" quotePrefix="1" applyFont="1" applyBorder="1" applyAlignment="1">
      <alignment horizontal="left" vertical="center"/>
    </xf>
    <xf numFmtId="10" fontId="21" fillId="0" borderId="40" xfId="1" applyNumberFormat="1" applyFont="1" applyBorder="1" applyAlignment="1">
      <alignment horizontal="right" vertical="center"/>
    </xf>
    <xf numFmtId="10" fontId="21" fillId="0" borderId="39" xfId="1"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1" applyNumberFormat="1" applyFont="1" applyBorder="1" applyAlignment="1">
      <alignment horizontal="right" vertical="center"/>
    </xf>
    <xf numFmtId="167" fontId="21" fillId="0" borderId="40"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0" applyFont="1" applyBorder="1" applyAlignment="1">
      <alignment horizontal="right"/>
    </xf>
    <xf numFmtId="43" fontId="13" fillId="0" borderId="28" xfId="10" applyFont="1" applyBorder="1" applyAlignment="1">
      <alignment horizontal="right"/>
    </xf>
    <xf numFmtId="43" fontId="13" fillId="0" borderId="29" xfId="10" applyFont="1" applyBorder="1" applyAlignment="1">
      <alignment horizontal="right"/>
    </xf>
    <xf numFmtId="43" fontId="13" fillId="4" borderId="30" xfId="10" applyFont="1" applyFill="1" applyBorder="1" applyAlignment="1">
      <alignment horizontal="right" vertical="center"/>
    </xf>
    <xf numFmtId="43" fontId="13" fillId="4" borderId="31" xfId="10" applyFont="1" applyFill="1" applyBorder="1" applyAlignment="1">
      <alignment horizontal="right" vertical="center"/>
    </xf>
    <xf numFmtId="43" fontId="13" fillId="0" borderId="30" xfId="10" applyFont="1" applyBorder="1" applyAlignment="1">
      <alignment horizontal="right" vertical="center"/>
    </xf>
    <xf numFmtId="43" fontId="13" fillId="0" borderId="31" xfId="10" applyFont="1" applyBorder="1" applyAlignment="1">
      <alignment horizontal="right" vertical="center"/>
    </xf>
    <xf numFmtId="43" fontId="21" fillId="4" borderId="38" xfId="10" applyFont="1" applyFill="1" applyBorder="1" applyAlignment="1">
      <alignment horizontal="right" vertical="center"/>
    </xf>
    <xf numFmtId="43" fontId="21" fillId="4" borderId="39" xfId="10" applyFont="1" applyFill="1" applyBorder="1" applyAlignment="1">
      <alignment horizontal="right" vertical="center"/>
    </xf>
    <xf numFmtId="43" fontId="13" fillId="0" borderId="0" xfId="10"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0"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0" applyFont="1" applyBorder="1" applyAlignment="1">
      <alignment horizontal="right" vertical="center"/>
    </xf>
    <xf numFmtId="43" fontId="13" fillId="0" borderId="11" xfId="10" applyFont="1" applyBorder="1" applyAlignment="1">
      <alignment horizontal="right" vertical="center"/>
    </xf>
    <xf numFmtId="43" fontId="13" fillId="4" borderId="12" xfId="10" applyFont="1" applyFill="1" applyBorder="1" applyAlignment="1">
      <alignment horizontal="right" vertical="center"/>
    </xf>
    <xf numFmtId="43" fontId="13" fillId="4" borderId="13" xfId="10" applyFont="1" applyFill="1" applyBorder="1" applyAlignment="1">
      <alignment horizontal="right" vertical="center"/>
    </xf>
    <xf numFmtId="43" fontId="13" fillId="0" borderId="12" xfId="10" applyFont="1" applyBorder="1" applyAlignment="1">
      <alignment horizontal="right" vertical="center"/>
    </xf>
    <xf numFmtId="43" fontId="13" fillId="0" borderId="13" xfId="10"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0" applyFont="1" applyBorder="1" applyAlignment="1">
      <alignment horizontal="right" vertical="center"/>
    </xf>
    <xf numFmtId="43" fontId="0" fillId="4" borderId="12" xfId="10" applyFont="1" applyFill="1" applyBorder="1" applyAlignment="1">
      <alignment horizontal="right" vertical="center"/>
    </xf>
    <xf numFmtId="43" fontId="0" fillId="0" borderId="12" xfId="10"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1" applyNumberFormat="1" applyFont="1" applyBorder="1" applyAlignment="1">
      <alignment horizontal="right" vertical="center"/>
    </xf>
    <xf numFmtId="10" fontId="21" fillId="4" borderId="40" xfId="1"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0" applyFont="1" applyFill="1" applyAlignment="1">
      <alignment horizontal="right"/>
    </xf>
    <xf numFmtId="43" fontId="21" fillId="0" borderId="38" xfId="10" applyFont="1" applyBorder="1" applyAlignment="1">
      <alignment horizontal="right" vertical="center"/>
    </xf>
    <xf numFmtId="43" fontId="21" fillId="0" borderId="39" xfId="10" applyFont="1" applyBorder="1" applyAlignment="1">
      <alignment horizontal="right" vertical="center"/>
    </xf>
    <xf numFmtId="43" fontId="13" fillId="0" borderId="30" xfId="10" applyFont="1" applyBorder="1" applyAlignment="1">
      <alignment horizontal="right"/>
    </xf>
    <xf numFmtId="43" fontId="13" fillId="0" borderId="31" xfId="10" applyFont="1" applyBorder="1" applyAlignment="1">
      <alignment horizontal="right"/>
    </xf>
    <xf numFmtId="43" fontId="13" fillId="0" borderId="32" xfId="10" applyFont="1" applyBorder="1" applyAlignment="1">
      <alignment horizontal="right"/>
    </xf>
    <xf numFmtId="43" fontId="13" fillId="0" borderId="33" xfId="10" applyFont="1" applyBorder="1" applyAlignment="1">
      <alignment horizontal="right"/>
    </xf>
    <xf numFmtId="43" fontId="13" fillId="0" borderId="34" xfId="10" applyFont="1" applyBorder="1" applyAlignment="1">
      <alignment horizontal="right"/>
    </xf>
    <xf numFmtId="0" fontId="30" fillId="0" borderId="86" xfId="0" applyFont="1" applyBorder="1"/>
    <xf numFmtId="43" fontId="30" fillId="0" borderId="86" xfId="10"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0"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0"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0"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5" quotePrefix="1" applyNumberFormat="1" applyFont="1" applyFill="1" applyBorder="1" applyAlignment="1">
      <alignment horizontal="center" vertical="center" wrapText="1"/>
    </xf>
    <xf numFmtId="0" fontId="35" fillId="10" borderId="45" xfId="5" quotePrefix="1" applyFont="1" applyFill="1" applyBorder="1" applyAlignment="1">
      <alignment horizontal="center" vertical="center" wrapText="1"/>
    </xf>
    <xf numFmtId="14" fontId="35" fillId="10" borderId="45" xfId="5" applyNumberFormat="1" applyFont="1" applyFill="1" applyBorder="1" applyAlignment="1">
      <alignment horizontal="center" vertical="center"/>
    </xf>
    <xf numFmtId="20" fontId="35" fillId="10" borderId="91" xfId="5"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0"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167" fontId="0" fillId="0" borderId="102" xfId="1" applyNumberFormat="1" applyFont="1" applyBorder="1" applyAlignment="1">
      <alignment vertical="center"/>
    </xf>
    <xf numFmtId="4" fontId="0" fillId="4" borderId="103" xfId="0" applyNumberFormat="1" applyFill="1" applyBorder="1" applyAlignment="1">
      <alignment vertical="center"/>
    </xf>
    <xf numFmtId="167" fontId="0" fillId="4" borderId="104" xfId="1" applyNumberFormat="1" applyFont="1" applyFill="1" applyBorder="1" applyAlignment="1">
      <alignment vertical="center"/>
    </xf>
    <xf numFmtId="4" fontId="0" fillId="0" borderId="103" xfId="0" applyNumberFormat="1" applyBorder="1" applyAlignment="1">
      <alignment vertical="center"/>
    </xf>
    <xf numFmtId="167" fontId="0" fillId="0" borderId="104" xfId="1" applyNumberFormat="1" applyFont="1" applyBorder="1" applyAlignment="1">
      <alignment vertical="center"/>
    </xf>
    <xf numFmtId="4" fontId="0" fillId="0" borderId="100" xfId="0" applyNumberFormat="1" applyBorder="1"/>
    <xf numFmtId="4" fontId="0" fillId="0" borderId="105" xfId="0" applyNumberFormat="1" applyBorder="1" applyAlignment="1">
      <alignment horizontal="right"/>
    </xf>
    <xf numFmtId="167" fontId="0" fillId="0" borderId="102" xfId="1" applyNumberFormat="1" applyFont="1" applyBorder="1"/>
    <xf numFmtId="4" fontId="0" fillId="4" borderId="3" xfId="0" applyNumberFormat="1" applyFill="1" applyBorder="1"/>
    <xf numFmtId="4" fontId="0" fillId="4" borderId="106" xfId="0" applyNumberFormat="1" applyFill="1" applyBorder="1" applyAlignment="1">
      <alignment horizontal="right"/>
    </xf>
    <xf numFmtId="167" fontId="0" fillId="4" borderId="104" xfId="1" applyNumberFormat="1" applyFont="1" applyFill="1" applyBorder="1"/>
    <xf numFmtId="4" fontId="0" fillId="0" borderId="3" xfId="0" applyNumberFormat="1" applyBorder="1"/>
    <xf numFmtId="4" fontId="0" fillId="0" borderId="106" xfId="0" applyNumberFormat="1" applyBorder="1" applyAlignment="1">
      <alignment horizontal="right"/>
    </xf>
    <xf numFmtId="167" fontId="0" fillId="0" borderId="104" xfId="1" applyNumberFormat="1" applyFont="1" applyBorder="1"/>
    <xf numFmtId="0" fontId="50" fillId="0" borderId="0" xfId="0" applyFont="1"/>
    <xf numFmtId="0" fontId="51" fillId="0" borderId="0" xfId="0" applyFont="1" applyAlignment="1">
      <alignment vertical="center"/>
    </xf>
    <xf numFmtId="49" fontId="50" fillId="0" borderId="0" xfId="0" applyNumberFormat="1" applyFont="1" applyAlignment="1">
      <alignment horizontal="center"/>
    </xf>
    <xf numFmtId="1" fontId="50" fillId="0" borderId="0" xfId="0" applyNumberFormat="1" applyFont="1" applyAlignment="1">
      <alignment horizontal="center"/>
    </xf>
    <xf numFmtId="49" fontId="50" fillId="0" borderId="0" xfId="0" applyNumberFormat="1" applyFont="1" applyAlignment="1">
      <alignment horizontal="left"/>
    </xf>
    <xf numFmtId="1" fontId="50" fillId="0" borderId="0" xfId="0" applyNumberFormat="1" applyFont="1" applyAlignment="1">
      <alignment horizontal="left"/>
    </xf>
    <xf numFmtId="165" fontId="50" fillId="0" borderId="0" xfId="0" applyNumberFormat="1" applyFont="1" applyAlignment="1">
      <alignment horizontal="center"/>
    </xf>
    <xf numFmtId="10" fontId="50" fillId="0" borderId="0" xfId="1" applyNumberFormat="1" applyFont="1"/>
    <xf numFmtId="176" fontId="21" fillId="0" borderId="40" xfId="1" applyNumberFormat="1" applyFont="1" applyBorder="1" applyAlignment="1">
      <alignment horizontal="right" vertical="center"/>
    </xf>
    <xf numFmtId="43" fontId="32" fillId="0" borderId="54" xfId="10" applyFont="1" applyBorder="1" applyAlignment="1">
      <alignment horizontal="right" vertical="center"/>
    </xf>
    <xf numFmtId="43" fontId="32" fillId="0" borderId="55" xfId="10" applyFont="1" applyBorder="1" applyAlignment="1">
      <alignment horizontal="right" vertical="center"/>
    </xf>
    <xf numFmtId="177" fontId="32" fillId="0" borderId="56" xfId="10" applyNumberFormat="1" applyFont="1" applyBorder="1" applyAlignment="1">
      <alignment horizontal="right" vertical="center"/>
    </xf>
    <xf numFmtId="10" fontId="32" fillId="4" borderId="56" xfId="1"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0" applyFont="1" applyBorder="1" applyAlignment="1">
      <alignment horizontal="right"/>
    </xf>
    <xf numFmtId="43" fontId="27" fillId="0" borderId="0" xfId="10" applyFont="1" applyAlignment="1">
      <alignment horizontal="right"/>
    </xf>
    <xf numFmtId="43" fontId="27" fillId="0" borderId="4" xfId="10" applyFont="1" applyBorder="1" applyAlignment="1">
      <alignment horizontal="right"/>
    </xf>
    <xf numFmtId="10" fontId="32" fillId="0" borderId="4" xfId="1"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0" applyFont="1" applyFill="1" applyBorder="1" applyAlignment="1">
      <alignment horizontal="right" vertical="center"/>
    </xf>
    <xf numFmtId="43" fontId="27" fillId="4" borderId="0" xfId="10" applyFont="1" applyFill="1" applyAlignment="1">
      <alignment horizontal="right" vertical="center"/>
    </xf>
    <xf numFmtId="43" fontId="27" fillId="4" borderId="4" xfId="10" applyFont="1" applyFill="1" applyBorder="1" applyAlignment="1">
      <alignment horizontal="right" vertical="center"/>
    </xf>
    <xf numFmtId="10" fontId="32" fillId="4" borderId="4" xfId="1"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0" applyFont="1" applyBorder="1" applyAlignment="1">
      <alignment horizontal="right" vertical="center"/>
    </xf>
    <xf numFmtId="43" fontId="27" fillId="0" borderId="0" xfId="10" applyFont="1" applyAlignment="1">
      <alignment horizontal="right" vertical="center"/>
    </xf>
    <xf numFmtId="43" fontId="27" fillId="0" borderId="4" xfId="10" applyFont="1" applyBorder="1" applyAlignment="1">
      <alignment horizontal="right" vertical="center"/>
    </xf>
    <xf numFmtId="10" fontId="32" fillId="0" borderId="4" xfId="1"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0" applyFont="1" applyFill="1" applyBorder="1" applyAlignment="1">
      <alignment horizontal="right" vertical="center"/>
    </xf>
    <xf numFmtId="43" fontId="27" fillId="4" borderId="42" xfId="10" applyFont="1" applyFill="1" applyBorder="1" applyAlignment="1">
      <alignment horizontal="right" vertical="center"/>
    </xf>
    <xf numFmtId="43" fontId="27" fillId="4" borderId="43" xfId="10" applyFont="1" applyFill="1" applyBorder="1" applyAlignment="1">
      <alignment horizontal="right" vertical="center"/>
    </xf>
    <xf numFmtId="10" fontId="32" fillId="4" borderId="43" xfId="1"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1"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1"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0" applyFont="1" applyFill="1" applyBorder="1" applyAlignment="1">
      <alignment horizontal="right" vertical="center"/>
    </xf>
    <xf numFmtId="43" fontId="32" fillId="4" borderId="55" xfId="10" applyFont="1" applyFill="1" applyBorder="1" applyAlignment="1">
      <alignment horizontal="right" vertical="center"/>
    </xf>
    <xf numFmtId="177" fontId="32" fillId="4" borderId="56" xfId="10" applyNumberFormat="1" applyFont="1" applyFill="1" applyBorder="1" applyAlignment="1">
      <alignment horizontal="right" vertical="center"/>
    </xf>
    <xf numFmtId="177" fontId="32" fillId="0" borderId="54" xfId="10" applyNumberFormat="1" applyFont="1" applyBorder="1" applyAlignment="1">
      <alignment horizontal="right"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0" fontId="32" fillId="2" borderId="56" xfId="1" applyNumberFormat="1" applyFont="1" applyFill="1" applyBorder="1" applyAlignment="1">
      <alignment horizontal="right" vertical="center"/>
    </xf>
    <xf numFmtId="43" fontId="30" fillId="0" borderId="0" xfId="10" applyFont="1" applyBorder="1"/>
    <xf numFmtId="17" fontId="35" fillId="8" borderId="111" xfId="0" applyNumberFormat="1" applyFont="1" applyFill="1" applyBorder="1" applyAlignment="1">
      <alignment horizontal="center" vertical="center"/>
    </xf>
    <xf numFmtId="0" fontId="35" fillId="8" borderId="113" xfId="4" applyFont="1" applyFill="1" applyBorder="1" applyAlignment="1">
      <alignment horizontal="center" vertical="center"/>
    </xf>
    <xf numFmtId="0" fontId="35" fillId="8" borderId="115" xfId="4" applyFont="1" applyFill="1" applyBorder="1" applyAlignment="1">
      <alignment horizontal="center" vertical="center"/>
    </xf>
    <xf numFmtId="4" fontId="35" fillId="8" borderId="118" xfId="0" applyNumberFormat="1" applyFont="1" applyFill="1" applyBorder="1" applyAlignment="1">
      <alignment vertical="center"/>
    </xf>
    <xf numFmtId="4" fontId="48" fillId="8" borderId="118" xfId="0" applyNumberFormat="1" applyFont="1" applyFill="1" applyBorder="1" applyAlignment="1">
      <alignment vertical="center"/>
    </xf>
    <xf numFmtId="0" fontId="35" fillId="8" borderId="117" xfId="0" applyFont="1" applyFill="1" applyBorder="1" applyAlignment="1">
      <alignment vertical="center"/>
    </xf>
    <xf numFmtId="0" fontId="0" fillId="0" borderId="119" xfId="0" applyBorder="1"/>
    <xf numFmtId="0" fontId="35" fillId="10" borderId="123" xfId="5" applyFont="1" applyFill="1" applyBorder="1" applyAlignment="1">
      <alignment horizontal="center" vertical="center" wrapText="1"/>
    </xf>
    <xf numFmtId="0" fontId="35" fillId="10" borderId="123" xfId="5" applyFont="1" applyFill="1" applyBorder="1" applyAlignment="1">
      <alignment horizontal="center" vertical="center"/>
    </xf>
    <xf numFmtId="0" fontId="35" fillId="10" borderId="125" xfId="5" applyFont="1" applyFill="1" applyBorder="1" applyAlignment="1">
      <alignment horizontal="center" vertical="center"/>
    </xf>
    <xf numFmtId="10" fontId="35" fillId="8" borderId="118" xfId="1" applyNumberFormat="1" applyFont="1" applyFill="1" applyBorder="1" applyAlignment="1">
      <alignment vertical="center"/>
    </xf>
    <xf numFmtId="10" fontId="48" fillId="8" borderId="118" xfId="1" applyNumberFormat="1" applyFont="1" applyFill="1" applyBorder="1" applyAlignment="1">
      <alignment vertical="center"/>
    </xf>
    <xf numFmtId="0" fontId="48" fillId="8" borderId="117"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1" fillId="0" borderId="0" xfId="0" applyFont="1" applyAlignment="1">
      <alignment horizontal="center" vertical="center"/>
    </xf>
    <xf numFmtId="0" fontId="52" fillId="2" borderId="0" xfId="0" applyFont="1" applyFill="1" applyAlignment="1">
      <alignment horizontal="left" vertical="center" wrapText="1"/>
    </xf>
    <xf numFmtId="0" fontId="47" fillId="0" borderId="30" xfId="0" applyFont="1" applyBorder="1"/>
    <xf numFmtId="0" fontId="47" fillId="4" borderId="128" xfId="0" applyFont="1" applyFill="1" applyBorder="1"/>
    <xf numFmtId="43" fontId="30" fillId="0" borderId="31" xfId="10" applyFont="1" applyBorder="1"/>
    <xf numFmtId="43" fontId="47" fillId="4" borderId="129" xfId="10" applyFont="1" applyFill="1" applyBorder="1"/>
    <xf numFmtId="43" fontId="30" fillId="0" borderId="131" xfId="10" applyFont="1" applyBorder="1"/>
    <xf numFmtId="0" fontId="47" fillId="0" borderId="130" xfId="0" applyFont="1" applyBorder="1"/>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3" xfId="0" applyFont="1" applyFill="1" applyBorder="1" applyAlignment="1">
      <alignment horizontal="center" vertical="center" wrapText="1"/>
    </xf>
    <xf numFmtId="0" fontId="35" fillId="8" borderId="106" xfId="0" applyFont="1" applyFill="1" applyBorder="1" applyAlignment="1">
      <alignment horizontal="center" vertical="center" wrapText="1"/>
    </xf>
    <xf numFmtId="0" fontId="35" fillId="8" borderId="134" xfId="0" applyFont="1" applyFill="1" applyBorder="1" applyAlignment="1">
      <alignment horizontal="center" vertical="center" wrapText="1"/>
    </xf>
    <xf numFmtId="0" fontId="45" fillId="4" borderId="136" xfId="0" applyFont="1" applyFill="1" applyBorder="1" applyAlignment="1">
      <alignment horizontal="center" vertical="center"/>
    </xf>
    <xf numFmtId="0" fontId="30" fillId="0" borderId="0" xfId="0" applyFont="1" applyAlignment="1">
      <alignment vertical="center"/>
    </xf>
    <xf numFmtId="0" fontId="53" fillId="4" borderId="135" xfId="0" applyFont="1" applyFill="1" applyBorder="1" applyAlignment="1">
      <alignment vertical="center"/>
    </xf>
    <xf numFmtId="0" fontId="53" fillId="0" borderId="135" xfId="0" applyFont="1" applyBorder="1" applyAlignment="1">
      <alignment vertical="center" wrapText="1"/>
    </xf>
    <xf numFmtId="0" fontId="46" fillId="0" borderId="136" xfId="0" applyFont="1" applyBorder="1" applyAlignment="1">
      <alignment horizontal="center" vertical="center"/>
    </xf>
    <xf numFmtId="0" fontId="45" fillId="0" borderId="136" xfId="0" applyFont="1" applyBorder="1" applyAlignment="1">
      <alignment horizontal="center" vertical="center"/>
    </xf>
    <xf numFmtId="4" fontId="46" fillId="0" borderId="137" xfId="0" applyNumberFormat="1" applyFont="1" applyBorder="1" applyAlignment="1">
      <alignment horizontal="center" vertical="center"/>
    </xf>
    <xf numFmtId="176" fontId="21" fillId="0" borderId="39" xfId="1" applyNumberFormat="1" applyFont="1" applyBorder="1" applyAlignment="1">
      <alignment horizontal="right" vertical="center"/>
    </xf>
    <xf numFmtId="43" fontId="21" fillId="4" borderId="40" xfId="10"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7" xfId="0" applyFont="1" applyFill="1" applyBorder="1" applyAlignment="1">
      <alignment vertical="center"/>
    </xf>
    <xf numFmtId="9" fontId="21" fillId="4" borderId="78" xfId="1" applyFont="1" applyFill="1" applyBorder="1" applyAlignment="1">
      <alignment horizontal="center" vertical="center"/>
    </xf>
    <xf numFmtId="4" fontId="0" fillId="2" borderId="101" xfId="0" applyNumberFormat="1" applyFill="1" applyBorder="1" applyAlignment="1">
      <alignment vertical="center"/>
    </xf>
    <xf numFmtId="0" fontId="54" fillId="0" borderId="0" xfId="0" applyFont="1"/>
    <xf numFmtId="0" fontId="55" fillId="0" borderId="0" xfId="0" applyFont="1" applyAlignment="1">
      <alignment vertical="center"/>
    </xf>
    <xf numFmtId="0" fontId="55" fillId="0" borderId="0" xfId="0" applyFont="1"/>
    <xf numFmtId="0" fontId="44" fillId="0" borderId="0" xfId="0" quotePrefix="1" applyFont="1" applyAlignment="1">
      <alignment vertical="center" wrapText="1"/>
    </xf>
    <xf numFmtId="168"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8" applyFont="1" applyFill="1" applyAlignment="1">
      <alignment horizontal="left" vertical="center"/>
    </xf>
    <xf numFmtId="0" fontId="32" fillId="2" borderId="0" xfId="8" applyFont="1" applyFill="1" applyAlignment="1">
      <alignment vertical="center"/>
    </xf>
    <xf numFmtId="0" fontId="29" fillId="0" borderId="0" xfId="8" applyFont="1" applyAlignment="1">
      <alignment vertical="center"/>
    </xf>
    <xf numFmtId="0" fontId="35" fillId="8" borderId="72" xfId="8" applyFont="1" applyFill="1" applyBorder="1" applyAlignment="1">
      <alignment horizontal="center" vertical="center"/>
    </xf>
    <xf numFmtId="43" fontId="35" fillId="8" borderId="72" xfId="9" applyFont="1" applyFill="1" applyBorder="1" applyAlignment="1">
      <alignment horizontal="center" vertical="center"/>
    </xf>
    <xf numFmtId="4" fontId="35" fillId="8" borderId="72" xfId="8" applyNumberFormat="1" applyFont="1" applyFill="1" applyBorder="1" applyAlignment="1">
      <alignment horizontal="center" vertical="center"/>
    </xf>
    <xf numFmtId="0" fontId="35" fillId="8" borderId="72" xfId="8" applyFont="1" applyFill="1" applyBorder="1" applyAlignment="1">
      <alignment horizontal="center" vertical="center" wrapText="1"/>
    </xf>
    <xf numFmtId="0" fontId="32" fillId="0" borderId="0" xfId="8" applyFont="1" applyAlignment="1">
      <alignment horizontal="left" vertical="center" wrapText="1"/>
    </xf>
    <xf numFmtId="0" fontId="32" fillId="0" borderId="0" xfId="8" applyFont="1" applyAlignment="1">
      <alignment horizontal="center" vertical="center"/>
    </xf>
    <xf numFmtId="0" fontId="32" fillId="0" borderId="0" xfId="8" applyFont="1" applyAlignment="1">
      <alignment vertical="center"/>
    </xf>
    <xf numFmtId="22" fontId="30" fillId="0" borderId="72" xfId="8" applyNumberFormat="1" applyFont="1" applyBorder="1" applyAlignment="1">
      <alignment horizontal="center" vertical="center" wrapText="1"/>
    </xf>
    <xf numFmtId="0" fontId="44" fillId="0" borderId="72" xfId="8" applyFont="1" applyBorder="1" applyAlignment="1">
      <alignment horizontal="justify" vertical="center" wrapText="1"/>
    </xf>
    <xf numFmtId="0" fontId="30" fillId="0" borderId="72" xfId="8" applyFont="1" applyBorder="1" applyAlignment="1">
      <alignment horizontal="center" vertical="center" wrapText="1"/>
    </xf>
    <xf numFmtId="0" fontId="32" fillId="0" borderId="0" xfId="8" applyFont="1" applyAlignment="1">
      <alignment vertical="center" wrapText="1"/>
    </xf>
    <xf numFmtId="49" fontId="27" fillId="0" borderId="0" xfId="8" applyNumberFormat="1" applyFont="1" applyAlignment="1">
      <alignment horizontal="right" vertical="center"/>
    </xf>
    <xf numFmtId="1" fontId="27" fillId="0" borderId="0" xfId="8" applyNumberFormat="1" applyFont="1" applyAlignment="1">
      <alignment horizontal="right" vertical="center"/>
    </xf>
    <xf numFmtId="49" fontId="27" fillId="0" borderId="0" xfId="8" applyNumberFormat="1" applyFont="1" applyAlignment="1">
      <alignment horizontal="center" vertical="center"/>
    </xf>
    <xf numFmtId="1" fontId="27" fillId="0" borderId="0" xfId="8" applyNumberFormat="1" applyFont="1" applyAlignment="1">
      <alignment horizontal="center" vertical="center"/>
    </xf>
    <xf numFmtId="0" fontId="44" fillId="0" borderId="72" xfId="8" applyFont="1" applyBorder="1" applyAlignment="1">
      <alignment horizontal="center" vertical="center" wrapText="1"/>
    </xf>
    <xf numFmtId="0" fontId="29" fillId="0" borderId="0" xfId="8" applyFont="1" applyAlignment="1">
      <alignment horizontal="center" vertical="center"/>
    </xf>
    <xf numFmtId="0" fontId="31" fillId="8" borderId="23" xfId="0" applyFont="1" applyFill="1" applyBorder="1" applyAlignment="1">
      <alignment horizontal="center"/>
    </xf>
    <xf numFmtId="43" fontId="46" fillId="0" borderId="78" xfId="10"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76" fontId="21" fillId="0" borderId="0" xfId="1"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1" applyNumberFormat="1" applyFont="1"/>
    <xf numFmtId="0" fontId="46" fillId="2" borderId="0" xfId="0" applyFont="1" applyFill="1" applyAlignment="1">
      <alignment vertical="center"/>
    </xf>
    <xf numFmtId="167" fontId="45" fillId="2" borderId="47" xfId="1" applyNumberFormat="1" applyFont="1" applyFill="1" applyBorder="1" applyAlignment="1">
      <alignment vertical="center"/>
    </xf>
    <xf numFmtId="0" fontId="46" fillId="4" borderId="0" xfId="0" applyFont="1" applyFill="1" applyAlignment="1">
      <alignment vertical="center"/>
    </xf>
    <xf numFmtId="167" fontId="45" fillId="4" borderId="47" xfId="1" applyNumberFormat="1" applyFont="1" applyFill="1" applyBorder="1" applyAlignment="1">
      <alignment vertical="center"/>
    </xf>
    <xf numFmtId="167" fontId="47" fillId="4" borderId="47" xfId="1"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167" fontId="45" fillId="2" borderId="51" xfId="1"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0" fontId="35" fillId="3" borderId="45" xfId="1" applyNumberFormat="1" applyFont="1" applyFill="1" applyBorder="1" applyAlignment="1">
      <alignment vertical="center"/>
    </xf>
    <xf numFmtId="0" fontId="46" fillId="2" borderId="61" xfId="0" applyFont="1" applyFill="1" applyBorder="1" applyAlignment="1">
      <alignment vertical="center"/>
    </xf>
    <xf numFmtId="167" fontId="45" fillId="2" borderId="61" xfId="1" applyNumberFormat="1" applyFont="1" applyFill="1" applyBorder="1" applyAlignment="1">
      <alignment vertical="center"/>
    </xf>
    <xf numFmtId="0" fontId="46" fillId="4" borderId="62" xfId="0" applyFont="1" applyFill="1" applyBorder="1" applyAlignment="1">
      <alignment vertical="center"/>
    </xf>
    <xf numFmtId="167" fontId="45" fillId="4" borderId="62" xfId="1" applyNumberFormat="1" applyFont="1" applyFill="1" applyBorder="1" applyAlignment="1">
      <alignment vertical="center"/>
    </xf>
    <xf numFmtId="0" fontId="46" fillId="2" borderId="62" xfId="0" applyFont="1" applyFill="1" applyBorder="1" applyAlignment="1">
      <alignment vertical="center"/>
    </xf>
    <xf numFmtId="167" fontId="45" fillId="2" borderId="62" xfId="1" applyNumberFormat="1" applyFont="1" applyFill="1" applyBorder="1" applyAlignment="1">
      <alignment vertical="center"/>
    </xf>
    <xf numFmtId="0" fontId="46" fillId="2" borderId="63" xfId="0" applyFont="1" applyFill="1" applyBorder="1" applyAlignment="1">
      <alignment vertical="center"/>
    </xf>
    <xf numFmtId="167" fontId="45" fillId="2" borderId="63" xfId="1" applyNumberFormat="1" applyFont="1" applyFill="1" applyBorder="1" applyAlignment="1">
      <alignment vertical="center"/>
    </xf>
    <xf numFmtId="0" fontId="46" fillId="4" borderId="64" xfId="0" applyFont="1" applyFill="1" applyBorder="1" applyAlignment="1">
      <alignment vertical="center"/>
    </xf>
    <xf numFmtId="167" fontId="45" fillId="4" borderId="64" xfId="1" applyNumberFormat="1" applyFont="1" applyFill="1" applyBorder="1" applyAlignment="1">
      <alignment vertical="center"/>
    </xf>
    <xf numFmtId="0" fontId="46" fillId="2" borderId="64" xfId="0" applyFont="1" applyFill="1" applyBorder="1" applyAlignment="1">
      <alignment vertical="center"/>
    </xf>
    <xf numFmtId="167" fontId="45" fillId="2" borderId="64" xfId="1"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0" fontId="46" fillId="4" borderId="94" xfId="0" applyFont="1" applyFill="1" applyBorder="1" applyAlignment="1">
      <alignment vertical="center"/>
    </xf>
    <xf numFmtId="167" fontId="45" fillId="4" borderId="94" xfId="1"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1" applyNumberFormat="1" applyFont="1" applyFill="1" applyAlignment="1">
      <alignment vertical="center"/>
    </xf>
    <xf numFmtId="2" fontId="41" fillId="0" borderId="0" xfId="0" applyNumberFormat="1" applyFont="1" applyAlignment="1">
      <alignment vertical="center"/>
    </xf>
    <xf numFmtId="10" fontId="29" fillId="0" borderId="0" xfId="1" applyNumberFormat="1" applyFont="1"/>
    <xf numFmtId="171" fontId="56" fillId="6" borderId="0" xfId="2" applyFont="1" applyFill="1"/>
    <xf numFmtId="1" fontId="57" fillId="0" borderId="0" xfId="2" applyNumberFormat="1" applyFont="1" applyAlignment="1">
      <alignment horizontal="center"/>
    </xf>
    <xf numFmtId="172" fontId="57" fillId="0" borderId="0" xfId="2" applyNumberFormat="1" applyFont="1" applyAlignment="1">
      <alignment horizontal="center"/>
    </xf>
    <xf numFmtId="2" fontId="58" fillId="0" borderId="0" xfId="2" applyNumberFormat="1" applyFont="1"/>
    <xf numFmtId="43" fontId="41" fillId="0" borderId="0" xfId="10" applyFont="1" applyAlignment="1">
      <alignment vertical="center"/>
    </xf>
    <xf numFmtId="2" fontId="58" fillId="2" borderId="0" xfId="2" applyNumberFormat="1" applyFont="1" applyFill="1"/>
    <xf numFmtId="2" fontId="59" fillId="0" borderId="0" xfId="0" applyNumberFormat="1" applyFont="1"/>
    <xf numFmtId="166" fontId="41" fillId="0" borderId="0" xfId="0" applyNumberFormat="1" applyFont="1" applyAlignment="1">
      <alignment vertical="center"/>
    </xf>
    <xf numFmtId="2" fontId="55" fillId="0" borderId="0" xfId="0" applyNumberFormat="1" applyFont="1" applyAlignment="1">
      <alignment horizontal="center" vertical="center" wrapText="1"/>
    </xf>
    <xf numFmtId="2" fontId="55" fillId="0" borderId="0" xfId="0" quotePrefix="1" applyNumberFormat="1" applyFont="1" applyAlignment="1">
      <alignment horizontal="center" vertical="center" wrapText="1"/>
    </xf>
    <xf numFmtId="17" fontId="55" fillId="0" borderId="0" xfId="0" quotePrefix="1" applyNumberFormat="1" applyFont="1" applyAlignment="1">
      <alignment horizontal="center" vertical="center" wrapText="1"/>
    </xf>
    <xf numFmtId="0" fontId="55" fillId="0" borderId="0" xfId="0" quotePrefix="1" applyFont="1" applyAlignment="1">
      <alignment horizontal="center" vertical="center" wrapText="1"/>
    </xf>
    <xf numFmtId="0" fontId="55" fillId="0" borderId="0" xfId="0" applyFont="1" applyAlignment="1">
      <alignment horizontal="center"/>
    </xf>
    <xf numFmtId="2" fontId="55" fillId="0" borderId="0" xfId="0" applyNumberFormat="1" applyFont="1" applyAlignment="1">
      <alignment horizontal="left"/>
    </xf>
    <xf numFmtId="2" fontId="52" fillId="0" borderId="0" xfId="0" applyNumberFormat="1" applyFont="1" applyAlignment="1">
      <alignment horizontal="center"/>
    </xf>
    <xf numFmtId="2" fontId="55" fillId="0" borderId="0" xfId="0" applyNumberFormat="1" applyFont="1" applyAlignment="1">
      <alignment horizontal="center"/>
    </xf>
    <xf numFmtId="175" fontId="55" fillId="0" borderId="0" xfId="0" applyNumberFormat="1" applyFont="1"/>
    <xf numFmtId="175" fontId="55" fillId="0" borderId="0" xfId="0" applyNumberFormat="1" applyFont="1" applyAlignment="1">
      <alignment horizontal="center"/>
    </xf>
    <xf numFmtId="0" fontId="55" fillId="0" borderId="0" xfId="0" applyFont="1" applyAlignment="1">
      <alignment vertical="top" wrapText="1"/>
    </xf>
    <xf numFmtId="4" fontId="30" fillId="0" borderId="0" xfId="0" applyNumberFormat="1" applyFont="1" applyAlignment="1">
      <alignment horizontal="center" vertical="center"/>
    </xf>
    <xf numFmtId="0" fontId="30" fillId="0" borderId="0" xfId="0" applyFont="1" applyAlignment="1">
      <alignment horizontal="center" vertical="center"/>
    </xf>
    <xf numFmtId="176" fontId="46" fillId="5" borderId="24" xfId="1" applyNumberFormat="1" applyFont="1" applyFill="1" applyBorder="1" applyAlignment="1">
      <alignment horizontal="center" vertical="center"/>
    </xf>
    <xf numFmtId="176" fontId="46" fillId="2" borderId="25" xfId="1" applyNumberFormat="1" applyFont="1" applyFill="1" applyBorder="1" applyAlignment="1">
      <alignment horizontal="center" vertical="center"/>
    </xf>
    <xf numFmtId="176" fontId="46" fillId="5" borderId="25" xfId="1" applyNumberFormat="1" applyFont="1" applyFill="1" applyBorder="1" applyAlignment="1">
      <alignment horizontal="center" vertical="center"/>
    </xf>
    <xf numFmtId="176" fontId="46" fillId="2" borderId="26" xfId="1" applyNumberFormat="1" applyFont="1" applyFill="1" applyBorder="1" applyAlignment="1">
      <alignment horizontal="center" vertical="center"/>
    </xf>
    <xf numFmtId="176" fontId="45" fillId="5" borderId="23" xfId="1" applyNumberFormat="1" applyFont="1" applyFill="1" applyBorder="1" applyAlignment="1">
      <alignment horizontal="center" vertical="center"/>
    </xf>
    <xf numFmtId="0" fontId="30" fillId="0" borderId="0" xfId="0" quotePrefix="1" applyFont="1" applyAlignment="1">
      <alignment vertical="center"/>
    </xf>
    <xf numFmtId="0" fontId="52" fillId="0" borderId="0" xfId="0" applyFont="1" applyAlignment="1">
      <alignment vertical="center"/>
    </xf>
    <xf numFmtId="49" fontId="55" fillId="0" borderId="0" xfId="0" applyNumberFormat="1" applyFont="1" applyAlignment="1">
      <alignment horizontal="right"/>
    </xf>
    <xf numFmtId="1" fontId="55" fillId="0" borderId="0" xfId="0" applyNumberFormat="1" applyFont="1" applyAlignment="1">
      <alignment horizontal="right"/>
    </xf>
    <xf numFmtId="0" fontId="55" fillId="0" borderId="0" xfId="0" applyFont="1" applyAlignment="1">
      <alignment horizontal="right"/>
    </xf>
    <xf numFmtId="1" fontId="55" fillId="0" borderId="0" xfId="0" applyNumberFormat="1" applyFont="1"/>
    <xf numFmtId="1" fontId="60" fillId="0" borderId="0" xfId="0" applyNumberFormat="1" applyFont="1" applyAlignment="1">
      <alignment horizontal="right"/>
    </xf>
    <xf numFmtId="0" fontId="47" fillId="0" borderId="30" xfId="0" applyFont="1" applyBorder="1" applyAlignment="1">
      <alignment vertical="center" wrapText="1"/>
    </xf>
    <xf numFmtId="43" fontId="30" fillId="0" borderId="0" xfId="10"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0" fillId="0" borderId="0" xfId="0" applyFont="1" applyAlignment="1">
      <alignment vertical="center"/>
    </xf>
    <xf numFmtId="0" fontId="50" fillId="0" borderId="0" xfId="0" applyFont="1" applyAlignment="1">
      <alignment vertical="center" wrapText="1"/>
    </xf>
    <xf numFmtId="0" fontId="41" fillId="2" borderId="0" xfId="0" applyFont="1" applyFill="1" applyAlignment="1">
      <alignment horizontal="right"/>
    </xf>
    <xf numFmtId="0" fontId="61" fillId="0" borderId="0" xfId="0" applyFont="1"/>
    <xf numFmtId="43" fontId="55" fillId="0" borderId="0" xfId="10" applyFont="1"/>
    <xf numFmtId="0" fontId="62" fillId="0" borderId="0" xfId="0" applyFont="1" applyAlignment="1">
      <alignment vertical="center"/>
    </xf>
    <xf numFmtId="0" fontId="61" fillId="0" borderId="0" xfId="0" applyFont="1" applyAlignment="1">
      <alignment vertical="center"/>
    </xf>
    <xf numFmtId="0" fontId="47" fillId="0" borderId="30" xfId="0" applyFont="1" applyBorder="1" applyAlignment="1">
      <alignment vertical="center"/>
    </xf>
    <xf numFmtId="0" fontId="47" fillId="4" borderId="128" xfId="0" applyFont="1" applyFill="1" applyBorder="1" applyAlignment="1">
      <alignment vertical="center"/>
    </xf>
    <xf numFmtId="0" fontId="47" fillId="4" borderId="87" xfId="0" applyFont="1" applyFill="1" applyBorder="1" applyAlignment="1">
      <alignment vertical="center"/>
    </xf>
    <xf numFmtId="43" fontId="47" fillId="4" borderId="87" xfId="10" applyFont="1" applyFill="1" applyBorder="1" applyAlignment="1">
      <alignment vertical="center"/>
    </xf>
    <xf numFmtId="10" fontId="29" fillId="0" borderId="0" xfId="1" applyNumberFormat="1" applyFont="1" applyAlignment="1">
      <alignment vertical="center"/>
    </xf>
    <xf numFmtId="0" fontId="63" fillId="0" borderId="0" xfId="0" applyFont="1" applyAlignment="1">
      <alignment vertical="center"/>
    </xf>
    <xf numFmtId="0" fontId="64" fillId="0" borderId="0" xfId="0" applyFont="1" applyAlignment="1">
      <alignment vertical="center"/>
    </xf>
    <xf numFmtId="0" fontId="64" fillId="0" borderId="0" xfId="0" applyFont="1" applyAlignment="1">
      <alignment horizontal="right" vertical="center"/>
    </xf>
    <xf numFmtId="14" fontId="63" fillId="0" borderId="0" xfId="0" applyNumberFormat="1" applyFont="1" applyAlignment="1">
      <alignment vertical="center"/>
    </xf>
    <xf numFmtId="0" fontId="63" fillId="0" borderId="0" xfId="0" applyFont="1" applyAlignment="1">
      <alignment horizontal="center" vertical="center"/>
    </xf>
    <xf numFmtId="0" fontId="64" fillId="0" borderId="0" xfId="0" applyFont="1" applyAlignment="1">
      <alignment horizontal="justify" vertical="center"/>
    </xf>
    <xf numFmtId="0" fontId="65" fillId="0" borderId="0" xfId="0" applyFont="1" applyAlignment="1">
      <alignment vertical="center"/>
    </xf>
    <xf numFmtId="17" fontId="65" fillId="0" borderId="0" xfId="0" applyNumberFormat="1" applyFont="1" applyAlignment="1">
      <alignment horizontal="center" vertical="center"/>
    </xf>
    <xf numFmtId="0" fontId="65" fillId="0" borderId="0" xfId="0" quotePrefix="1" applyFont="1" applyAlignment="1">
      <alignment vertical="center" wrapText="1"/>
    </xf>
    <xf numFmtId="2" fontId="65" fillId="0" borderId="0" xfId="0" applyNumberFormat="1" applyFont="1" applyAlignment="1">
      <alignment vertical="center"/>
    </xf>
    <xf numFmtId="2" fontId="64" fillId="0" borderId="0" xfId="0" applyNumberFormat="1" applyFont="1" applyAlignment="1">
      <alignment vertical="center"/>
    </xf>
    <xf numFmtId="0" fontId="66" fillId="0" borderId="0" xfId="0" applyFont="1" applyAlignment="1">
      <alignment vertical="center"/>
    </xf>
    <xf numFmtId="0" fontId="67" fillId="2" borderId="0" xfId="0" applyFont="1" applyFill="1" applyAlignment="1">
      <alignment vertical="center" wrapText="1"/>
    </xf>
    <xf numFmtId="1" fontId="61" fillId="0" borderId="0" xfId="0" applyNumberFormat="1" applyFont="1" applyAlignment="1">
      <alignment horizontal="right" vertical="center" wrapText="1"/>
    </xf>
    <xf numFmtId="0" fontId="61" fillId="0" borderId="0" xfId="0" applyFont="1" applyAlignment="1">
      <alignment vertical="center" wrapText="1"/>
    </xf>
    <xf numFmtId="49" fontId="61" fillId="0" borderId="0" xfId="0" applyNumberFormat="1" applyFont="1" applyAlignment="1">
      <alignment horizontal="center" vertical="center"/>
    </xf>
    <xf numFmtId="0" fontId="61" fillId="2" borderId="0" xfId="0" applyFont="1" applyFill="1"/>
    <xf numFmtId="1" fontId="0" fillId="0" borderId="0" xfId="0" applyNumberFormat="1"/>
    <xf numFmtId="165" fontId="0" fillId="0" borderId="0" xfId="0" applyNumberFormat="1" applyAlignment="1">
      <alignment horizontal="right"/>
    </xf>
    <xf numFmtId="167" fontId="0" fillId="0" borderId="0" xfId="1" applyNumberFormat="1" applyFont="1" applyAlignment="1">
      <alignment horizontal="right"/>
    </xf>
    <xf numFmtId="166" fontId="0" fillId="0" borderId="0" xfId="0" applyNumberFormat="1" applyAlignment="1">
      <alignment horizontal="right"/>
    </xf>
    <xf numFmtId="0" fontId="3" fillId="0" borderId="0" xfId="0" applyFont="1" applyAlignment="1">
      <alignment vertical="center"/>
    </xf>
    <xf numFmtId="1" fontId="68" fillId="0" borderId="0" xfId="0" applyNumberFormat="1" applyFont="1" applyAlignment="1">
      <alignment horizontal="center" vertical="center"/>
    </xf>
    <xf numFmtId="165" fontId="68" fillId="0" borderId="0" xfId="0" applyNumberFormat="1" applyFont="1" applyAlignment="1">
      <alignment horizontal="right" vertical="center"/>
    </xf>
    <xf numFmtId="166" fontId="68" fillId="0" borderId="0" xfId="0" applyNumberFormat="1" applyFont="1" applyAlignment="1">
      <alignment horizontal="right" vertical="center"/>
    </xf>
    <xf numFmtId="167" fontId="68" fillId="0" borderId="0" xfId="1" applyNumberFormat="1" applyFont="1" applyAlignment="1">
      <alignment horizontal="right" vertical="center"/>
    </xf>
    <xf numFmtId="0" fontId="68" fillId="0" borderId="0" xfId="0" applyFont="1" applyAlignment="1">
      <alignment vertical="center"/>
    </xf>
    <xf numFmtId="175" fontId="69" fillId="0" borderId="0" xfId="0" applyNumberFormat="1" applyFont="1"/>
    <xf numFmtId="172" fontId="56" fillId="6" borderId="0" xfId="2" applyNumberFormat="1" applyFont="1" applyFill="1"/>
    <xf numFmtId="2" fontId="58" fillId="0" borderId="0" xfId="2" applyNumberFormat="1" applyFont="1" applyAlignment="1">
      <alignment horizontal="center"/>
    </xf>
    <xf numFmtId="43" fontId="41" fillId="0" borderId="0" xfId="10" applyFont="1"/>
    <xf numFmtId="172" fontId="57" fillId="7" borderId="0" xfId="2" applyNumberFormat="1" applyFont="1" applyFill="1" applyAlignment="1">
      <alignment horizontal="center"/>
    </xf>
    <xf numFmtId="0" fontId="70" fillId="0" borderId="0" xfId="0" applyFont="1"/>
    <xf numFmtId="175" fontId="41" fillId="0" borderId="0" xfId="0" applyNumberFormat="1" applyFont="1" applyAlignment="1">
      <alignment vertical="center"/>
    </xf>
    <xf numFmtId="2" fontId="71" fillId="0" borderId="0" xfId="3" applyNumberFormat="1" applyFont="1"/>
    <xf numFmtId="0" fontId="30" fillId="0" borderId="0" xfId="0" applyFont="1" applyAlignment="1">
      <alignment horizontal="left" vertical="center"/>
    </xf>
    <xf numFmtId="0" fontId="72" fillId="0" borderId="0" xfId="0" applyFont="1" applyAlignment="1">
      <alignment vertical="center"/>
    </xf>
    <xf numFmtId="49" fontId="73" fillId="0" borderId="0" xfId="0" applyNumberFormat="1" applyFont="1" applyAlignment="1">
      <alignment horizontal="center"/>
    </xf>
    <xf numFmtId="0" fontId="73" fillId="0" borderId="0" xfId="0" applyFont="1"/>
    <xf numFmtId="49" fontId="73" fillId="0" borderId="0" xfId="0" applyNumberFormat="1" applyFont="1" applyAlignment="1">
      <alignment horizontal="right"/>
    </xf>
    <xf numFmtId="0" fontId="73" fillId="0" borderId="0" xfId="0" applyFont="1" applyAlignment="1">
      <alignment horizontal="right"/>
    </xf>
    <xf numFmtId="165" fontId="73" fillId="0" borderId="0" xfId="0" applyNumberFormat="1" applyFont="1" applyAlignment="1">
      <alignment horizontal="right"/>
    </xf>
    <xf numFmtId="1" fontId="73" fillId="0" borderId="0" xfId="0" applyNumberFormat="1" applyFont="1" applyAlignment="1">
      <alignment horizontal="right"/>
    </xf>
    <xf numFmtId="1" fontId="61" fillId="0" borderId="0" xfId="0" applyNumberFormat="1" applyFont="1"/>
    <xf numFmtId="165" fontId="61" fillId="0" borderId="0" xfId="0" applyNumberFormat="1" applyFont="1" applyAlignment="1">
      <alignment horizontal="right"/>
    </xf>
    <xf numFmtId="167" fontId="61" fillId="0" borderId="0" xfId="1" applyNumberFormat="1" applyFont="1" applyAlignment="1">
      <alignment horizontal="right"/>
    </xf>
    <xf numFmtId="166" fontId="61" fillId="0" borderId="0" xfId="0" applyNumberFormat="1" applyFont="1" applyAlignment="1">
      <alignment horizontal="right"/>
    </xf>
    <xf numFmtId="0" fontId="61" fillId="0" borderId="0" xfId="0" applyFont="1" applyAlignment="1">
      <alignment horizontal="right"/>
    </xf>
    <xf numFmtId="0" fontId="61" fillId="0" borderId="0" xfId="0" applyFont="1" applyAlignment="1">
      <alignment horizontal="center"/>
    </xf>
    <xf numFmtId="49" fontId="68" fillId="0" borderId="0" xfId="0" applyNumberFormat="1" applyFont="1" applyAlignment="1">
      <alignment horizontal="right"/>
    </xf>
    <xf numFmtId="49" fontId="68" fillId="0" borderId="0" xfId="0" applyNumberFormat="1" applyFont="1" applyAlignment="1">
      <alignment horizontal="center"/>
    </xf>
    <xf numFmtId="1" fontId="68" fillId="0" borderId="0" xfId="0" applyNumberFormat="1" applyFont="1" applyAlignment="1">
      <alignment horizontal="center"/>
    </xf>
    <xf numFmtId="49" fontId="61" fillId="0" borderId="0" xfId="0" applyNumberFormat="1" applyFont="1" applyAlignment="1">
      <alignment horizontal="center"/>
    </xf>
    <xf numFmtId="1" fontId="61" fillId="0" borderId="0" xfId="0" applyNumberFormat="1" applyFont="1" applyAlignment="1">
      <alignment horizontal="center"/>
    </xf>
    <xf numFmtId="165" fontId="61" fillId="0" borderId="0" xfId="0" applyNumberFormat="1" applyFont="1" applyAlignment="1">
      <alignment horizontal="center"/>
    </xf>
    <xf numFmtId="165" fontId="68" fillId="0" borderId="0" xfId="0" applyNumberFormat="1" applyFont="1" applyAlignment="1">
      <alignment horizontal="center"/>
    </xf>
    <xf numFmtId="0" fontId="68" fillId="0" borderId="0" xfId="0" applyFont="1"/>
    <xf numFmtId="0" fontId="47" fillId="4" borderId="30" xfId="0" applyFont="1" applyFill="1" applyBorder="1"/>
    <xf numFmtId="0" fontId="47" fillId="4" borderId="0" xfId="0" applyFont="1" applyFill="1"/>
    <xf numFmtId="43" fontId="47" fillId="4" borderId="0" xfId="10" applyFont="1" applyFill="1" applyBorder="1"/>
    <xf numFmtId="43" fontId="47" fillId="4" borderId="31" xfId="10" applyFont="1" applyFill="1" applyBorder="1"/>
    <xf numFmtId="0" fontId="69" fillId="0" borderId="0" xfId="0" applyFont="1"/>
    <xf numFmtId="2" fontId="58" fillId="0" borderId="0" xfId="2" applyNumberFormat="1" applyFont="1" applyAlignment="1">
      <alignment horizontal="right"/>
    </xf>
    <xf numFmtId="177" fontId="46" fillId="2" borderId="46" xfId="10" applyNumberFormat="1" applyFont="1" applyFill="1" applyBorder="1" applyAlignment="1">
      <alignment vertical="center"/>
    </xf>
    <xf numFmtId="177" fontId="46" fillId="2" borderId="46" xfId="0" applyNumberFormat="1" applyFont="1" applyFill="1" applyBorder="1" applyAlignment="1">
      <alignment vertical="center"/>
    </xf>
    <xf numFmtId="177" fontId="46" fillId="4" borderId="46" xfId="0" applyNumberFormat="1" applyFont="1" applyFill="1" applyBorder="1" applyAlignment="1">
      <alignment vertical="center"/>
    </xf>
    <xf numFmtId="177" fontId="46" fillId="2" borderId="50" xfId="0" applyNumberFormat="1" applyFont="1" applyFill="1" applyBorder="1" applyAlignment="1">
      <alignment vertical="center"/>
    </xf>
    <xf numFmtId="177" fontId="35" fillId="3" borderId="91" xfId="0" applyNumberFormat="1" applyFont="1" applyFill="1" applyBorder="1" applyAlignment="1">
      <alignment vertical="center"/>
    </xf>
    <xf numFmtId="174" fontId="46" fillId="2" borderId="61" xfId="0" applyNumberFormat="1" applyFont="1" applyFill="1" applyBorder="1" applyAlignment="1">
      <alignment vertical="center"/>
    </xf>
    <xf numFmtId="174" fontId="46" fillId="4" borderId="62" xfId="0" applyNumberFormat="1" applyFont="1" applyFill="1" applyBorder="1" applyAlignment="1">
      <alignment vertical="center"/>
    </xf>
    <xf numFmtId="174" fontId="46" fillId="2" borderId="62" xfId="0" applyNumberFormat="1" applyFont="1" applyFill="1" applyBorder="1" applyAlignment="1">
      <alignment vertical="center"/>
    </xf>
    <xf numFmtId="174" fontId="46" fillId="2" borderId="63" xfId="0" applyNumberFormat="1" applyFont="1" applyFill="1" applyBorder="1" applyAlignment="1">
      <alignment vertical="center"/>
    </xf>
    <xf numFmtId="174" fontId="46" fillId="4" borderId="64" xfId="0" applyNumberFormat="1" applyFont="1" applyFill="1" applyBorder="1" applyAlignment="1">
      <alignment vertical="center"/>
    </xf>
    <xf numFmtId="174" fontId="46" fillId="2" borderId="64" xfId="0" applyNumberFormat="1" applyFont="1" applyFill="1" applyBorder="1" applyAlignment="1">
      <alignment vertical="center"/>
    </xf>
    <xf numFmtId="174" fontId="46" fillId="0" borderId="62" xfId="0" applyNumberFormat="1" applyFont="1" applyBorder="1" applyAlignment="1">
      <alignment vertical="center"/>
    </xf>
    <xf numFmtId="174" fontId="46" fillId="4" borderId="94" xfId="0" applyNumberFormat="1" applyFont="1" applyFill="1" applyBorder="1" applyAlignment="1">
      <alignment vertical="center"/>
    </xf>
    <xf numFmtId="0" fontId="74" fillId="0" borderId="0" xfId="0" applyFont="1"/>
    <xf numFmtId="166" fontId="41" fillId="0" borderId="0" xfId="0" applyNumberFormat="1" applyFont="1" applyAlignment="1">
      <alignment horizontal="right" vertical="center"/>
    </xf>
    <xf numFmtId="166" fontId="41" fillId="0" borderId="0" xfId="6" applyNumberFormat="1" applyFont="1" applyAlignment="1">
      <alignment vertical="center"/>
    </xf>
    <xf numFmtId="166" fontId="41" fillId="0" borderId="0" xfId="0" applyNumberFormat="1" applyFont="1"/>
    <xf numFmtId="4" fontId="0" fillId="0" borderId="144" xfId="0" applyNumberFormat="1" applyBorder="1" applyAlignment="1">
      <alignment vertical="center"/>
    </xf>
    <xf numFmtId="4" fontId="0" fillId="0" borderId="145" xfId="0" applyNumberFormat="1" applyBorder="1" applyAlignment="1">
      <alignment vertical="center"/>
    </xf>
    <xf numFmtId="4" fontId="0" fillId="4" borderId="146" xfId="0" applyNumberFormat="1" applyFill="1" applyBorder="1" applyAlignment="1">
      <alignment vertical="center"/>
    </xf>
    <xf numFmtId="4" fontId="0" fillId="4" borderId="147" xfId="0" applyNumberFormat="1" applyFill="1" applyBorder="1" applyAlignment="1">
      <alignment vertical="center"/>
    </xf>
    <xf numFmtId="4" fontId="0" fillId="0" borderId="146" xfId="0" applyNumberFormat="1" applyBorder="1" applyAlignment="1">
      <alignment vertical="center"/>
    </xf>
    <xf numFmtId="4" fontId="0" fillId="0" borderId="147" xfId="0" applyNumberFormat="1" applyBorder="1" applyAlignment="1">
      <alignment vertical="center"/>
    </xf>
    <xf numFmtId="4" fontId="0" fillId="0" borderId="148" xfId="0" applyNumberFormat="1" applyBorder="1" applyAlignment="1">
      <alignment vertical="center"/>
    </xf>
    <xf numFmtId="4" fontId="0" fillId="0" borderId="149" xfId="0" applyNumberFormat="1" applyBorder="1" applyAlignment="1">
      <alignment vertical="center"/>
    </xf>
    <xf numFmtId="43" fontId="55" fillId="0" borderId="0" xfId="10" applyFont="1" applyAlignment="1">
      <alignment horizontal="center"/>
    </xf>
    <xf numFmtId="0" fontId="69" fillId="0" borderId="0" xfId="0" applyFont="1" applyAlignment="1">
      <alignment horizontal="center"/>
    </xf>
    <xf numFmtId="175" fontId="69" fillId="0" borderId="0" xfId="0" applyNumberFormat="1" applyFont="1" applyAlignment="1">
      <alignment horizontal="center"/>
    </xf>
    <xf numFmtId="4" fontId="0" fillId="2" borderId="107" xfId="0" applyNumberFormat="1" applyFill="1" applyBorder="1"/>
    <xf numFmtId="4" fontId="0" fillId="2" borderId="108" xfId="0" applyNumberFormat="1" applyFill="1" applyBorder="1" applyAlignment="1">
      <alignment horizontal="right"/>
    </xf>
    <xf numFmtId="167" fontId="0" fillId="2" borderId="109" xfId="1" applyNumberFormat="1" applyFont="1" applyFill="1" applyBorder="1"/>
    <xf numFmtId="9" fontId="13" fillId="0" borderId="78" xfId="1" applyFont="1" applyBorder="1" applyAlignment="1">
      <alignment horizontal="center" vertical="center"/>
    </xf>
    <xf numFmtId="170" fontId="13" fillId="2" borderId="0" xfId="0" applyNumberFormat="1" applyFont="1" applyFill="1" applyAlignment="1">
      <alignment horizontal="center" vertical="center"/>
    </xf>
    <xf numFmtId="43" fontId="13" fillId="4" borderId="0" xfId="10" applyFont="1" applyFill="1" applyBorder="1" applyAlignment="1">
      <alignment horizontal="right" vertical="center"/>
    </xf>
    <xf numFmtId="43" fontId="13" fillId="0" borderId="0" xfId="10" applyFont="1" applyBorder="1" applyAlignment="1">
      <alignment horizontal="right" vertical="center"/>
    </xf>
    <xf numFmtId="43" fontId="13" fillId="0" borderId="0" xfId="10" applyFont="1" applyBorder="1" applyAlignment="1">
      <alignment horizontal="right"/>
    </xf>
    <xf numFmtId="43" fontId="41" fillId="0" borderId="0" xfId="11" applyFont="1"/>
    <xf numFmtId="0" fontId="41" fillId="0" borderId="0" xfId="11" applyNumberFormat="1" applyFont="1"/>
    <xf numFmtId="0" fontId="41" fillId="0" borderId="0" xfId="11" applyNumberFormat="1" applyFont="1" applyAlignment="1">
      <alignment horizontal="right"/>
    </xf>
    <xf numFmtId="0" fontId="41" fillId="0" borderId="0" xfId="11" applyNumberFormat="1" applyFont="1" applyAlignment="1">
      <alignment horizontal="center"/>
    </xf>
    <xf numFmtId="0" fontId="41" fillId="0" borderId="0" xfId="0" applyFont="1" applyAlignment="1">
      <alignment horizontal="right"/>
    </xf>
    <xf numFmtId="10" fontId="30" fillId="0" borderId="131" xfId="1" applyNumberFormat="1" applyFont="1" applyBorder="1"/>
    <xf numFmtId="10" fontId="47" fillId="4" borderId="129" xfId="1" applyNumberFormat="1" applyFont="1" applyFill="1" applyBorder="1"/>
    <xf numFmtId="10" fontId="30" fillId="0" borderId="31" xfId="1" applyNumberFormat="1" applyFont="1" applyBorder="1"/>
    <xf numFmtId="0" fontId="47" fillId="0" borderId="27" xfId="0" applyFont="1" applyBorder="1" applyAlignment="1">
      <alignment vertical="center"/>
    </xf>
    <xf numFmtId="0" fontId="30" fillId="0" borderId="28" xfId="0" applyFont="1" applyBorder="1" applyAlignment="1">
      <alignment vertical="center"/>
    </xf>
    <xf numFmtId="43" fontId="30" fillId="0" borderId="28" xfId="10" applyFont="1" applyBorder="1" applyAlignment="1">
      <alignment vertical="center"/>
    </xf>
    <xf numFmtId="10" fontId="30" fillId="0" borderId="29" xfId="1" applyNumberFormat="1" applyFont="1" applyBorder="1" applyAlignment="1">
      <alignment vertical="center"/>
    </xf>
    <xf numFmtId="10" fontId="30" fillId="0" borderId="31" xfId="1" applyNumberFormat="1" applyFont="1" applyBorder="1" applyAlignment="1">
      <alignment vertical="center"/>
    </xf>
    <xf numFmtId="10" fontId="47" fillId="4" borderId="129" xfId="1" applyNumberFormat="1" applyFont="1" applyFill="1" applyBorder="1" applyAlignment="1">
      <alignment vertical="center"/>
    </xf>
    <xf numFmtId="0" fontId="47" fillId="4" borderId="32" xfId="0" applyFont="1" applyFill="1" applyBorder="1" applyAlignment="1">
      <alignment vertical="center"/>
    </xf>
    <xf numFmtId="0" fontId="47" fillId="4" borderId="33" xfId="0" applyFont="1" applyFill="1" applyBorder="1" applyAlignment="1">
      <alignment vertical="center"/>
    </xf>
    <xf numFmtId="43" fontId="47" fillId="4" borderId="33" xfId="10" applyFont="1" applyFill="1" applyBorder="1" applyAlignment="1">
      <alignment vertical="center"/>
    </xf>
    <xf numFmtId="10" fontId="47" fillId="4" borderId="34" xfId="1" applyNumberFormat="1" applyFont="1" applyFill="1" applyBorder="1" applyAlignment="1">
      <alignment vertical="center"/>
    </xf>
    <xf numFmtId="0" fontId="47" fillId="0" borderId="27" xfId="0" applyFont="1" applyBorder="1"/>
    <xf numFmtId="0" fontId="30" fillId="0" borderId="28" xfId="0" applyFont="1" applyBorder="1"/>
    <xf numFmtId="43" fontId="30" fillId="0" borderId="28" xfId="10" applyFont="1" applyBorder="1"/>
    <xf numFmtId="10" fontId="30" fillId="0" borderId="29" xfId="1" applyNumberFormat="1" applyFont="1" applyBorder="1"/>
    <xf numFmtId="0" fontId="47" fillId="4" borderId="32" xfId="0" applyFont="1" applyFill="1" applyBorder="1"/>
    <xf numFmtId="0" fontId="47" fillId="4" borderId="33" xfId="0" applyFont="1" applyFill="1" applyBorder="1"/>
    <xf numFmtId="43" fontId="47" fillId="4" borderId="33" xfId="10" applyFont="1" applyFill="1" applyBorder="1"/>
    <xf numFmtId="10" fontId="47" fillId="4" borderId="34" xfId="1" applyNumberFormat="1" applyFont="1" applyFill="1" applyBorder="1"/>
    <xf numFmtId="4" fontId="35" fillId="8" borderId="152" xfId="0" applyNumberFormat="1" applyFont="1" applyFill="1" applyBorder="1" applyAlignment="1">
      <alignment vertical="center"/>
    </xf>
    <xf numFmtId="10" fontId="35" fillId="8" borderId="153" xfId="1" applyNumberFormat="1" applyFont="1" applyFill="1" applyBorder="1" applyAlignment="1">
      <alignment vertical="center"/>
    </xf>
    <xf numFmtId="0" fontId="35" fillId="8" borderId="0" xfId="0" quotePrefix="1" applyFont="1" applyFill="1" applyAlignment="1">
      <alignment horizontal="center" vertical="center" wrapText="1"/>
    </xf>
    <xf numFmtId="17" fontId="35" fillId="8" borderId="154" xfId="0" applyNumberFormat="1" applyFont="1" applyFill="1" applyBorder="1" applyAlignment="1">
      <alignment horizontal="center" vertical="center" wrapText="1"/>
    </xf>
    <xf numFmtId="169" fontId="35" fillId="8" borderId="154" xfId="0" applyNumberFormat="1" applyFont="1" applyFill="1" applyBorder="1" applyAlignment="1">
      <alignment horizontal="center" vertical="center" wrapText="1"/>
    </xf>
    <xf numFmtId="0" fontId="35" fillId="8" borderId="154" xfId="0" applyFont="1" applyFill="1" applyBorder="1" applyAlignment="1">
      <alignment horizontal="center" vertical="center" wrapText="1"/>
    </xf>
    <xf numFmtId="0" fontId="35" fillId="8" borderId="155" xfId="0" applyFont="1" applyFill="1" applyBorder="1" applyAlignment="1">
      <alignment horizontal="center" vertical="center" wrapText="1"/>
    </xf>
    <xf numFmtId="0" fontId="30" fillId="2" borderId="156" xfId="0" quotePrefix="1" applyFont="1" applyFill="1" applyBorder="1" applyAlignment="1">
      <alignment vertical="center" wrapText="1"/>
    </xf>
    <xf numFmtId="168" fontId="30" fillId="2" borderId="156" xfId="0" applyNumberFormat="1" applyFont="1" applyFill="1" applyBorder="1" applyAlignment="1">
      <alignment horizontal="center" vertical="center" wrapText="1"/>
    </xf>
    <xf numFmtId="0" fontId="30" fillId="2" borderId="156" xfId="1" applyNumberFormat="1" applyFont="1" applyFill="1" applyBorder="1" applyAlignment="1">
      <alignment horizontal="center" vertical="center" wrapText="1"/>
    </xf>
    <xf numFmtId="2" fontId="30" fillId="2" borderId="156" xfId="1" applyNumberFormat="1" applyFont="1" applyFill="1" applyBorder="1" applyAlignment="1">
      <alignment horizontal="center" vertical="center" wrapText="1"/>
    </xf>
    <xf numFmtId="174" fontId="30" fillId="2" borderId="156" xfId="0" applyNumberFormat="1" applyFont="1" applyFill="1" applyBorder="1" applyAlignment="1">
      <alignment horizontal="center" vertical="center" wrapText="1"/>
    </xf>
    <xf numFmtId="0" fontId="30" fillId="2" borderId="156" xfId="0" applyFont="1" applyFill="1" applyBorder="1" applyAlignment="1">
      <alignment horizontal="center" vertical="center" wrapText="1"/>
    </xf>
    <xf numFmtId="0" fontId="35" fillId="8" borderId="157" xfId="0" quotePrefix="1" applyFont="1" applyFill="1" applyBorder="1" applyAlignment="1">
      <alignment horizontal="left" vertical="center"/>
    </xf>
    <xf numFmtId="168" fontId="35" fillId="8" borderId="158" xfId="0" applyNumberFormat="1" applyFont="1" applyFill="1" applyBorder="1" applyAlignment="1">
      <alignment horizontal="right" vertical="center"/>
    </xf>
    <xf numFmtId="168" fontId="35" fillId="8" borderId="158" xfId="0" applyNumberFormat="1" applyFont="1" applyFill="1" applyBorder="1" applyAlignment="1">
      <alignment horizontal="left" vertical="center"/>
    </xf>
    <xf numFmtId="0" fontId="35" fillId="8" borderId="158" xfId="1" applyNumberFormat="1" applyFont="1" applyFill="1" applyBorder="1" applyAlignment="1">
      <alignment horizontal="left" vertical="center"/>
    </xf>
    <xf numFmtId="0" fontId="35" fillId="8" borderId="159" xfId="1" applyNumberFormat="1" applyFont="1" applyFill="1" applyBorder="1" applyAlignment="1">
      <alignment horizontal="center" vertical="center"/>
    </xf>
    <xf numFmtId="0" fontId="35" fillId="8" borderId="156" xfId="0" applyFont="1" applyFill="1" applyBorder="1" applyAlignment="1">
      <alignment horizontal="center" vertical="center"/>
    </xf>
    <xf numFmtId="2" fontId="65" fillId="0" borderId="0" xfId="0" applyNumberFormat="1" applyFont="1" applyAlignment="1">
      <alignment horizontal="right" vertical="center"/>
    </xf>
    <xf numFmtId="2" fontId="65" fillId="0" borderId="0" xfId="0" quotePrefix="1" applyNumberFormat="1" applyFont="1" applyAlignment="1">
      <alignment horizontal="right" vertical="center" wrapText="1"/>
    </xf>
    <xf numFmtId="43" fontId="46" fillId="0" borderId="150" xfId="10" applyFont="1" applyBorder="1" applyAlignment="1">
      <alignment horizontal="center" vertical="center" wrapText="1"/>
    </xf>
    <xf numFmtId="176" fontId="21" fillId="0" borderId="38" xfId="1" applyNumberFormat="1" applyFont="1" applyBorder="1" applyAlignment="1">
      <alignment horizontal="right" vertical="center"/>
    </xf>
    <xf numFmtId="0" fontId="30" fillId="0" borderId="95" xfId="8" applyFont="1" applyBorder="1" applyAlignment="1">
      <alignment horizontal="center" vertical="center" wrapText="1"/>
    </xf>
    <xf numFmtId="22" fontId="30" fillId="0" borderId="95" xfId="8" applyNumberFormat="1" applyFont="1" applyBorder="1" applyAlignment="1">
      <alignment horizontal="center" vertical="center" wrapText="1"/>
    </xf>
    <xf numFmtId="0" fontId="44" fillId="0" borderId="95" xfId="8" applyFont="1" applyBorder="1" applyAlignment="1">
      <alignment horizontal="justify" vertical="center" wrapText="1"/>
    </xf>
    <xf numFmtId="0" fontId="44" fillId="0" borderId="95" xfId="8" applyFont="1" applyBorder="1" applyAlignment="1">
      <alignment horizontal="center" vertical="center" wrapText="1"/>
    </xf>
    <xf numFmtId="43" fontId="0" fillId="0" borderId="0" xfId="11" applyFont="1" applyAlignment="1">
      <alignment vertical="center"/>
    </xf>
    <xf numFmtId="0" fontId="75" fillId="0" borderId="93" xfId="0" applyFont="1" applyBorder="1"/>
    <xf numFmtId="174" fontId="75" fillId="0" borderId="93" xfId="0" applyNumberFormat="1" applyFont="1" applyBorder="1"/>
    <xf numFmtId="174" fontId="75" fillId="11" borderId="93" xfId="0" applyNumberFormat="1" applyFont="1" applyFill="1" applyBorder="1"/>
    <xf numFmtId="4" fontId="30" fillId="2" borderId="156" xfId="0" applyNumberFormat="1" applyFont="1" applyFill="1" applyBorder="1" applyAlignment="1">
      <alignment horizontal="center" vertical="center" wrapText="1"/>
    </xf>
    <xf numFmtId="4" fontId="35" fillId="8" borderId="156" xfId="0" applyNumberFormat="1" applyFont="1" applyFill="1" applyBorder="1" applyAlignment="1">
      <alignment horizontal="center" vertic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0"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8" borderId="23" xfId="10"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0"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0"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1" applyNumberFormat="1" applyFont="1" applyFill="1" applyBorder="1" applyAlignment="1">
      <alignment horizontal="center" vertical="center" wrapText="1"/>
    </xf>
    <xf numFmtId="167" fontId="31" fillId="8" borderId="23" xfId="1"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0"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49" fillId="2" borderId="0" xfId="0" applyFont="1" applyFill="1" applyAlignment="1">
      <alignment horizontal="left" vertical="center" wrapText="1"/>
    </xf>
    <xf numFmtId="43" fontId="46" fillId="0" borderId="150" xfId="10" applyFont="1" applyBorder="1" applyAlignment="1">
      <alignment horizontal="center" vertical="center" wrapText="1"/>
    </xf>
    <xf numFmtId="43" fontId="46" fillId="0" borderId="151" xfId="10" applyFont="1" applyBorder="1" applyAlignment="1">
      <alignment horizontal="center"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43" fontId="35" fillId="8" borderId="82" xfId="10" applyFont="1" applyFill="1" applyBorder="1" applyAlignment="1">
      <alignment horizontal="center" vertical="center" wrapText="1"/>
    </xf>
    <xf numFmtId="43" fontId="35" fillId="8" borderId="132" xfId="10"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Alignment="1">
      <alignment horizontal="left"/>
    </xf>
    <xf numFmtId="0" fontId="27" fillId="0" borderId="0" xfId="0" applyFont="1" applyAlignment="1">
      <alignment horizontal="left" vertical="center" wrapText="1"/>
    </xf>
    <xf numFmtId="0" fontId="35" fillId="8" borderId="110" xfId="4" applyFont="1" applyFill="1" applyBorder="1" applyAlignment="1">
      <alignment horizontal="center" vertical="center"/>
    </xf>
    <xf numFmtId="0" fontId="35" fillId="8" borderId="112" xfId="4" applyFont="1" applyFill="1" applyBorder="1" applyAlignment="1">
      <alignment horizontal="center" vertical="center"/>
    </xf>
    <xf numFmtId="0" fontId="35" fillId="8" borderId="114" xfId="4" applyFont="1" applyFill="1" applyBorder="1" applyAlignment="1">
      <alignment horizontal="center" vertical="center"/>
    </xf>
    <xf numFmtId="0" fontId="35" fillId="8" borderId="85" xfId="4" applyFont="1" applyFill="1" applyBorder="1" applyAlignment="1">
      <alignment horizontal="center"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4" applyFont="1" applyFill="1" applyBorder="1" applyAlignment="1">
      <alignment horizontal="center" vertical="center" wrapText="1"/>
    </xf>
    <xf numFmtId="0" fontId="35" fillId="8" borderId="85" xfId="4" applyFont="1" applyFill="1" applyBorder="1" applyAlignment="1">
      <alignment horizontal="center" vertical="center" wrapText="1"/>
    </xf>
    <xf numFmtId="0" fontId="35" fillId="8" borderId="116" xfId="4" applyFont="1" applyFill="1" applyBorder="1" applyAlignment="1">
      <alignment horizontal="center" vertical="center"/>
    </xf>
    <xf numFmtId="0" fontId="35" fillId="8" borderId="44" xfId="4" applyFont="1" applyFill="1" applyBorder="1" applyAlignment="1">
      <alignment horizontal="center" vertical="center"/>
    </xf>
    <xf numFmtId="0" fontId="30" fillId="0" borderId="0" xfId="0" applyFont="1" applyAlignment="1">
      <alignment horizontal="left" vertical="center" wrapText="1"/>
    </xf>
    <xf numFmtId="0" fontId="35" fillId="10" borderId="120" xfId="5" applyFont="1" applyFill="1" applyBorder="1" applyAlignment="1">
      <alignment horizontal="center" vertical="center"/>
    </xf>
    <xf numFmtId="0" fontId="35" fillId="10" borderId="122" xfId="5" applyFont="1" applyFill="1" applyBorder="1" applyAlignment="1">
      <alignment horizontal="center" vertical="center"/>
    </xf>
    <xf numFmtId="0" fontId="35" fillId="10" borderId="124" xfId="5" applyFont="1" applyFill="1" applyBorder="1" applyAlignment="1">
      <alignment horizontal="center" vertical="center"/>
    </xf>
    <xf numFmtId="0" fontId="35" fillId="10" borderId="92" xfId="5" applyFont="1" applyFill="1" applyBorder="1" applyAlignment="1">
      <alignment horizontal="center" vertical="center"/>
    </xf>
    <xf numFmtId="0" fontId="35" fillId="10" borderId="45" xfId="5" applyFont="1" applyFill="1" applyBorder="1" applyAlignment="1">
      <alignment horizontal="center" vertical="center"/>
    </xf>
    <xf numFmtId="0" fontId="35" fillId="10" borderId="91" xfId="5" applyFont="1" applyFill="1" applyBorder="1" applyAlignment="1">
      <alignment horizontal="center" vertical="center"/>
    </xf>
    <xf numFmtId="0" fontId="35" fillId="10" borderId="121" xfId="5" applyFont="1" applyFill="1" applyBorder="1" applyAlignment="1">
      <alignment horizontal="center" vertical="center"/>
    </xf>
    <xf numFmtId="0" fontId="35" fillId="10" borderId="126" xfId="5" applyFont="1" applyFill="1" applyBorder="1" applyAlignment="1">
      <alignment horizontal="center" vertical="center"/>
    </xf>
    <xf numFmtId="0" fontId="35" fillId="10" borderId="18" xfId="5" applyFont="1" applyFill="1" applyBorder="1" applyAlignment="1">
      <alignment horizontal="center" vertical="center"/>
    </xf>
    <xf numFmtId="0" fontId="35" fillId="10" borderId="127" xfId="5" applyFont="1" applyFill="1" applyBorder="1" applyAlignment="1">
      <alignment horizontal="center" vertical="center"/>
    </xf>
    <xf numFmtId="0" fontId="30" fillId="0" borderId="0" xfId="0" applyFont="1" applyAlignment="1">
      <alignment horizontal="left" vertical="center"/>
    </xf>
    <xf numFmtId="0" fontId="39" fillId="8" borderId="141" xfId="0" applyFont="1" applyFill="1" applyBorder="1" applyAlignment="1">
      <alignment horizontal="center" vertical="center"/>
    </xf>
    <xf numFmtId="0" fontId="39" fillId="8" borderId="142" xfId="0" applyFont="1" applyFill="1" applyBorder="1" applyAlignment="1">
      <alignment horizontal="center" vertical="center"/>
    </xf>
    <xf numFmtId="0" fontId="39" fillId="8" borderId="143" xfId="0" applyFont="1" applyFill="1" applyBorder="1" applyAlignment="1">
      <alignment horizontal="center" vertical="center"/>
    </xf>
    <xf numFmtId="174" fontId="39" fillId="8" borderId="138" xfId="0" applyNumberFormat="1" applyFont="1" applyFill="1" applyBorder="1" applyAlignment="1">
      <alignment horizontal="center"/>
    </xf>
    <xf numFmtId="174" fontId="39" fillId="8" borderId="139" xfId="0" applyNumberFormat="1" applyFont="1" applyFill="1" applyBorder="1" applyAlignment="1">
      <alignment horizontal="center"/>
    </xf>
    <xf numFmtId="174" fontId="39" fillId="8" borderId="140" xfId="0" applyNumberFormat="1" applyFont="1" applyFill="1" applyBorder="1" applyAlignment="1">
      <alignment horizontal="center"/>
    </xf>
  </cellXfs>
  <cellStyles count="12">
    <cellStyle name="Comma" xfId="10" xr:uid="{9BCC24FE-5DE2-45CE-B0FE-4BFB8519D0F5}"/>
    <cellStyle name="Millares" xfId="11" builtinId="3"/>
    <cellStyle name="Millares 2" xfId="9" xr:uid="{6056FAAB-A910-4673-96C4-279031F9CDE7}"/>
    <cellStyle name="Moneda" xfId="6" builtinId="4"/>
    <cellStyle name="Normal" xfId="0" builtinId="0"/>
    <cellStyle name="Normal 2" xfId="8" xr:uid="{BEC2926D-E6EB-46F3-9DB2-9578BC747F97}"/>
    <cellStyle name="Normal 394" xfId="4" xr:uid="{00000000-0005-0000-0000-000003000000}"/>
    <cellStyle name="Normal 395" xfId="5" xr:uid="{00000000-0005-0000-0000-000004000000}"/>
    <cellStyle name="Normal 398" xfId="7" xr:uid="{00000000-0005-0000-0000-000005000000}"/>
    <cellStyle name="Normal 96" xfId="3" xr:uid="{00000000-0005-0000-0000-000006000000}"/>
    <cellStyle name="Normal_Informe Semanal 52_2011 2" xfId="2" xr:uid="{00000000-0005-0000-0000-000007000000}"/>
    <cellStyle name="Porcentaje" xfId="1"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Resumen'!$O$23:$O$29</c:f>
              <c:numCache>
                <c:formatCode>0.00</c:formatCode>
                <c:ptCount val="7"/>
                <c:pt idx="0">
                  <c:v>1675.4177321</c:v>
                </c:pt>
                <c:pt idx="1">
                  <c:v>2489.8786573650004</c:v>
                </c:pt>
                <c:pt idx="2">
                  <c:v>0</c:v>
                </c:pt>
                <c:pt idx="3">
                  <c:v>350.04526685249994</c:v>
                </c:pt>
                <c:pt idx="4">
                  <c:v>32.969126824999996</c:v>
                </c:pt>
                <c:pt idx="5">
                  <c:v>188.24767344500003</c:v>
                </c:pt>
                <c:pt idx="6">
                  <c:v>69.0593317525</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2489.8786573650004</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350.04526685249994</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32.969126824999996</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188.24767344500003</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69.0593317525</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RER'!$M$42:$M$48</c:f>
              <c:strCache>
                <c:ptCount val="7"/>
                <c:pt idx="0">
                  <c:v>C.S. RUBI</c:v>
                </c:pt>
                <c:pt idx="1">
                  <c:v>C.S. INTIPAMPA</c:v>
                </c:pt>
                <c:pt idx="2">
                  <c:v>C.S. PANAMERICANA SOLAR</c:v>
                </c:pt>
                <c:pt idx="3">
                  <c:v>C.S. MAJES SOLAR</c:v>
                </c:pt>
                <c:pt idx="4">
                  <c:v>C.S. REPARTICION</c:v>
                </c:pt>
                <c:pt idx="5">
                  <c:v>C.S. MOQUEGUA FV</c:v>
                </c:pt>
                <c:pt idx="6">
                  <c:v>C.S. TACNA SOLAR</c:v>
                </c:pt>
              </c:strCache>
            </c:strRef>
          </c:cat>
          <c:val>
            <c:numRef>
              <c:f>'6. FP RER'!$P$42:$P$48</c:f>
              <c:numCache>
                <c:formatCode>0.00</c:formatCode>
                <c:ptCount val="7"/>
                <c:pt idx="0">
                  <c:v>33.307657750000004</c:v>
                </c:pt>
                <c:pt idx="1">
                  <c:v>8.2139864599999992</c:v>
                </c:pt>
                <c:pt idx="2">
                  <c:v>4.2201009999999997</c:v>
                </c:pt>
                <c:pt idx="3">
                  <c:v>3.7470653</c:v>
                </c:pt>
                <c:pt idx="4">
                  <c:v>3.7262939925</c:v>
                </c:pt>
                <c:pt idx="5">
                  <c:v>3.5158252499999998</c:v>
                </c:pt>
                <c:pt idx="6">
                  <c:v>3.4422667499999999</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RER'!$M$42:$M$48</c:f>
              <c:strCache>
                <c:ptCount val="7"/>
                <c:pt idx="0">
                  <c:v>C.S. RUBI</c:v>
                </c:pt>
                <c:pt idx="1">
                  <c:v>C.S. INTIPAMPA</c:v>
                </c:pt>
                <c:pt idx="2">
                  <c:v>C.S. PANAMERICANA SOLAR</c:v>
                </c:pt>
                <c:pt idx="3">
                  <c:v>C.S. MAJES SOLAR</c:v>
                </c:pt>
                <c:pt idx="4">
                  <c:v>C.S. REPARTICION</c:v>
                </c:pt>
                <c:pt idx="5">
                  <c:v>C.S. MOQUEGUA FV</c:v>
                </c:pt>
                <c:pt idx="6">
                  <c:v>C.S. TACNA SOLAR</c:v>
                </c:pt>
              </c:strCache>
            </c:strRef>
          </c:cat>
          <c:val>
            <c:numRef>
              <c:f>'6. FP RER'!$Q$42:$Q$48</c:f>
              <c:numCache>
                <c:formatCode>0.00</c:formatCode>
                <c:ptCount val="7"/>
                <c:pt idx="0">
                  <c:v>0.30985850768867823</c:v>
                </c:pt>
                <c:pt idx="1">
                  <c:v>0.24787391966143757</c:v>
                </c:pt>
                <c:pt idx="2">
                  <c:v>0.28360893817204297</c:v>
                </c:pt>
                <c:pt idx="3">
                  <c:v>0.25181890456989248</c:v>
                </c:pt>
                <c:pt idx="4">
                  <c:v>0.25042298336693547</c:v>
                </c:pt>
                <c:pt idx="5">
                  <c:v>0.29534822328629029</c:v>
                </c:pt>
                <c:pt idx="6">
                  <c:v>0.23133513104838707</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RER'!$M$49:$M$53</c:f>
              <c:strCache>
                <c:ptCount val="5"/>
                <c:pt idx="0">
                  <c:v>C.T. PARAMONGA</c:v>
                </c:pt>
                <c:pt idx="1">
                  <c:v>C.T. HUAYCOLORO</c:v>
                </c:pt>
                <c:pt idx="2">
                  <c:v>C.T. DOÑA CATALINA</c:v>
                </c:pt>
                <c:pt idx="3">
                  <c:v>C.T. CALLAO</c:v>
                </c:pt>
                <c:pt idx="4">
                  <c:v>C.T. LA GRINGA</c:v>
                </c:pt>
              </c:strCache>
            </c:strRef>
          </c:cat>
          <c:val>
            <c:numRef>
              <c:f>'6. FP RER'!$P$49:$P$53</c:f>
              <c:numCache>
                <c:formatCode>0.00</c:formatCode>
                <c:ptCount val="5"/>
                <c:pt idx="0">
                  <c:v>10.18044031</c:v>
                </c:pt>
                <c:pt idx="1">
                  <c:v>2.0376750499999998</c:v>
                </c:pt>
                <c:pt idx="2">
                  <c:v>1.5869423</c:v>
                </c:pt>
                <c:pt idx="3">
                  <c:v>1.4387384249999999</c:v>
                </c:pt>
                <c:pt idx="4">
                  <c:v>0.86460182499999993</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RER'!$M$49:$M$53</c:f>
              <c:strCache>
                <c:ptCount val="5"/>
                <c:pt idx="0">
                  <c:v>C.T. PARAMONGA</c:v>
                </c:pt>
                <c:pt idx="1">
                  <c:v>C.T. HUAYCOLORO</c:v>
                </c:pt>
                <c:pt idx="2">
                  <c:v>C.T. DOÑA CATALINA</c:v>
                </c:pt>
                <c:pt idx="3">
                  <c:v>C.T. CALLAO</c:v>
                </c:pt>
                <c:pt idx="4">
                  <c:v>C.T. LA GRINGA</c:v>
                </c:pt>
              </c:strCache>
            </c:strRef>
          </c:cat>
          <c:val>
            <c:numRef>
              <c:f>'6. FP RER'!$Q$49:$Q$53</c:f>
              <c:numCache>
                <c:formatCode>0.00</c:formatCode>
                <c:ptCount val="5"/>
                <c:pt idx="0">
                  <c:v>1.0739607421241468</c:v>
                </c:pt>
                <c:pt idx="1">
                  <c:v>0.64253619966575215</c:v>
                </c:pt>
                <c:pt idx="2">
                  <c:v>0.88874456765232979</c:v>
                </c:pt>
                <c:pt idx="3">
                  <c:v>0.80574508568548386</c:v>
                </c:pt>
                <c:pt idx="4">
                  <c:v>0.39343847619952521</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55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2023</c:v>
                </c:pt>
              </c:strCache>
            </c:strRef>
          </c:tx>
          <c:spPr>
            <a:solidFill>
              <a:srgbClr val="0077A5"/>
            </a:solidFill>
          </c:spPr>
          <c:invertIfNegative val="0"/>
          <c:cat>
            <c:multiLvlStrRef>
              <c:f>'6. FP RER'!$T$6:$U$53</c:f>
              <c:multiLvlStrCache>
                <c:ptCount val="48"/>
                <c:lvl>
                  <c:pt idx="0">
                    <c:v>C.H. RENOVANDES H1</c:v>
                  </c:pt>
                  <c:pt idx="1">
                    <c:v>C.H. YARUCAYA</c:v>
                  </c:pt>
                  <c:pt idx="2">
                    <c:v>C.H. CHANCAY</c:v>
                  </c:pt>
                  <c:pt idx="3">
                    <c:v>C.H. RONCADOR</c:v>
                  </c:pt>
                  <c:pt idx="4">
                    <c:v>C.H. CARHUAQUERO IV</c:v>
                  </c:pt>
                  <c:pt idx="5">
                    <c:v>C.H. RUCUY</c:v>
                  </c:pt>
                  <c:pt idx="6">
                    <c:v>C.H. IMPERIAL</c:v>
                  </c:pt>
                  <c:pt idx="7">
                    <c:v>C.H. LAS PIZARRAS</c:v>
                  </c:pt>
                  <c:pt idx="8">
                    <c:v>C.H. YANAPAMPA</c:v>
                  </c:pt>
                  <c:pt idx="9">
                    <c:v>C.H. CANCHAYLLO</c:v>
                  </c:pt>
                  <c:pt idx="10">
                    <c:v>C.H. POTRERO</c:v>
                  </c:pt>
                  <c:pt idx="11">
                    <c:v>C.H. 8 DE AGOSTO</c:v>
                  </c:pt>
                  <c:pt idx="12">
                    <c:v>C.H. RUNATULLO III</c:v>
                  </c:pt>
                  <c:pt idx="13">
                    <c:v>C.H. ÁNGEL II</c:v>
                  </c:pt>
                  <c:pt idx="14">
                    <c:v>C.H. SANTA CRUZ II</c:v>
                  </c:pt>
                  <c:pt idx="15">
                    <c:v>C.H. ÁNGEL III</c:v>
                  </c:pt>
                  <c:pt idx="16">
                    <c:v>C.H. HER 1</c:v>
                  </c:pt>
                  <c:pt idx="17">
                    <c:v>C.H. CAÑA BRAVA</c:v>
                  </c:pt>
                  <c:pt idx="18">
                    <c:v>C.H. POECHOS II</c:v>
                  </c:pt>
                  <c:pt idx="19">
                    <c:v>C.H. EL CARMEN</c:v>
                  </c:pt>
                  <c:pt idx="20">
                    <c:v>C.H. HUASAHUASI II</c:v>
                  </c:pt>
                  <c:pt idx="21">
                    <c:v>C.H. RUNATULLO II</c:v>
                  </c:pt>
                  <c:pt idx="22">
                    <c:v>C.H. HUASAHUASI I</c:v>
                  </c:pt>
                  <c:pt idx="23">
                    <c:v>C.H. SANTA CRUZ I</c:v>
                  </c:pt>
                  <c:pt idx="24">
                    <c:v>C.H. CARHUAC</c:v>
                  </c:pt>
                  <c:pt idx="25">
                    <c:v>C.H. ÁNGEL I</c:v>
                  </c:pt>
                  <c:pt idx="26">
                    <c:v>C.H. LA JOYA</c:v>
                  </c:pt>
                  <c:pt idx="27">
                    <c:v>C.H. MANTA I</c:v>
                  </c:pt>
                  <c:pt idx="28">
                    <c:v>C.H. PURMACANA</c:v>
                  </c:pt>
                  <c:pt idx="29">
                    <c:v>C.E. DUNA</c:v>
                  </c:pt>
                  <c:pt idx="30">
                    <c:v>C.E. MARCONA</c:v>
                  </c:pt>
                  <c:pt idx="31">
                    <c:v>C.E. TRES HERMANAS</c:v>
                  </c:pt>
                  <c:pt idx="32">
                    <c:v>C.E. HUAMBOS</c:v>
                  </c:pt>
                  <c:pt idx="33">
                    <c:v>C.E. WAYRA I</c:v>
                  </c:pt>
                  <c:pt idx="34">
                    <c:v>C.E. TALARA</c:v>
                  </c:pt>
                  <c:pt idx="35">
                    <c:v>C.E. CUPISNIQUE</c:v>
                  </c:pt>
                  <c:pt idx="36">
                    <c:v>C.S. MOQUEGUA FV</c:v>
                  </c:pt>
                  <c:pt idx="37">
                    <c:v>C.S. RUBI</c:v>
                  </c:pt>
                  <c:pt idx="38">
                    <c:v>C.S. PANAMERICANA SOLAR</c:v>
                  </c:pt>
                  <c:pt idx="39">
                    <c:v>C.S. TACNA SOLAR</c:v>
                  </c:pt>
                  <c:pt idx="40">
                    <c:v>C.S. MAJES SOLAR</c:v>
                  </c:pt>
                  <c:pt idx="41">
                    <c:v>C.S. REPARTICION</c:v>
                  </c:pt>
                  <c:pt idx="42">
                    <c:v>C.S. INTIPAMPA</c:v>
                  </c:pt>
                  <c:pt idx="43">
                    <c:v>C.T. PARAMONGA</c:v>
                  </c:pt>
                  <c:pt idx="44">
                    <c:v>C.T. DOÑA CATALINA</c:v>
                  </c:pt>
                  <c:pt idx="45">
                    <c:v>C.T. CALLAO</c:v>
                  </c:pt>
                  <c:pt idx="46">
                    <c:v>C.T. HUAYCOLORO</c:v>
                  </c:pt>
                  <c:pt idx="47">
                    <c:v>C.T. LA GRINGA</c:v>
                  </c:pt>
                </c:lvl>
                <c:lvl>
                  <c:pt idx="0">
                    <c:v>HIDROELÉCTRICAS</c:v>
                  </c:pt>
                  <c:pt idx="29">
                    <c:v>EÓLICAS</c:v>
                  </c:pt>
                  <c:pt idx="36">
                    <c:v>SOLARES</c:v>
                  </c:pt>
                  <c:pt idx="43">
                    <c:v>TERMOELÉCTRICAS</c:v>
                  </c:pt>
                </c:lvl>
              </c:multiLvlStrCache>
            </c:multiLvlStrRef>
          </c:cat>
          <c:val>
            <c:numRef>
              <c:f>'6. FP RER'!$V$6:$V$53</c:f>
              <c:numCache>
                <c:formatCode>0.000</c:formatCode>
                <c:ptCount val="48"/>
                <c:pt idx="0">
                  <c:v>0.93906779745127311</c:v>
                </c:pt>
                <c:pt idx="1">
                  <c:v>0.9051671515859121</c:v>
                </c:pt>
                <c:pt idx="2">
                  <c:v>0.88787564243767714</c:v>
                </c:pt>
                <c:pt idx="3">
                  <c:v>0.88404476486806616</c:v>
                </c:pt>
                <c:pt idx="4">
                  <c:v>0.8261378070116997</c:v>
                </c:pt>
                <c:pt idx="5">
                  <c:v>0.81576451602753552</c:v>
                </c:pt>
                <c:pt idx="6">
                  <c:v>0.81028962002953897</c:v>
                </c:pt>
                <c:pt idx="7">
                  <c:v>0.78299708010956948</c:v>
                </c:pt>
                <c:pt idx="8">
                  <c:v>0.78079318740399417</c:v>
                </c:pt>
                <c:pt idx="9">
                  <c:v>0.76629136316270141</c:v>
                </c:pt>
                <c:pt idx="10">
                  <c:v>0.7638769768206678</c:v>
                </c:pt>
                <c:pt idx="11">
                  <c:v>0.7459673527738816</c:v>
                </c:pt>
                <c:pt idx="12">
                  <c:v>0.7354560656762329</c:v>
                </c:pt>
                <c:pt idx="13">
                  <c:v>0.70780717789974856</c:v>
                </c:pt>
                <c:pt idx="14">
                  <c:v>0.69849492548495007</c:v>
                </c:pt>
                <c:pt idx="15">
                  <c:v>0.68918086897515018</c:v>
                </c:pt>
                <c:pt idx="16">
                  <c:v>0.68570617447116566</c:v>
                </c:pt>
                <c:pt idx="17">
                  <c:v>0.67863222322399142</c:v>
                </c:pt>
                <c:pt idx="18">
                  <c:v>0.67152305406448032</c:v>
                </c:pt>
                <c:pt idx="19">
                  <c:v>0.66182142102034502</c:v>
                </c:pt>
                <c:pt idx="20">
                  <c:v>0.63484285957838649</c:v>
                </c:pt>
                <c:pt idx="21">
                  <c:v>0.6270746461663711</c:v>
                </c:pt>
                <c:pt idx="22">
                  <c:v>0.60744786049787691</c:v>
                </c:pt>
                <c:pt idx="23">
                  <c:v>0.59814547026877884</c:v>
                </c:pt>
                <c:pt idx="24">
                  <c:v>0.59015307257750194</c:v>
                </c:pt>
                <c:pt idx="25">
                  <c:v>0.57086648094677794</c:v>
                </c:pt>
                <c:pt idx="26">
                  <c:v>0.56170316137389564</c:v>
                </c:pt>
                <c:pt idx="27">
                  <c:v>0.4711609007481079</c:v>
                </c:pt>
                <c:pt idx="28">
                  <c:v>0.32548450660128497</c:v>
                </c:pt>
                <c:pt idx="29">
                  <c:v>0.49671659077856295</c:v>
                </c:pt>
                <c:pt idx="30">
                  <c:v>0.48642194953198709</c:v>
                </c:pt>
                <c:pt idx="31">
                  <c:v>0.47592054422200147</c:v>
                </c:pt>
                <c:pt idx="32">
                  <c:v>0.40764125346006097</c:v>
                </c:pt>
                <c:pt idx="33">
                  <c:v>0.3563553956042585</c:v>
                </c:pt>
                <c:pt idx="34">
                  <c:v>0.33126905411612401</c:v>
                </c:pt>
                <c:pt idx="35">
                  <c:v>0.32216814364242846</c:v>
                </c:pt>
                <c:pt idx="36">
                  <c:v>0.31663127386129125</c:v>
                </c:pt>
                <c:pt idx="37">
                  <c:v>0.31229922202296073</c:v>
                </c:pt>
                <c:pt idx="38">
                  <c:v>0.30975721558077829</c:v>
                </c:pt>
                <c:pt idx="39">
                  <c:v>0.29857219401041662</c:v>
                </c:pt>
                <c:pt idx="40">
                  <c:v>0.2493410642688679</c:v>
                </c:pt>
                <c:pt idx="41">
                  <c:v>0.24340010822032235</c:v>
                </c:pt>
                <c:pt idx="42">
                  <c:v>0.2427689035459081</c:v>
                </c:pt>
                <c:pt idx="43" formatCode="_(* #,##0.00_);_(* \(#,##0.00\);_(* &quot;-&quot;??_);_(@_)">
                  <c:v>0.87764053564952815</c:v>
                </c:pt>
                <c:pt idx="44" formatCode="_(* #,##0.00_);_(* \(#,##0.00\);_(* &quot;-&quot;??_);_(@_)">
                  <c:v>0.73385465249115556</c:v>
                </c:pt>
                <c:pt idx="45" formatCode="_(* #,##0.00_);_(* \(#,##0.00\);_(* &quot;-&quot;??_);_(@_)">
                  <c:v>0.72747941439006814</c:v>
                </c:pt>
                <c:pt idx="46" formatCode="_(* #,##0.00_);_(* \(#,##0.00\);_(* &quot;-&quot;??_);_(@_)">
                  <c:v>0.72231032444807153</c:v>
                </c:pt>
                <c:pt idx="47" formatCode="_(* #,##0.00_);_(* \(#,##0.00\);_(* &quot;-&quot;??_);_(@_)">
                  <c:v>0.3779152022418103</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2022</c:v>
                </c:pt>
              </c:strCache>
            </c:strRef>
          </c:tx>
          <c:spPr>
            <a:solidFill>
              <a:schemeClr val="accent2"/>
            </a:solidFill>
          </c:spPr>
          <c:invertIfNegative val="0"/>
          <c:cat>
            <c:multiLvlStrRef>
              <c:f>'6. FP RER'!$T$6:$U$53</c:f>
              <c:multiLvlStrCache>
                <c:ptCount val="48"/>
                <c:lvl>
                  <c:pt idx="0">
                    <c:v>C.H. RENOVANDES H1</c:v>
                  </c:pt>
                  <c:pt idx="1">
                    <c:v>C.H. YARUCAYA</c:v>
                  </c:pt>
                  <c:pt idx="2">
                    <c:v>C.H. CHANCAY</c:v>
                  </c:pt>
                  <c:pt idx="3">
                    <c:v>C.H. RONCADOR</c:v>
                  </c:pt>
                  <c:pt idx="4">
                    <c:v>C.H. CARHUAQUERO IV</c:v>
                  </c:pt>
                  <c:pt idx="5">
                    <c:v>C.H. RUCUY</c:v>
                  </c:pt>
                  <c:pt idx="6">
                    <c:v>C.H. IMPERIAL</c:v>
                  </c:pt>
                  <c:pt idx="7">
                    <c:v>C.H. LAS PIZARRAS</c:v>
                  </c:pt>
                  <c:pt idx="8">
                    <c:v>C.H. YANAPAMPA</c:v>
                  </c:pt>
                  <c:pt idx="9">
                    <c:v>C.H. CANCHAYLLO</c:v>
                  </c:pt>
                  <c:pt idx="10">
                    <c:v>C.H. POTRERO</c:v>
                  </c:pt>
                  <c:pt idx="11">
                    <c:v>C.H. 8 DE AGOSTO</c:v>
                  </c:pt>
                  <c:pt idx="12">
                    <c:v>C.H. RUNATULLO III</c:v>
                  </c:pt>
                  <c:pt idx="13">
                    <c:v>C.H. ÁNGEL II</c:v>
                  </c:pt>
                  <c:pt idx="14">
                    <c:v>C.H. SANTA CRUZ II</c:v>
                  </c:pt>
                  <c:pt idx="15">
                    <c:v>C.H. ÁNGEL III</c:v>
                  </c:pt>
                  <c:pt idx="16">
                    <c:v>C.H. HER 1</c:v>
                  </c:pt>
                  <c:pt idx="17">
                    <c:v>C.H. CAÑA BRAVA</c:v>
                  </c:pt>
                  <c:pt idx="18">
                    <c:v>C.H. POECHOS II</c:v>
                  </c:pt>
                  <c:pt idx="19">
                    <c:v>C.H. EL CARMEN</c:v>
                  </c:pt>
                  <c:pt idx="20">
                    <c:v>C.H. HUASAHUASI II</c:v>
                  </c:pt>
                  <c:pt idx="21">
                    <c:v>C.H. RUNATULLO II</c:v>
                  </c:pt>
                  <c:pt idx="22">
                    <c:v>C.H. HUASAHUASI I</c:v>
                  </c:pt>
                  <c:pt idx="23">
                    <c:v>C.H. SANTA CRUZ I</c:v>
                  </c:pt>
                  <c:pt idx="24">
                    <c:v>C.H. CARHUAC</c:v>
                  </c:pt>
                  <c:pt idx="25">
                    <c:v>C.H. ÁNGEL I</c:v>
                  </c:pt>
                  <c:pt idx="26">
                    <c:v>C.H. LA JOYA</c:v>
                  </c:pt>
                  <c:pt idx="27">
                    <c:v>C.H. MANTA I</c:v>
                  </c:pt>
                  <c:pt idx="28">
                    <c:v>C.H. PURMACANA</c:v>
                  </c:pt>
                  <c:pt idx="29">
                    <c:v>C.E. DUNA</c:v>
                  </c:pt>
                  <c:pt idx="30">
                    <c:v>C.E. MARCONA</c:v>
                  </c:pt>
                  <c:pt idx="31">
                    <c:v>C.E. TRES HERMANAS</c:v>
                  </c:pt>
                  <c:pt idx="32">
                    <c:v>C.E. HUAMBOS</c:v>
                  </c:pt>
                  <c:pt idx="33">
                    <c:v>C.E. WAYRA I</c:v>
                  </c:pt>
                  <c:pt idx="34">
                    <c:v>C.E. TALARA</c:v>
                  </c:pt>
                  <c:pt idx="35">
                    <c:v>C.E. CUPISNIQUE</c:v>
                  </c:pt>
                  <c:pt idx="36">
                    <c:v>C.S. MOQUEGUA FV</c:v>
                  </c:pt>
                  <c:pt idx="37">
                    <c:v>C.S. RUBI</c:v>
                  </c:pt>
                  <c:pt idx="38">
                    <c:v>C.S. PANAMERICANA SOLAR</c:v>
                  </c:pt>
                  <c:pt idx="39">
                    <c:v>C.S. TACNA SOLAR</c:v>
                  </c:pt>
                  <c:pt idx="40">
                    <c:v>C.S. MAJES SOLAR</c:v>
                  </c:pt>
                  <c:pt idx="41">
                    <c:v>C.S. REPARTICION</c:v>
                  </c:pt>
                  <c:pt idx="42">
                    <c:v>C.S. INTIPAMPA</c:v>
                  </c:pt>
                  <c:pt idx="43">
                    <c:v>C.T. PARAMONGA</c:v>
                  </c:pt>
                  <c:pt idx="44">
                    <c:v>C.T. DOÑA CATALINA</c:v>
                  </c:pt>
                  <c:pt idx="45">
                    <c:v>C.T. CALLAO</c:v>
                  </c:pt>
                  <c:pt idx="46">
                    <c:v>C.T. HUAYCOLORO</c:v>
                  </c:pt>
                  <c:pt idx="47">
                    <c:v>C.T. LA GRINGA</c:v>
                  </c:pt>
                </c:lvl>
                <c:lvl>
                  <c:pt idx="0">
                    <c:v>HIDROELÉCTRICAS</c:v>
                  </c:pt>
                  <c:pt idx="29">
                    <c:v>EÓLICAS</c:v>
                  </c:pt>
                  <c:pt idx="36">
                    <c:v>SOLARES</c:v>
                  </c:pt>
                  <c:pt idx="43">
                    <c:v>TERMOELÉCTRICAS</c:v>
                  </c:pt>
                </c:lvl>
              </c:multiLvlStrCache>
            </c:multiLvlStrRef>
          </c:cat>
          <c:val>
            <c:numRef>
              <c:f>'6. FP RER'!$W$6:$W$53</c:f>
              <c:numCache>
                <c:formatCode>0.000</c:formatCode>
                <c:ptCount val="48"/>
                <c:pt idx="0">
                  <c:v>0.88837405296075633</c:v>
                </c:pt>
                <c:pt idx="1">
                  <c:v>0.7785948148792402</c:v>
                </c:pt>
                <c:pt idx="2">
                  <c:v>0.97327023220331477</c:v>
                </c:pt>
                <c:pt idx="3">
                  <c:v>0.46531520414283606</c:v>
                </c:pt>
                <c:pt idx="4">
                  <c:v>0.70129623961062693</c:v>
                </c:pt>
                <c:pt idx="5">
                  <c:v>0.86981143341042477</c:v>
                </c:pt>
                <c:pt idx="6">
                  <c:v>0.59641557517765698</c:v>
                </c:pt>
                <c:pt idx="7">
                  <c:v>0.80419415326169141</c:v>
                </c:pt>
                <c:pt idx="8">
                  <c:v>0.60062954672386537</c:v>
                </c:pt>
                <c:pt idx="9">
                  <c:v>0.553794211755546</c:v>
                </c:pt>
                <c:pt idx="10">
                  <c:v>0.85864780870563917</c:v>
                </c:pt>
                <c:pt idx="11">
                  <c:v>0.88257692396394638</c:v>
                </c:pt>
                <c:pt idx="12">
                  <c:v>0.82278552398501204</c:v>
                </c:pt>
                <c:pt idx="13">
                  <c:v>0.76787093092456382</c:v>
                </c:pt>
                <c:pt idx="14">
                  <c:v>0.63389668528381504</c:v>
                </c:pt>
                <c:pt idx="15">
                  <c:v>0.73448025855248866</c:v>
                </c:pt>
                <c:pt idx="16">
                  <c:v>0.45273621878258591</c:v>
                </c:pt>
                <c:pt idx="17">
                  <c:v>0.65447461009083951</c:v>
                </c:pt>
                <c:pt idx="18">
                  <c:v>0.67839571383791075</c:v>
                </c:pt>
                <c:pt idx="19">
                  <c:v>0.65841008544041124</c:v>
                </c:pt>
                <c:pt idx="20">
                  <c:v>0.69481859162019077</c:v>
                </c:pt>
                <c:pt idx="21">
                  <c:v>0.71955412620283099</c:v>
                </c:pt>
                <c:pt idx="22">
                  <c:v>0.67470457339323742</c:v>
                </c:pt>
                <c:pt idx="23">
                  <c:v>0.61533226342234337</c:v>
                </c:pt>
                <c:pt idx="24">
                  <c:v>0.71885702602212764</c:v>
                </c:pt>
                <c:pt idx="25">
                  <c:v>0.72530208772101457</c:v>
                </c:pt>
                <c:pt idx="26">
                  <c:v>0.66750822924641373</c:v>
                </c:pt>
                <c:pt idx="27">
                  <c:v>0.70616332302940477</c:v>
                </c:pt>
                <c:pt idx="28">
                  <c:v>0.12670029248927192</c:v>
                </c:pt>
                <c:pt idx="29">
                  <c:v>0.39804458190715486</c:v>
                </c:pt>
                <c:pt idx="30">
                  <c:v>0.47234800801423144</c:v>
                </c:pt>
                <c:pt idx="31">
                  <c:v>0.61676690181270777</c:v>
                </c:pt>
                <c:pt idx="32">
                  <c:v>0.29668817783600898</c:v>
                </c:pt>
                <c:pt idx="33">
                  <c:v>0.65135147161519757</c:v>
                </c:pt>
                <c:pt idx="34">
                  <c:v>0.46211037040923997</c:v>
                </c:pt>
                <c:pt idx="35">
                  <c:v>0.5204689795205294</c:v>
                </c:pt>
                <c:pt idx="36">
                  <c:v>0.25986147766529555</c:v>
                </c:pt>
                <c:pt idx="37">
                  <c:v>0.32601098844174203</c:v>
                </c:pt>
                <c:pt idx="38">
                  <c:v>0.30937800208824684</c:v>
                </c:pt>
                <c:pt idx="39">
                  <c:v>0.30079617988404089</c:v>
                </c:pt>
                <c:pt idx="40">
                  <c:v>0.25513494103773587</c:v>
                </c:pt>
                <c:pt idx="41">
                  <c:v>0.24119552643474843</c:v>
                </c:pt>
                <c:pt idx="42">
                  <c:v>0.32085668275845125</c:v>
                </c:pt>
                <c:pt idx="43">
                  <c:v>0.78658107537732935</c:v>
                </c:pt>
                <c:pt idx="44">
                  <c:v>0.67649702424823122</c:v>
                </c:pt>
                <c:pt idx="45">
                  <c:v>0.66510751809813951</c:v>
                </c:pt>
                <c:pt idx="46">
                  <c:v>0.76366560413354267</c:v>
                </c:pt>
                <c:pt idx="47">
                  <c:v>0.70506012640863902</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empresa'!$N$3</c:f>
              <c:strCache>
                <c:ptCount val="1"/>
                <c:pt idx="0">
                  <c:v>2023</c:v>
                </c:pt>
              </c:strCache>
            </c:strRef>
          </c:tx>
          <c:spPr>
            <a:solidFill>
              <a:srgbClr val="0077A5"/>
            </a:solidFill>
          </c:spPr>
          <c:invertIfNegative val="0"/>
          <c:cat>
            <c:strRef>
              <c:f>'7. Generacion empresa'!$M$4:$M$65</c:f>
              <c:strCache>
                <c:ptCount val="62"/>
                <c:pt idx="0">
                  <c:v>SAN JACINTO</c:v>
                </c:pt>
                <c:pt idx="1">
                  <c:v>COLCA SOLAR</c:v>
                </c:pt>
                <c:pt idx="2">
                  <c:v>ATRIA</c:v>
                </c:pt>
                <c:pt idx="3">
                  <c:v>IYEPSA</c:v>
                </c:pt>
                <c:pt idx="4">
                  <c:v>CENTRALES SANTA ROSA</c:v>
                </c:pt>
                <c:pt idx="5">
                  <c:v>MAJA ENERGIA</c:v>
                </c:pt>
                <c:pt idx="6">
                  <c:v>PLANTA  ETEN</c:v>
                </c:pt>
                <c:pt idx="7">
                  <c:v>ELECTRICA YANAPAMPA</c:v>
                </c:pt>
                <c:pt idx="8">
                  <c:v>AGUA AZUL</c:v>
                </c:pt>
                <c:pt idx="9">
                  <c:v>HIDROCAÑETE</c:v>
                </c:pt>
                <c:pt idx="10">
                  <c:v>CERRO VERDE</c:v>
                </c:pt>
                <c:pt idx="11">
                  <c:v>TACNA SOLAR</c:v>
                </c:pt>
                <c:pt idx="12">
                  <c:v>MOQUEGUA FV</c:v>
                </c:pt>
                <c:pt idx="13">
                  <c:v>RIO DOBLE</c:v>
                </c:pt>
                <c:pt idx="14">
                  <c:v>INVERSION DE ENERGÍA RENOVABLES</c:v>
                </c:pt>
                <c:pt idx="15">
                  <c:v>REPARTICION</c:v>
                </c:pt>
                <c:pt idx="16">
                  <c:v>MAJES</c:v>
                </c:pt>
                <c:pt idx="17">
                  <c:v>EGECSAC</c:v>
                </c:pt>
                <c:pt idx="18">
                  <c:v>SHOUGESA</c:v>
                </c:pt>
                <c:pt idx="19">
                  <c:v>PANAMERICANA SOLAR</c:v>
                </c:pt>
                <c:pt idx="20">
                  <c:v>GENERACIÓN ANDINA</c:v>
                </c:pt>
                <c:pt idx="21">
                  <c:v>PETRAMAS</c:v>
                </c:pt>
                <c:pt idx="22">
                  <c:v>BIOENERGIA</c:v>
                </c:pt>
                <c:pt idx="23">
                  <c:v>RIO BAÑOS</c:v>
                </c:pt>
                <c:pt idx="24">
                  <c:v>ANDEAN POWER</c:v>
                </c:pt>
                <c:pt idx="25">
                  <c:v>GR PAINO</c:v>
                </c:pt>
                <c:pt idx="26">
                  <c:v>CELEPSA RENOVABLES</c:v>
                </c:pt>
                <c:pt idx="27">
                  <c:v>GR TARUCA</c:v>
                </c:pt>
                <c:pt idx="28">
                  <c:v>AGROAURORA</c:v>
                </c:pt>
                <c:pt idx="29">
                  <c:v>HUAURA POWER</c:v>
                </c:pt>
                <c:pt idx="30">
                  <c:v>AIPSA</c:v>
                </c:pt>
                <c:pt idx="31">
                  <c:v>P.E. MARCONA</c:v>
                </c:pt>
                <c:pt idx="32">
                  <c:v>EMGE JUNÍN</c:v>
                </c:pt>
                <c:pt idx="33">
                  <c:v>HIDROELECTRICA HUANCHOR</c:v>
                </c:pt>
                <c:pt idx="34">
                  <c:v>GEPSA</c:v>
                </c:pt>
                <c:pt idx="35">
                  <c:v>SANTA ANA</c:v>
                </c:pt>
                <c:pt idx="36">
                  <c:v>LA VIRGEN</c:v>
                </c:pt>
                <c:pt idx="37">
                  <c:v>SINERSA</c:v>
                </c:pt>
                <c:pt idx="38">
                  <c:v>EGESUR</c:v>
                </c:pt>
                <c:pt idx="39">
                  <c:v>SDF ENERGIA</c:v>
                </c:pt>
                <c:pt idx="40">
                  <c:v>EMGE HUALLAGA</c:v>
                </c:pt>
                <c:pt idx="41">
                  <c:v>EMGE HUANZA</c:v>
                </c:pt>
                <c:pt idx="42">
                  <c:v>P.E. TRES HERMANAS</c:v>
                </c:pt>
                <c:pt idx="43">
                  <c:v>ENERGÍA EÓLICA</c:v>
                </c:pt>
                <c:pt idx="44">
                  <c:v>SAN GABAN</c:v>
                </c:pt>
                <c:pt idx="45">
                  <c:v>CHINANGO</c:v>
                </c:pt>
                <c:pt idx="46">
                  <c:v>INLAND</c:v>
                </c:pt>
                <c:pt idx="47">
                  <c:v>TERMOSELVA</c:v>
                </c:pt>
                <c:pt idx="48">
                  <c:v>CELEPSA</c:v>
                </c:pt>
                <c:pt idx="49">
                  <c:v>EGASA</c:v>
                </c:pt>
                <c:pt idx="50">
                  <c:v>ENEL GENERACION PIURA</c:v>
                </c:pt>
                <c:pt idx="51">
                  <c:v>EGEMSA</c:v>
                </c:pt>
                <c:pt idx="52">
                  <c:v>ENEL GREEN POWER PERU</c:v>
                </c:pt>
                <c:pt idx="53">
                  <c:v>ORAZUL ENERGY PERÚ</c:v>
                </c:pt>
                <c:pt idx="54">
                  <c:v>STATKRAFT</c:v>
                </c:pt>
                <c:pt idx="55">
                  <c:v>SAMAY I</c:v>
                </c:pt>
                <c:pt idx="56">
                  <c:v>TERMOCHILCA</c:v>
                </c:pt>
                <c:pt idx="57">
                  <c:v>FENIX POWER</c:v>
                </c:pt>
                <c:pt idx="58">
                  <c:v>ELECTROPERU</c:v>
                </c:pt>
                <c:pt idx="59">
                  <c:v>ENEL GENERACION PERU</c:v>
                </c:pt>
                <c:pt idx="60">
                  <c:v>ENGIE</c:v>
                </c:pt>
                <c:pt idx="61">
                  <c:v>KALLPA</c:v>
                </c:pt>
              </c:strCache>
            </c:strRef>
          </c:cat>
          <c:val>
            <c:numRef>
              <c:f>'7. Generacion empresa'!$N$4:$N$65</c:f>
              <c:numCache>
                <c:formatCode>General</c:formatCode>
                <c:ptCount val="62"/>
                <c:pt idx="0">
                  <c:v>2.6413177499999999E-2</c:v>
                </c:pt>
                <c:pt idx="1">
                  <c:v>0.20089525</c:v>
                </c:pt>
                <c:pt idx="2">
                  <c:v>0.34193541</c:v>
                </c:pt>
                <c:pt idx="3">
                  <c:v>0.62787380749999999</c:v>
                </c:pt>
                <c:pt idx="4">
                  <c:v>1.1236381025</c:v>
                </c:pt>
                <c:pt idx="5">
                  <c:v>1.4547262500000002</c:v>
                </c:pt>
                <c:pt idx="6">
                  <c:v>1.4867419925000001</c:v>
                </c:pt>
                <c:pt idx="7">
                  <c:v>1.79883755</c:v>
                </c:pt>
                <c:pt idx="8">
                  <c:v>2.1957373750000002</c:v>
                </c:pt>
                <c:pt idx="9">
                  <c:v>2.5579999999999998</c:v>
                </c:pt>
                <c:pt idx="10">
                  <c:v>2.7671006849999999</c:v>
                </c:pt>
                <c:pt idx="11">
                  <c:v>3.4422667499999999</c:v>
                </c:pt>
                <c:pt idx="12">
                  <c:v>3.5158252499999998</c:v>
                </c:pt>
                <c:pt idx="13">
                  <c:v>3.6139667424999997</c:v>
                </c:pt>
                <c:pt idx="14">
                  <c:v>3.622056905</c:v>
                </c:pt>
                <c:pt idx="15">
                  <c:v>3.7262939925</c:v>
                </c:pt>
                <c:pt idx="16">
                  <c:v>3.7470653</c:v>
                </c:pt>
                <c:pt idx="17">
                  <c:v>3.78700715</c:v>
                </c:pt>
                <c:pt idx="18">
                  <c:v>4.138567880000001</c:v>
                </c:pt>
                <c:pt idx="19">
                  <c:v>4.2201009999999997</c:v>
                </c:pt>
                <c:pt idx="20">
                  <c:v>4.8165581050000004</c:v>
                </c:pt>
                <c:pt idx="21">
                  <c:v>5.9279576</c:v>
                </c:pt>
                <c:pt idx="22">
                  <c:v>6.727875</c:v>
                </c:pt>
                <c:pt idx="23">
                  <c:v>7.4611049299999994</c:v>
                </c:pt>
                <c:pt idx="24">
                  <c:v>7.9616368949999998</c:v>
                </c:pt>
                <c:pt idx="25">
                  <c:v>8.3628390424999992</c:v>
                </c:pt>
                <c:pt idx="26">
                  <c:v>9.2706510874999992</c:v>
                </c:pt>
                <c:pt idx="27">
                  <c:v>9.9918544349999987</c:v>
                </c:pt>
                <c:pt idx="28">
                  <c:v>10.1064407375</c:v>
                </c:pt>
                <c:pt idx="29">
                  <c:v>10.116444999999999</c:v>
                </c:pt>
                <c:pt idx="30">
                  <c:v>10.18044031</c:v>
                </c:pt>
                <c:pt idx="31">
                  <c:v>10.331136975</c:v>
                </c:pt>
                <c:pt idx="32">
                  <c:v>11.44939194</c:v>
                </c:pt>
                <c:pt idx="33">
                  <c:v>12.992286697499999</c:v>
                </c:pt>
                <c:pt idx="34">
                  <c:v>14.047123819999999</c:v>
                </c:pt>
                <c:pt idx="35">
                  <c:v>14.624096485000001</c:v>
                </c:pt>
                <c:pt idx="36">
                  <c:v>15.065557250000001</c:v>
                </c:pt>
                <c:pt idx="37">
                  <c:v>15.162614177499998</c:v>
                </c:pt>
                <c:pt idx="38">
                  <c:v>18.347328192500001</c:v>
                </c:pt>
                <c:pt idx="39">
                  <c:v>20.064550467500002</c:v>
                </c:pt>
                <c:pt idx="40">
                  <c:v>25.392656694999999</c:v>
                </c:pt>
                <c:pt idx="41">
                  <c:v>31.317128437499999</c:v>
                </c:pt>
                <c:pt idx="42">
                  <c:v>31.322070052499999</c:v>
                </c:pt>
                <c:pt idx="43">
                  <c:v>31.406054367499998</c:v>
                </c:pt>
                <c:pt idx="44">
                  <c:v>33.701698112500004</c:v>
                </c:pt>
                <c:pt idx="45">
                  <c:v>36.318952000000003</c:v>
                </c:pt>
                <c:pt idx="46">
                  <c:v>37.935866780000005</c:v>
                </c:pt>
                <c:pt idx="47">
                  <c:v>45.072545757500002</c:v>
                </c:pt>
                <c:pt idx="48">
                  <c:v>57.282882732499999</c:v>
                </c:pt>
                <c:pt idx="49">
                  <c:v>63.045357062499995</c:v>
                </c:pt>
                <c:pt idx="50">
                  <c:v>67.181308000000001</c:v>
                </c:pt>
                <c:pt idx="51">
                  <c:v>71.728401999999988</c:v>
                </c:pt>
                <c:pt idx="52">
                  <c:v>83.133008250000017</c:v>
                </c:pt>
                <c:pt idx="53">
                  <c:v>104.48852179499998</c:v>
                </c:pt>
                <c:pt idx="54">
                  <c:v>134.3878920375</c:v>
                </c:pt>
                <c:pt idx="55">
                  <c:v>166.64082796000002</c:v>
                </c:pt>
                <c:pt idx="56">
                  <c:v>167.19300050000001</c:v>
                </c:pt>
                <c:pt idx="57">
                  <c:v>362.04767728750005</c:v>
                </c:pt>
                <c:pt idx="58">
                  <c:v>495.55853544000001</c:v>
                </c:pt>
                <c:pt idx="59">
                  <c:v>733.79536225000015</c:v>
                </c:pt>
                <c:pt idx="60">
                  <c:v>799.14524528499999</c:v>
                </c:pt>
                <c:pt idx="61">
                  <c:v>956.11985581999988</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2022</c:v>
                </c:pt>
              </c:strCache>
            </c:strRef>
          </c:tx>
          <c:spPr>
            <a:solidFill>
              <a:schemeClr val="accent2"/>
            </a:solidFill>
          </c:spPr>
          <c:invertIfNegative val="0"/>
          <c:cat>
            <c:strRef>
              <c:f>'7. Generacion empresa'!$M$4:$M$65</c:f>
              <c:strCache>
                <c:ptCount val="62"/>
                <c:pt idx="0">
                  <c:v>SAN JACINTO</c:v>
                </c:pt>
                <c:pt idx="1">
                  <c:v>COLCA SOLAR</c:v>
                </c:pt>
                <c:pt idx="2">
                  <c:v>ATRIA</c:v>
                </c:pt>
                <c:pt idx="3">
                  <c:v>IYEPSA</c:v>
                </c:pt>
                <c:pt idx="4">
                  <c:v>CENTRALES SANTA ROSA</c:v>
                </c:pt>
                <c:pt idx="5">
                  <c:v>MAJA ENERGIA</c:v>
                </c:pt>
                <c:pt idx="6">
                  <c:v>PLANTA  ETEN</c:v>
                </c:pt>
                <c:pt idx="7">
                  <c:v>ELECTRICA YANAPAMPA</c:v>
                </c:pt>
                <c:pt idx="8">
                  <c:v>AGUA AZUL</c:v>
                </c:pt>
                <c:pt idx="9">
                  <c:v>HIDROCAÑETE</c:v>
                </c:pt>
                <c:pt idx="10">
                  <c:v>CERRO VERDE</c:v>
                </c:pt>
                <c:pt idx="11">
                  <c:v>TACNA SOLAR</c:v>
                </c:pt>
                <c:pt idx="12">
                  <c:v>MOQUEGUA FV</c:v>
                </c:pt>
                <c:pt idx="13">
                  <c:v>RIO DOBLE</c:v>
                </c:pt>
                <c:pt idx="14">
                  <c:v>INVERSION DE ENERGÍA RENOVABLES</c:v>
                </c:pt>
                <c:pt idx="15">
                  <c:v>REPARTICION</c:v>
                </c:pt>
                <c:pt idx="16">
                  <c:v>MAJES</c:v>
                </c:pt>
                <c:pt idx="17">
                  <c:v>EGECSAC</c:v>
                </c:pt>
                <c:pt idx="18">
                  <c:v>SHOUGESA</c:v>
                </c:pt>
                <c:pt idx="19">
                  <c:v>PANAMERICANA SOLAR</c:v>
                </c:pt>
                <c:pt idx="20">
                  <c:v>GENERACIÓN ANDINA</c:v>
                </c:pt>
                <c:pt idx="21">
                  <c:v>PETRAMAS</c:v>
                </c:pt>
                <c:pt idx="22">
                  <c:v>BIOENERGIA</c:v>
                </c:pt>
                <c:pt idx="23">
                  <c:v>RIO BAÑOS</c:v>
                </c:pt>
                <c:pt idx="24">
                  <c:v>ANDEAN POWER</c:v>
                </c:pt>
                <c:pt idx="25">
                  <c:v>GR PAINO</c:v>
                </c:pt>
                <c:pt idx="26">
                  <c:v>CELEPSA RENOVABLES</c:v>
                </c:pt>
                <c:pt idx="27">
                  <c:v>GR TARUCA</c:v>
                </c:pt>
                <c:pt idx="28">
                  <c:v>AGROAURORA</c:v>
                </c:pt>
                <c:pt idx="29">
                  <c:v>HUAURA POWER</c:v>
                </c:pt>
                <c:pt idx="30">
                  <c:v>AIPSA</c:v>
                </c:pt>
                <c:pt idx="31">
                  <c:v>P.E. MARCONA</c:v>
                </c:pt>
                <c:pt idx="32">
                  <c:v>EMGE JUNÍN</c:v>
                </c:pt>
                <c:pt idx="33">
                  <c:v>HIDROELECTRICA HUANCHOR</c:v>
                </c:pt>
                <c:pt idx="34">
                  <c:v>GEPSA</c:v>
                </c:pt>
                <c:pt idx="35">
                  <c:v>SANTA ANA</c:v>
                </c:pt>
                <c:pt idx="36">
                  <c:v>LA VIRGEN</c:v>
                </c:pt>
                <c:pt idx="37">
                  <c:v>SINERSA</c:v>
                </c:pt>
                <c:pt idx="38">
                  <c:v>EGESUR</c:v>
                </c:pt>
                <c:pt idx="39">
                  <c:v>SDF ENERGIA</c:v>
                </c:pt>
                <c:pt idx="40">
                  <c:v>EMGE HUALLAGA</c:v>
                </c:pt>
                <c:pt idx="41">
                  <c:v>EMGE HUANZA</c:v>
                </c:pt>
                <c:pt idx="42">
                  <c:v>P.E. TRES HERMANAS</c:v>
                </c:pt>
                <c:pt idx="43">
                  <c:v>ENERGÍA EÓLICA</c:v>
                </c:pt>
                <c:pt idx="44">
                  <c:v>SAN GABAN</c:v>
                </c:pt>
                <c:pt idx="45">
                  <c:v>CHINANGO</c:v>
                </c:pt>
                <c:pt idx="46">
                  <c:v>INLAND</c:v>
                </c:pt>
                <c:pt idx="47">
                  <c:v>TERMOSELVA</c:v>
                </c:pt>
                <c:pt idx="48">
                  <c:v>CELEPSA</c:v>
                </c:pt>
                <c:pt idx="49">
                  <c:v>EGASA</c:v>
                </c:pt>
                <c:pt idx="50">
                  <c:v>ENEL GENERACION PIURA</c:v>
                </c:pt>
                <c:pt idx="51">
                  <c:v>EGEMSA</c:v>
                </c:pt>
                <c:pt idx="52">
                  <c:v>ENEL GREEN POWER PERU</c:v>
                </c:pt>
                <c:pt idx="53">
                  <c:v>ORAZUL ENERGY PERÚ</c:v>
                </c:pt>
                <c:pt idx="54">
                  <c:v>STATKRAFT</c:v>
                </c:pt>
                <c:pt idx="55">
                  <c:v>SAMAY I</c:v>
                </c:pt>
                <c:pt idx="56">
                  <c:v>TERMOCHILCA</c:v>
                </c:pt>
                <c:pt idx="57">
                  <c:v>FENIX POWER</c:v>
                </c:pt>
                <c:pt idx="58">
                  <c:v>ELECTROPERU</c:v>
                </c:pt>
                <c:pt idx="59">
                  <c:v>ENEL GENERACION PERU</c:v>
                </c:pt>
                <c:pt idx="60">
                  <c:v>ENGIE</c:v>
                </c:pt>
                <c:pt idx="61">
                  <c:v>KALLPA</c:v>
                </c:pt>
              </c:strCache>
            </c:strRef>
          </c:cat>
          <c:val>
            <c:numRef>
              <c:f>'7. Generacion empresa'!$O$4:$O$65</c:f>
              <c:numCache>
                <c:formatCode>General</c:formatCode>
                <c:ptCount val="62"/>
                <c:pt idx="0">
                  <c:v>5.080751985</c:v>
                </c:pt>
                <c:pt idx="1">
                  <c:v>0.25421700000000003</c:v>
                </c:pt>
                <c:pt idx="2">
                  <c:v>3.9139159999999999E-2</c:v>
                </c:pt>
                <c:pt idx="3">
                  <c:v>0.34142812750000001</c:v>
                </c:pt>
                <c:pt idx="4">
                  <c:v>1.1714932549999999</c:v>
                </c:pt>
                <c:pt idx="5">
                  <c:v>1.0183355000000001</c:v>
                </c:pt>
                <c:pt idx="6">
                  <c:v>4.2955957500000003E-2</c:v>
                </c:pt>
                <c:pt idx="7">
                  <c:v>1.3968615999999998</c:v>
                </c:pt>
                <c:pt idx="8">
                  <c:v>4.8327452150000001</c:v>
                </c:pt>
                <c:pt idx="9">
                  <c:v>2.4704000000000002</c:v>
                </c:pt>
                <c:pt idx="10">
                  <c:v>0</c:v>
                </c:pt>
                <c:pt idx="11">
                  <c:v>3.6147354325000003</c:v>
                </c:pt>
                <c:pt idx="12">
                  <c:v>3.5675417025000002</c:v>
                </c:pt>
                <c:pt idx="13">
                  <c:v>5.8500055549999992</c:v>
                </c:pt>
                <c:pt idx="14">
                  <c:v>1.11755388</c:v>
                </c:pt>
                <c:pt idx="15">
                  <c:v>3.4000642499999998</c:v>
                </c:pt>
                <c:pt idx="16">
                  <c:v>3.5524762500000002</c:v>
                </c:pt>
                <c:pt idx="17">
                  <c:v>0.94245527749999991</c:v>
                </c:pt>
                <c:pt idx="18">
                  <c:v>0.89303510249999996</c:v>
                </c:pt>
                <c:pt idx="19">
                  <c:v>4.2210632800000001</c:v>
                </c:pt>
                <c:pt idx="20">
                  <c:v>4.4777463525000005</c:v>
                </c:pt>
                <c:pt idx="21">
                  <c:v>6.5636348249999994</c:v>
                </c:pt>
                <c:pt idx="22">
                  <c:v>7.0058393524999998</c:v>
                </c:pt>
                <c:pt idx="23">
                  <c:v>7.4880096125</c:v>
                </c:pt>
                <c:pt idx="24">
                  <c:v>7.5690614974999999</c:v>
                </c:pt>
                <c:pt idx="25">
                  <c:v>5.8974592525</c:v>
                </c:pt>
                <c:pt idx="26">
                  <c:v>9.4033734525000003</c:v>
                </c:pt>
                <c:pt idx="27">
                  <c:v>7.7392757825</c:v>
                </c:pt>
                <c:pt idx="28">
                  <c:v>6.4049256474999998</c:v>
                </c:pt>
                <c:pt idx="29">
                  <c:v>10.371566</c:v>
                </c:pt>
                <c:pt idx="30">
                  <c:v>9.7768640599999994</c:v>
                </c:pt>
                <c:pt idx="31">
                  <c:v>15.3886731175</c:v>
                </c:pt>
                <c:pt idx="32">
                  <c:v>12.304680177499998</c:v>
                </c:pt>
                <c:pt idx="33">
                  <c:v>13.238314907500001</c:v>
                </c:pt>
                <c:pt idx="34">
                  <c:v>15.572167762500001</c:v>
                </c:pt>
                <c:pt idx="35">
                  <c:v>14.5736953325</c:v>
                </c:pt>
                <c:pt idx="36">
                  <c:v>20.548771370000001</c:v>
                </c:pt>
                <c:pt idx="37">
                  <c:v>12.679938280000002</c:v>
                </c:pt>
                <c:pt idx="38">
                  <c:v>22.146209187499998</c:v>
                </c:pt>
                <c:pt idx="39">
                  <c:v>21.905936242500001</c:v>
                </c:pt>
                <c:pt idx="40">
                  <c:v>63.2682485375</c:v>
                </c:pt>
                <c:pt idx="41">
                  <c:v>30.474016205000002</c:v>
                </c:pt>
                <c:pt idx="42">
                  <c:v>47.098825007500004</c:v>
                </c:pt>
                <c:pt idx="43">
                  <c:v>39.432415949999999</c:v>
                </c:pt>
                <c:pt idx="44">
                  <c:v>54.378397694999997</c:v>
                </c:pt>
                <c:pt idx="45">
                  <c:v>48.269572249999996</c:v>
                </c:pt>
                <c:pt idx="46">
                  <c:v>37.1893454625</c:v>
                </c:pt>
                <c:pt idx="47">
                  <c:v>42.195319210000001</c:v>
                </c:pt>
                <c:pt idx="48">
                  <c:v>53.605368005000003</c:v>
                </c:pt>
                <c:pt idx="49">
                  <c:v>72.347518112500026</c:v>
                </c:pt>
                <c:pt idx="50">
                  <c:v>61.934746249999996</c:v>
                </c:pt>
                <c:pt idx="51">
                  <c:v>61.397826499999994</c:v>
                </c:pt>
                <c:pt idx="52">
                  <c:v>89.310361749999998</c:v>
                </c:pt>
                <c:pt idx="53">
                  <c:v>92.641226000000003</c:v>
                </c:pt>
                <c:pt idx="54">
                  <c:v>160.5206073075</c:v>
                </c:pt>
                <c:pt idx="55">
                  <c:v>0.73738550000000003</c:v>
                </c:pt>
                <c:pt idx="56">
                  <c:v>203.61788077749998</c:v>
                </c:pt>
                <c:pt idx="57">
                  <c:v>386.13993942000002</c:v>
                </c:pt>
                <c:pt idx="58">
                  <c:v>622.6185468000001</c:v>
                </c:pt>
                <c:pt idx="59">
                  <c:v>629.58779824999999</c:v>
                </c:pt>
                <c:pt idx="60">
                  <c:v>723.53303170250001</c:v>
                </c:pt>
                <c:pt idx="61">
                  <c:v>901.88333675000013</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0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2023</c:v>
                </c:pt>
                <c:pt idx="1">
                  <c:v>2022</c:v>
                </c:pt>
                <c:pt idx="2">
                  <c:v>2021</c:v>
                </c:pt>
              </c:numCache>
            </c:numRef>
          </c:cat>
          <c:val>
            <c:numRef>
              <c:f>('8. Max Potencia'!$G$10:$H$10,'8. Max Potencia'!$J$10)</c:f>
              <c:numCache>
                <c:formatCode>_(* #,##0.00_);_(* \(#,##0.00\);_(* "-"??_);_(@_)</c:formatCode>
                <c:ptCount val="3"/>
                <c:pt idx="0">
                  <c:v>4362.1793299999999</c:v>
                </c:pt>
                <c:pt idx="1">
                  <c:v>4553.9270599999991</c:v>
                </c:pt>
                <c:pt idx="2">
                  <c:v>4594.55105</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2023</c:v>
                </c:pt>
                <c:pt idx="1">
                  <c:v>2022</c:v>
                </c:pt>
                <c:pt idx="2">
                  <c:v>2021</c:v>
                </c:pt>
              </c:numCache>
            </c:numRef>
          </c:cat>
          <c:val>
            <c:numRef>
              <c:f>('8. Max Potencia'!$G$11:$H$11,'8. Max Potencia'!$J$11)</c:f>
              <c:numCache>
                <c:formatCode>_(* #,##0.00_);_(* \(#,##0.00\);_(* "-"??_);_(@_)</c:formatCode>
                <c:ptCount val="3"/>
                <c:pt idx="0">
                  <c:v>2953.9779799999992</c:v>
                </c:pt>
                <c:pt idx="1">
                  <c:v>2455.9372199999998</c:v>
                </c:pt>
                <c:pt idx="2">
                  <c:v>2012.4400399999995</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2023</c:v>
                </c:pt>
                <c:pt idx="1">
                  <c:v>2022</c:v>
                </c:pt>
                <c:pt idx="2">
                  <c:v>2021</c:v>
                </c:pt>
              </c:numCache>
            </c:numRef>
          </c:cat>
          <c:val>
            <c:numRef>
              <c:f>('8. Max Potencia'!$G$12:$H$12,'8. Max Potencia'!$J$12)</c:f>
              <c:numCache>
                <c:formatCode>_(* #,##0.00_);_(* \(#,##0.00\);_(* "-"??_);_(@_)</c:formatCode>
                <c:ptCount val="3"/>
                <c:pt idx="0">
                  <c:v>289.34881000000001</c:v>
                </c:pt>
                <c:pt idx="1">
                  <c:v>136.90030000000002</c:v>
                </c:pt>
                <c:pt idx="2">
                  <c:v>302.64609999999999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Empresa'!$N$6</c:f>
              <c:strCache>
                <c:ptCount val="1"/>
                <c:pt idx="0">
                  <c:v>2023</c:v>
                </c:pt>
              </c:strCache>
            </c:strRef>
          </c:tx>
          <c:spPr>
            <a:solidFill>
              <a:srgbClr val="0077A5"/>
            </a:solidFill>
          </c:spPr>
          <c:invertIfNegative val="0"/>
          <c:cat>
            <c:strRef>
              <c:f>'9. Pot. Empresa'!$M$7:$M$68</c:f>
              <c:strCache>
                <c:ptCount val="62"/>
                <c:pt idx="0">
                  <c:v>COLCA SOLAR</c:v>
                </c:pt>
                <c:pt idx="1">
                  <c:v>REPARTICION</c:v>
                </c:pt>
                <c:pt idx="2">
                  <c:v>MAJES</c:v>
                </c:pt>
                <c:pt idx="3">
                  <c:v>SAN JACINTO</c:v>
                </c:pt>
                <c:pt idx="4">
                  <c:v>TERMOSELVA</c:v>
                </c:pt>
                <c:pt idx="5">
                  <c:v>TACNA SOLAR</c:v>
                </c:pt>
                <c:pt idx="6">
                  <c:v>SHOUGESA</c:v>
                </c:pt>
                <c:pt idx="7">
                  <c:v>PLANTA  ETEN</c:v>
                </c:pt>
                <c:pt idx="8">
                  <c:v>PANAMERICANA SOLAR</c:v>
                </c:pt>
                <c:pt idx="9">
                  <c:v>MOQUEGUA FV</c:v>
                </c:pt>
                <c:pt idx="10">
                  <c:v>IYEPSA</c:v>
                </c:pt>
                <c:pt idx="11">
                  <c:v>CERRO VERDE</c:v>
                </c:pt>
                <c:pt idx="12">
                  <c:v>ATRIA</c:v>
                </c:pt>
                <c:pt idx="13">
                  <c:v>MAJA ENERGIA</c:v>
                </c:pt>
                <c:pt idx="14">
                  <c:v>CENTRALES SANTA ROSA</c:v>
                </c:pt>
                <c:pt idx="15">
                  <c:v>ELECTRICA YANAPAMPA</c:v>
                </c:pt>
                <c:pt idx="16">
                  <c:v>AGUA AZUL</c:v>
                </c:pt>
                <c:pt idx="17">
                  <c:v>GR PAINO</c:v>
                </c:pt>
                <c:pt idx="18">
                  <c:v>HIDROCAÑETE</c:v>
                </c:pt>
                <c:pt idx="19">
                  <c:v>EGECSAC</c:v>
                </c:pt>
                <c:pt idx="20">
                  <c:v>INVERSION DE ENERGÍA RENOVABLES</c:v>
                </c:pt>
                <c:pt idx="21">
                  <c:v>RIO DOBLE</c:v>
                </c:pt>
                <c:pt idx="22">
                  <c:v>GR TARUCA</c:v>
                </c:pt>
                <c:pt idx="23">
                  <c:v>GENERACIÓN ANDINA</c:v>
                </c:pt>
                <c:pt idx="24">
                  <c:v>PETRAMAS</c:v>
                </c:pt>
                <c:pt idx="25">
                  <c:v>RIO BAÑOS</c:v>
                </c:pt>
                <c:pt idx="26">
                  <c:v>AGROAURORA</c:v>
                </c:pt>
                <c:pt idx="27">
                  <c:v>BIOENERGIA</c:v>
                </c:pt>
                <c:pt idx="28">
                  <c:v>ANDEAN POWER</c:v>
                </c:pt>
                <c:pt idx="29">
                  <c:v>CELEPSA RENOVABLES</c:v>
                </c:pt>
                <c:pt idx="30">
                  <c:v>HUAURA POWER</c:v>
                </c:pt>
                <c:pt idx="31">
                  <c:v>EMGE JUNÍN</c:v>
                </c:pt>
                <c:pt idx="32">
                  <c:v>LA VIRGEN</c:v>
                </c:pt>
                <c:pt idx="33">
                  <c:v>SINERSA</c:v>
                </c:pt>
                <c:pt idx="34">
                  <c:v>AIPSA</c:v>
                </c:pt>
                <c:pt idx="35">
                  <c:v>HIDROELECTRICA HUANCHOR</c:v>
                </c:pt>
                <c:pt idx="36">
                  <c:v>GEPSA</c:v>
                </c:pt>
                <c:pt idx="37">
                  <c:v>SANTA ANA</c:v>
                </c:pt>
                <c:pt idx="38">
                  <c:v>P.E. MARCONA</c:v>
                </c:pt>
                <c:pt idx="39">
                  <c:v>EGESUR</c:v>
                </c:pt>
                <c:pt idx="40">
                  <c:v>SDF ENERGIA</c:v>
                </c:pt>
                <c:pt idx="41">
                  <c:v>INLAND</c:v>
                </c:pt>
                <c:pt idx="42">
                  <c:v>EMGE HUANZA</c:v>
                </c:pt>
                <c:pt idx="43">
                  <c:v>SAN GABAN</c:v>
                </c:pt>
                <c:pt idx="44">
                  <c:v>CHINANGO</c:v>
                </c:pt>
                <c:pt idx="45">
                  <c:v>ENERGÍA EÓLICA</c:v>
                </c:pt>
                <c:pt idx="46">
                  <c:v>P.E. TRES HERMANAS</c:v>
                </c:pt>
                <c:pt idx="47">
                  <c:v>ENEL GENERACION PIURA</c:v>
                </c:pt>
                <c:pt idx="48">
                  <c:v>EGEMSA</c:v>
                </c:pt>
                <c:pt idx="49">
                  <c:v>CELEPSA</c:v>
                </c:pt>
                <c:pt idx="50">
                  <c:v>EGASA</c:v>
                </c:pt>
                <c:pt idx="51">
                  <c:v>ORAZUL ENERGY PERÚ</c:v>
                </c:pt>
                <c:pt idx="52">
                  <c:v>ENEL GREEN POWER PERU</c:v>
                </c:pt>
                <c:pt idx="53">
                  <c:v>EMGE HUALLAGA</c:v>
                </c:pt>
                <c:pt idx="54">
                  <c:v>STATKRAFT</c:v>
                </c:pt>
                <c:pt idx="55">
                  <c:v>TERMOCHILCA</c:v>
                </c:pt>
                <c:pt idx="56">
                  <c:v>SAMAY I</c:v>
                </c:pt>
                <c:pt idx="57">
                  <c:v>FENIX POWER</c:v>
                </c:pt>
                <c:pt idx="58">
                  <c:v>ELECTROPERU</c:v>
                </c:pt>
                <c:pt idx="59">
                  <c:v>ENEL GENERACION PERU</c:v>
                </c:pt>
                <c:pt idx="60">
                  <c:v>KALLPA</c:v>
                </c:pt>
                <c:pt idx="61">
                  <c:v>ENGIE</c:v>
                </c:pt>
              </c:strCache>
            </c:strRef>
          </c:cat>
          <c:val>
            <c:numRef>
              <c:f>'9. Pot. Empresa'!$N$7:$N$68</c:f>
              <c:numCache>
                <c:formatCode>0</c:formatCode>
                <c:ptCount val="62"/>
                <c:pt idx="0">
                  <c:v>0</c:v>
                </c:pt>
                <c:pt idx="1">
                  <c:v>0</c:v>
                </c:pt>
                <c:pt idx="2">
                  <c:v>0</c:v>
                </c:pt>
                <c:pt idx="3">
                  <c:v>0</c:v>
                </c:pt>
                <c:pt idx="4">
                  <c:v>0</c:v>
                </c:pt>
                <c:pt idx="5">
                  <c:v>0</c:v>
                </c:pt>
                <c:pt idx="6">
                  <c:v>0</c:v>
                </c:pt>
                <c:pt idx="7">
                  <c:v>0</c:v>
                </c:pt>
                <c:pt idx="8">
                  <c:v>0</c:v>
                </c:pt>
                <c:pt idx="9">
                  <c:v>0</c:v>
                </c:pt>
                <c:pt idx="10">
                  <c:v>0</c:v>
                </c:pt>
                <c:pt idx="11">
                  <c:v>0</c:v>
                </c:pt>
                <c:pt idx="12">
                  <c:v>0.88183</c:v>
                </c:pt>
                <c:pt idx="13">
                  <c:v>1.619</c:v>
                </c:pt>
                <c:pt idx="14">
                  <c:v>1.7482500000000001</c:v>
                </c:pt>
                <c:pt idx="15">
                  <c:v>2.2850000000000001</c:v>
                </c:pt>
                <c:pt idx="16">
                  <c:v>3.1196700000000002</c:v>
                </c:pt>
                <c:pt idx="17">
                  <c:v>3.5539200000000002</c:v>
                </c:pt>
                <c:pt idx="18">
                  <c:v>3.6</c:v>
                </c:pt>
                <c:pt idx="19">
                  <c:v>4.9641400000000004</c:v>
                </c:pt>
                <c:pt idx="20">
                  <c:v>5.4351399999999996</c:v>
                </c:pt>
                <c:pt idx="21">
                  <c:v>5.9790400000000004</c:v>
                </c:pt>
                <c:pt idx="22">
                  <c:v>6.4422199999999998</c:v>
                </c:pt>
                <c:pt idx="23">
                  <c:v>7.2689500000000002</c:v>
                </c:pt>
                <c:pt idx="24">
                  <c:v>8.0193999999999992</c:v>
                </c:pt>
                <c:pt idx="25">
                  <c:v>8.6705299999999994</c:v>
                </c:pt>
                <c:pt idx="26">
                  <c:v>9.2228100000000008</c:v>
                </c:pt>
                <c:pt idx="27">
                  <c:v>9.75</c:v>
                </c:pt>
                <c:pt idx="28">
                  <c:v>12.51919</c:v>
                </c:pt>
                <c:pt idx="29">
                  <c:v>13.02576</c:v>
                </c:pt>
                <c:pt idx="30">
                  <c:v>13.614000000000001</c:v>
                </c:pt>
                <c:pt idx="31">
                  <c:v>15.737309999999999</c:v>
                </c:pt>
                <c:pt idx="32">
                  <c:v>17.006</c:v>
                </c:pt>
                <c:pt idx="33">
                  <c:v>17.050980000000003</c:v>
                </c:pt>
                <c:pt idx="34">
                  <c:v>17.541370000000001</c:v>
                </c:pt>
                <c:pt idx="35">
                  <c:v>17.93732</c:v>
                </c:pt>
                <c:pt idx="36">
                  <c:v>18.1571</c:v>
                </c:pt>
                <c:pt idx="37">
                  <c:v>20.158660000000001</c:v>
                </c:pt>
                <c:pt idx="38">
                  <c:v>28.39837</c:v>
                </c:pt>
                <c:pt idx="39">
                  <c:v>28.825599999999998</c:v>
                </c:pt>
                <c:pt idx="40">
                  <c:v>32.21658</c:v>
                </c:pt>
                <c:pt idx="41">
                  <c:v>47.954279999999997</c:v>
                </c:pt>
                <c:pt idx="42">
                  <c:v>50.04907</c:v>
                </c:pt>
                <c:pt idx="43">
                  <c:v>55.273090000000003</c:v>
                </c:pt>
                <c:pt idx="44">
                  <c:v>64.978999999999999</c:v>
                </c:pt>
                <c:pt idx="45">
                  <c:v>74.996110000000002</c:v>
                </c:pt>
                <c:pt idx="46">
                  <c:v>88.990700000000004</c:v>
                </c:pt>
                <c:pt idx="47">
                  <c:v>90.2</c:v>
                </c:pt>
                <c:pt idx="48">
                  <c:v>91.65</c:v>
                </c:pt>
                <c:pt idx="49">
                  <c:v>99.417339999999996</c:v>
                </c:pt>
                <c:pt idx="50">
                  <c:v>123.08839999999998</c:v>
                </c:pt>
                <c:pt idx="51">
                  <c:v>124.43092999999999</c:v>
                </c:pt>
                <c:pt idx="52">
                  <c:v>126.18300000000001</c:v>
                </c:pt>
                <c:pt idx="53">
                  <c:v>143.12947</c:v>
                </c:pt>
                <c:pt idx="54">
                  <c:v>155.95462999999998</c:v>
                </c:pt>
                <c:pt idx="55">
                  <c:v>291.74199999999996</c:v>
                </c:pt>
                <c:pt idx="56">
                  <c:v>353.98025000000001</c:v>
                </c:pt>
                <c:pt idx="57">
                  <c:v>568.06960000000004</c:v>
                </c:pt>
                <c:pt idx="58">
                  <c:v>607.24415999999997</c:v>
                </c:pt>
                <c:pt idx="59">
                  <c:v>1070.491</c:v>
                </c:pt>
                <c:pt idx="60">
                  <c:v>1293.6069299999999</c:v>
                </c:pt>
                <c:pt idx="61">
                  <c:v>1424.0338199999999</c:v>
                </c:pt>
              </c:numCache>
            </c:numRef>
          </c:val>
          <c:extLst>
            <c:ext xmlns:c16="http://schemas.microsoft.com/office/drawing/2014/chart" uri="{C3380CC4-5D6E-409C-BE32-E72D297353CC}">
              <c16:uniqueId val="{00000000-2FE3-4C80-BE80-2E47F9F8F14C}"/>
            </c:ext>
          </c:extLst>
        </c:ser>
        <c:ser>
          <c:idx val="1"/>
          <c:order val="1"/>
          <c:tx>
            <c:strRef>
              <c:f>'9. Pot. Empresa'!$O$6</c:f>
              <c:strCache>
                <c:ptCount val="1"/>
                <c:pt idx="0">
                  <c:v>2022</c:v>
                </c:pt>
              </c:strCache>
            </c:strRef>
          </c:tx>
          <c:spPr>
            <a:solidFill>
              <a:srgbClr val="FF6600"/>
            </a:solidFill>
          </c:spPr>
          <c:invertIfNegative val="0"/>
          <c:cat>
            <c:strRef>
              <c:f>'9. Pot. Empresa'!$M$7:$M$68</c:f>
              <c:strCache>
                <c:ptCount val="62"/>
                <c:pt idx="0">
                  <c:v>COLCA SOLAR</c:v>
                </c:pt>
                <c:pt idx="1">
                  <c:v>REPARTICION</c:v>
                </c:pt>
                <c:pt idx="2">
                  <c:v>MAJES</c:v>
                </c:pt>
                <c:pt idx="3">
                  <c:v>SAN JACINTO</c:v>
                </c:pt>
                <c:pt idx="4">
                  <c:v>TERMOSELVA</c:v>
                </c:pt>
                <c:pt idx="5">
                  <c:v>TACNA SOLAR</c:v>
                </c:pt>
                <c:pt idx="6">
                  <c:v>SHOUGESA</c:v>
                </c:pt>
                <c:pt idx="7">
                  <c:v>PLANTA  ETEN</c:v>
                </c:pt>
                <c:pt idx="8">
                  <c:v>PANAMERICANA SOLAR</c:v>
                </c:pt>
                <c:pt idx="9">
                  <c:v>MOQUEGUA FV</c:v>
                </c:pt>
                <c:pt idx="10">
                  <c:v>IYEPSA</c:v>
                </c:pt>
                <c:pt idx="11">
                  <c:v>CERRO VERDE</c:v>
                </c:pt>
                <c:pt idx="12">
                  <c:v>ATRIA</c:v>
                </c:pt>
                <c:pt idx="13">
                  <c:v>MAJA ENERGIA</c:v>
                </c:pt>
                <c:pt idx="14">
                  <c:v>CENTRALES SANTA ROSA</c:v>
                </c:pt>
                <c:pt idx="15">
                  <c:v>ELECTRICA YANAPAMPA</c:v>
                </c:pt>
                <c:pt idx="16">
                  <c:v>AGUA AZUL</c:v>
                </c:pt>
                <c:pt idx="17">
                  <c:v>GR PAINO</c:v>
                </c:pt>
                <c:pt idx="18">
                  <c:v>HIDROCAÑETE</c:v>
                </c:pt>
                <c:pt idx="19">
                  <c:v>EGECSAC</c:v>
                </c:pt>
                <c:pt idx="20">
                  <c:v>INVERSION DE ENERGÍA RENOVABLES</c:v>
                </c:pt>
                <c:pt idx="21">
                  <c:v>RIO DOBLE</c:v>
                </c:pt>
                <c:pt idx="22">
                  <c:v>GR TARUCA</c:v>
                </c:pt>
                <c:pt idx="23">
                  <c:v>GENERACIÓN ANDINA</c:v>
                </c:pt>
                <c:pt idx="24">
                  <c:v>PETRAMAS</c:v>
                </c:pt>
                <c:pt idx="25">
                  <c:v>RIO BAÑOS</c:v>
                </c:pt>
                <c:pt idx="26">
                  <c:v>AGROAURORA</c:v>
                </c:pt>
                <c:pt idx="27">
                  <c:v>BIOENERGIA</c:v>
                </c:pt>
                <c:pt idx="28">
                  <c:v>ANDEAN POWER</c:v>
                </c:pt>
                <c:pt idx="29">
                  <c:v>CELEPSA RENOVABLES</c:v>
                </c:pt>
                <c:pt idx="30">
                  <c:v>HUAURA POWER</c:v>
                </c:pt>
                <c:pt idx="31">
                  <c:v>EMGE JUNÍN</c:v>
                </c:pt>
                <c:pt idx="32">
                  <c:v>LA VIRGEN</c:v>
                </c:pt>
                <c:pt idx="33">
                  <c:v>SINERSA</c:v>
                </c:pt>
                <c:pt idx="34">
                  <c:v>AIPSA</c:v>
                </c:pt>
                <c:pt idx="35">
                  <c:v>HIDROELECTRICA HUANCHOR</c:v>
                </c:pt>
                <c:pt idx="36">
                  <c:v>GEPSA</c:v>
                </c:pt>
                <c:pt idx="37">
                  <c:v>SANTA ANA</c:v>
                </c:pt>
                <c:pt idx="38">
                  <c:v>P.E. MARCONA</c:v>
                </c:pt>
                <c:pt idx="39">
                  <c:v>EGESUR</c:v>
                </c:pt>
                <c:pt idx="40">
                  <c:v>SDF ENERGIA</c:v>
                </c:pt>
                <c:pt idx="41">
                  <c:v>INLAND</c:v>
                </c:pt>
                <c:pt idx="42">
                  <c:v>EMGE HUANZA</c:v>
                </c:pt>
                <c:pt idx="43">
                  <c:v>SAN GABAN</c:v>
                </c:pt>
                <c:pt idx="44">
                  <c:v>CHINANGO</c:v>
                </c:pt>
                <c:pt idx="45">
                  <c:v>ENERGÍA EÓLICA</c:v>
                </c:pt>
                <c:pt idx="46">
                  <c:v>P.E. TRES HERMANAS</c:v>
                </c:pt>
                <c:pt idx="47">
                  <c:v>ENEL GENERACION PIURA</c:v>
                </c:pt>
                <c:pt idx="48">
                  <c:v>EGEMSA</c:v>
                </c:pt>
                <c:pt idx="49">
                  <c:v>CELEPSA</c:v>
                </c:pt>
                <c:pt idx="50">
                  <c:v>EGASA</c:v>
                </c:pt>
                <c:pt idx="51">
                  <c:v>ORAZUL ENERGY PERÚ</c:v>
                </c:pt>
                <c:pt idx="52">
                  <c:v>ENEL GREEN POWER PERU</c:v>
                </c:pt>
                <c:pt idx="53">
                  <c:v>EMGE HUALLAGA</c:v>
                </c:pt>
                <c:pt idx="54">
                  <c:v>STATKRAFT</c:v>
                </c:pt>
                <c:pt idx="55">
                  <c:v>TERMOCHILCA</c:v>
                </c:pt>
                <c:pt idx="56">
                  <c:v>SAMAY I</c:v>
                </c:pt>
                <c:pt idx="57">
                  <c:v>FENIX POWER</c:v>
                </c:pt>
                <c:pt idx="58">
                  <c:v>ELECTROPERU</c:v>
                </c:pt>
                <c:pt idx="59">
                  <c:v>ENEL GENERACION PERU</c:v>
                </c:pt>
                <c:pt idx="60">
                  <c:v>KALLPA</c:v>
                </c:pt>
                <c:pt idx="61">
                  <c:v>ENGIE</c:v>
                </c:pt>
              </c:strCache>
            </c:strRef>
          </c:cat>
          <c:val>
            <c:numRef>
              <c:f>'9. Pot. Empresa'!$O$7:$O$68</c:f>
              <c:numCache>
                <c:formatCode>0</c:formatCode>
                <c:ptCount val="62"/>
                <c:pt idx="0">
                  <c:v>0</c:v>
                </c:pt>
                <c:pt idx="1">
                  <c:v>0</c:v>
                </c:pt>
                <c:pt idx="2">
                  <c:v>0</c:v>
                </c:pt>
                <c:pt idx="3">
                  <c:v>7.4503399999999997</c:v>
                </c:pt>
                <c:pt idx="4">
                  <c:v>86.482849999999999</c:v>
                </c:pt>
                <c:pt idx="5">
                  <c:v>0</c:v>
                </c:pt>
                <c:pt idx="6">
                  <c:v>0</c:v>
                </c:pt>
                <c:pt idx="7">
                  <c:v>0</c:v>
                </c:pt>
                <c:pt idx="8">
                  <c:v>0</c:v>
                </c:pt>
                <c:pt idx="9">
                  <c:v>0</c:v>
                </c:pt>
                <c:pt idx="10">
                  <c:v>0</c:v>
                </c:pt>
                <c:pt idx="11">
                  <c:v>0</c:v>
                </c:pt>
                <c:pt idx="12">
                  <c:v>0</c:v>
                </c:pt>
                <c:pt idx="13">
                  <c:v>1.7350000000000001</c:v>
                </c:pt>
                <c:pt idx="14">
                  <c:v>1.58704</c:v>
                </c:pt>
                <c:pt idx="15">
                  <c:v>1.752</c:v>
                </c:pt>
                <c:pt idx="16">
                  <c:v>4.9308300000000003</c:v>
                </c:pt>
                <c:pt idx="17">
                  <c:v>15.51671</c:v>
                </c:pt>
                <c:pt idx="18">
                  <c:v>3.6</c:v>
                </c:pt>
                <c:pt idx="19">
                  <c:v>0</c:v>
                </c:pt>
                <c:pt idx="20">
                  <c:v>0</c:v>
                </c:pt>
                <c:pt idx="21">
                  <c:v>8.0266199999999994</c:v>
                </c:pt>
                <c:pt idx="22">
                  <c:v>17.630199999999999</c:v>
                </c:pt>
                <c:pt idx="23">
                  <c:v>11.809569999999999</c:v>
                </c:pt>
                <c:pt idx="24">
                  <c:v>7.6578999999999997</c:v>
                </c:pt>
                <c:pt idx="25">
                  <c:v>9.9739299999999993</c:v>
                </c:pt>
                <c:pt idx="26">
                  <c:v>18.298210000000001</c:v>
                </c:pt>
                <c:pt idx="27">
                  <c:v>9.6138999999999992</c:v>
                </c:pt>
                <c:pt idx="28">
                  <c:v>11.636089999999999</c:v>
                </c:pt>
                <c:pt idx="29">
                  <c:v>13.12749</c:v>
                </c:pt>
                <c:pt idx="30">
                  <c:v>14.079000000000001</c:v>
                </c:pt>
                <c:pt idx="31">
                  <c:v>16.988659999999999</c:v>
                </c:pt>
                <c:pt idx="32">
                  <c:v>27.012170000000001</c:v>
                </c:pt>
                <c:pt idx="33">
                  <c:v>14.07869</c:v>
                </c:pt>
                <c:pt idx="34">
                  <c:v>15.35294</c:v>
                </c:pt>
                <c:pt idx="35">
                  <c:v>17.705939999999998</c:v>
                </c:pt>
                <c:pt idx="36">
                  <c:v>22.337439999999997</c:v>
                </c:pt>
                <c:pt idx="37">
                  <c:v>20.127410000000001</c:v>
                </c:pt>
                <c:pt idx="38">
                  <c:v>18.21801</c:v>
                </c:pt>
                <c:pt idx="39">
                  <c:v>48.655499999999996</c:v>
                </c:pt>
                <c:pt idx="40">
                  <c:v>29.557569999999998</c:v>
                </c:pt>
                <c:pt idx="41">
                  <c:v>49.560549999999999</c:v>
                </c:pt>
                <c:pt idx="42">
                  <c:v>47.938209999999998</c:v>
                </c:pt>
                <c:pt idx="43">
                  <c:v>102.28372999999999</c:v>
                </c:pt>
                <c:pt idx="44">
                  <c:v>83.739000000000004</c:v>
                </c:pt>
                <c:pt idx="45">
                  <c:v>45.701500000000003</c:v>
                </c:pt>
                <c:pt idx="46">
                  <c:v>55.854419999999998</c:v>
                </c:pt>
                <c:pt idx="47">
                  <c:v>92.156000000000006</c:v>
                </c:pt>
                <c:pt idx="48">
                  <c:v>81.986000000000004</c:v>
                </c:pt>
                <c:pt idx="49">
                  <c:v>118.20270000000001</c:v>
                </c:pt>
                <c:pt idx="50">
                  <c:v>139.39379999999997</c:v>
                </c:pt>
                <c:pt idx="51">
                  <c:v>171.99599999999998</c:v>
                </c:pt>
                <c:pt idx="52">
                  <c:v>106.501</c:v>
                </c:pt>
                <c:pt idx="53">
                  <c:v>238.53051000000002</c:v>
                </c:pt>
                <c:pt idx="54">
                  <c:v>257.72505999999998</c:v>
                </c:pt>
                <c:pt idx="55">
                  <c:v>289.13090999999997</c:v>
                </c:pt>
                <c:pt idx="56">
                  <c:v>0</c:v>
                </c:pt>
                <c:pt idx="57">
                  <c:v>548.15437999999995</c:v>
                </c:pt>
                <c:pt idx="58">
                  <c:v>848.26944000000015</c:v>
                </c:pt>
                <c:pt idx="59">
                  <c:v>577.83800000000008</c:v>
                </c:pt>
                <c:pt idx="60">
                  <c:v>1651.866</c:v>
                </c:pt>
                <c:pt idx="61">
                  <c:v>1085.86877</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mayo 2022
INFSGI-MES-05-2022
14/06/2022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2515018769797086"/>
          <c:h val="0.67796098989555775"/>
        </c:manualLayout>
      </c:layout>
      <c:lineChart>
        <c:grouping val="standard"/>
        <c:varyColors val="0"/>
        <c:ser>
          <c:idx val="2"/>
          <c:order val="0"/>
          <c:tx>
            <c:strRef>
              <c:f>'10. Volúmenes'!$N$11</c:f>
              <c:strCache>
                <c:ptCount val="1"/>
                <c:pt idx="0">
                  <c:v>2020</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2021</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2022</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126.9000015</c:v>
                </c:pt>
                <c:pt idx="1">
                  <c:v>126.61000060000001</c:v>
                </c:pt>
                <c:pt idx="2">
                  <c:v>130.51999660000001</c:v>
                </c:pt>
                <c:pt idx="3">
                  <c:v>137.43000029999999</c:v>
                </c:pt>
                <c:pt idx="4">
                  <c:v>153.3059998</c:v>
                </c:pt>
                <c:pt idx="5">
                  <c:v>137.3439941</c:v>
                </c:pt>
                <c:pt idx="6">
                  <c:v>148.73699569999999</c:v>
                </c:pt>
                <c:pt idx="7">
                  <c:v>152.691</c:v>
                </c:pt>
                <c:pt idx="8">
                  <c:v>167.3399963</c:v>
                </c:pt>
                <c:pt idx="9">
                  <c:v>164.90809684999999</c:v>
                </c:pt>
                <c:pt idx="10">
                  <c:v>184.82999999999998</c:v>
                </c:pt>
                <c:pt idx="11">
                  <c:v>191.4409943</c:v>
                </c:pt>
                <c:pt idx="12">
                  <c:v>207.84</c:v>
                </c:pt>
                <c:pt idx="13">
                  <c:v>216.294998168945</c:v>
                </c:pt>
                <c:pt idx="14">
                  <c:v>220.08099369999999</c:v>
                </c:pt>
                <c:pt idx="15">
                  <c:v>221.83999633789</c:v>
                </c:pt>
                <c:pt idx="16">
                  <c:v>220.96049318788999</c:v>
                </c:pt>
                <c:pt idx="17">
                  <c:v>221.41</c:v>
                </c:pt>
                <c:pt idx="18">
                  <c:v>222.52999877929599</c:v>
                </c:pt>
                <c:pt idx="19">
                  <c:v>222.47799682617099</c:v>
                </c:pt>
                <c:pt idx="20">
                  <c:v>221.33000183105401</c:v>
                </c:pt>
                <c:pt idx="21">
                  <c:v>221.8000031</c:v>
                </c:pt>
                <c:pt idx="22">
                  <c:v>218.83000183105401</c:v>
                </c:pt>
                <c:pt idx="23">
                  <c:v>217.02000430000001</c:v>
                </c:pt>
                <c:pt idx="24">
                  <c:v>214.76800539999999</c:v>
                </c:pt>
                <c:pt idx="25">
                  <c:v>212.9750061</c:v>
                </c:pt>
                <c:pt idx="26">
                  <c:v>210.75</c:v>
                </c:pt>
                <c:pt idx="27">
                  <c:v>207.5500031</c:v>
                </c:pt>
                <c:pt idx="28">
                  <c:v>204.99000549316401</c:v>
                </c:pt>
                <c:pt idx="29">
                  <c:v>195.11000060000001</c:v>
                </c:pt>
                <c:pt idx="30">
                  <c:v>191.32699584960901</c:v>
                </c:pt>
                <c:pt idx="31">
                  <c:v>187.98199462890599</c:v>
                </c:pt>
                <c:pt idx="32">
                  <c:v>184.75399780000001</c:v>
                </c:pt>
                <c:pt idx="33">
                  <c:v>181.1710052</c:v>
                </c:pt>
                <c:pt idx="34">
                  <c:v>173.61999511718699</c:v>
                </c:pt>
                <c:pt idx="35">
                  <c:v>168.88000489999999</c:v>
                </c:pt>
                <c:pt idx="36">
                  <c:v>163.31300355859301</c:v>
                </c:pt>
                <c:pt idx="37">
                  <c:v>160.03999328613199</c:v>
                </c:pt>
                <c:pt idx="38">
                  <c:v>154.0410004</c:v>
                </c:pt>
                <c:pt idx="39">
                  <c:v>137.69400024414</c:v>
                </c:pt>
                <c:pt idx="40">
                  <c:v>133.05799866484401</c:v>
                </c:pt>
                <c:pt idx="41">
                  <c:v>135.26800539999999</c:v>
                </c:pt>
                <c:pt idx="42">
                  <c:v>131.78599548339801</c:v>
                </c:pt>
                <c:pt idx="43">
                  <c:v>122.9000015</c:v>
                </c:pt>
                <c:pt idx="44">
                  <c:v>115.61799621582</c:v>
                </c:pt>
                <c:pt idx="45">
                  <c:v>109.3000031</c:v>
                </c:pt>
                <c:pt idx="46">
                  <c:v>102.5579987</c:v>
                </c:pt>
                <c:pt idx="47">
                  <c:v>93.499000549316406</c:v>
                </c:pt>
                <c:pt idx="48">
                  <c:v>86.319999690000003</c:v>
                </c:pt>
                <c:pt idx="49">
                  <c:v>82.027000430000001</c:v>
                </c:pt>
                <c:pt idx="50">
                  <c:v>79.66999817</c:v>
                </c:pt>
                <c:pt idx="51">
                  <c:v>77.312995909999998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2023</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_(* #,##0.00_);_(* \(#,##0.00\);_(* "-"??_);_(@_)</c:formatCode>
                <c:ptCount val="53"/>
                <c:pt idx="0">
                  <c:v>80.403999330000005</c:v>
                </c:pt>
                <c:pt idx="1">
                  <c:v>84.577003480000002</c:v>
                </c:pt>
                <c:pt idx="2">
                  <c:v>84.956001281738196</c:v>
                </c:pt>
                <c:pt idx="3">
                  <c:v>88.667999269999996</c:v>
                </c:pt>
                <c:pt idx="4">
                  <c:v>92.379997258261795</c:v>
                </c:pt>
                <c:pt idx="5">
                  <c:v>102.379997253418</c:v>
                </c:pt>
                <c:pt idx="6">
                  <c:v>108.6900024</c:v>
                </c:pt>
                <c:pt idx="7">
                  <c:v>120.7900009</c:v>
                </c:pt>
                <c:pt idx="8">
                  <c:v>135.97399902343699</c:v>
                </c:pt>
                <c:pt idx="9">
                  <c:v>139.5839996</c:v>
                </c:pt>
                <c:pt idx="10">
                  <c:v>149.71299743652301</c:v>
                </c:pt>
                <c:pt idx="11">
                  <c:v>157.25100710000001</c:v>
                </c:pt>
                <c:pt idx="12">
                  <c:v>170.20199579999999</c:v>
                </c:pt>
                <c:pt idx="13">
                  <c:v>174.29499820000001</c:v>
                </c:pt>
                <c:pt idx="14">
                  <c:v>177.919998168945</c:v>
                </c:pt>
                <c:pt idx="15">
                  <c:v>181.85699975859299</c:v>
                </c:pt>
                <c:pt idx="16">
                  <c:v>182.93699649999999</c:v>
                </c:pt>
                <c:pt idx="17">
                  <c:v>183.77600097656199</c:v>
                </c:pt>
                <c:pt idx="18">
                  <c:v>184.95100400000001</c:v>
                </c:pt>
                <c:pt idx="19">
                  <c:v>185.51499938964801</c:v>
                </c:pt>
                <c:pt idx="20">
                  <c:v>186.48633320182299</c:v>
                </c:pt>
                <c:pt idx="21">
                  <c:v>184.79299929999999</c:v>
                </c:pt>
                <c:pt idx="22">
                  <c:v>182.11000061035099</c:v>
                </c:pt>
                <c:pt idx="23">
                  <c:v>180.75</c:v>
                </c:pt>
                <c:pt idx="24">
                  <c:v>177.78900150000001</c:v>
                </c:pt>
                <c:pt idx="25">
                  <c:v>172.08099369999999</c:v>
                </c:pt>
                <c:pt idx="26">
                  <c:v>170.27600097656199</c:v>
                </c:pt>
                <c:pt idx="27">
                  <c:v>166.8529968</c:v>
                </c:pt>
                <c:pt idx="28">
                  <c:v>165.3619995</c:v>
                </c:pt>
                <c:pt idx="29">
                  <c:v>163.072998046875</c:v>
                </c:pt>
                <c:pt idx="30">
                  <c:v>157.4400024</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2020</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2021</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2022</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35.493000029999997</c:v>
                </c:pt>
                <c:pt idx="1">
                  <c:v>56.155998230000002</c:v>
                </c:pt>
                <c:pt idx="2">
                  <c:v>68.723999019999994</c:v>
                </c:pt>
                <c:pt idx="3">
                  <c:v>95.908996579999993</c:v>
                </c:pt>
                <c:pt idx="4">
                  <c:v>122.54900360000001</c:v>
                </c:pt>
                <c:pt idx="5">
                  <c:v>164.02999879999999</c:v>
                </c:pt>
                <c:pt idx="6">
                  <c:v>195.61700188</c:v>
                </c:pt>
                <c:pt idx="7">
                  <c:v>273.05700683593699</c:v>
                </c:pt>
                <c:pt idx="8">
                  <c:v>291.33300780000002</c:v>
                </c:pt>
                <c:pt idx="9">
                  <c:v>290.13098150000002</c:v>
                </c:pt>
                <c:pt idx="10">
                  <c:v>306.47698974609301</c:v>
                </c:pt>
                <c:pt idx="11">
                  <c:v>307.06500240000003</c:v>
                </c:pt>
                <c:pt idx="12">
                  <c:v>308.24</c:v>
                </c:pt>
                <c:pt idx="13">
                  <c:v>316.52200317382801</c:v>
                </c:pt>
                <c:pt idx="14">
                  <c:v>323.08200069999998</c:v>
                </c:pt>
                <c:pt idx="15">
                  <c:v>320.093994140625</c:v>
                </c:pt>
                <c:pt idx="16">
                  <c:v>317.51499449062499</c:v>
                </c:pt>
                <c:pt idx="17">
                  <c:v>286.73</c:v>
                </c:pt>
                <c:pt idx="18">
                  <c:v>294.225006103515</c:v>
                </c:pt>
                <c:pt idx="19">
                  <c:v>298.29000854492102</c:v>
                </c:pt>
                <c:pt idx="20">
                  <c:v>302.95901489257801</c:v>
                </c:pt>
                <c:pt idx="21">
                  <c:v>306.47698969999999</c:v>
                </c:pt>
                <c:pt idx="22">
                  <c:v>304.13000488281199</c:v>
                </c:pt>
                <c:pt idx="23">
                  <c:v>295.9649963</c:v>
                </c:pt>
                <c:pt idx="24">
                  <c:v>285.57900999999998</c:v>
                </c:pt>
                <c:pt idx="25">
                  <c:v>274.75399779999998</c:v>
                </c:pt>
                <c:pt idx="26">
                  <c:v>261.83898929999998</c:v>
                </c:pt>
                <c:pt idx="27">
                  <c:v>249.13000489999999</c:v>
                </c:pt>
                <c:pt idx="28">
                  <c:v>235.552001953125</c:v>
                </c:pt>
                <c:pt idx="29">
                  <c:v>235.55200199999999</c:v>
                </c:pt>
                <c:pt idx="30">
                  <c:v>204.47599792480401</c:v>
                </c:pt>
                <c:pt idx="31">
                  <c:v>190.20399475097599</c:v>
                </c:pt>
                <c:pt idx="32">
                  <c:v>187.18600459999999</c:v>
                </c:pt>
                <c:pt idx="33">
                  <c:v>173.7779999</c:v>
                </c:pt>
                <c:pt idx="34">
                  <c:v>169.37899780273401</c:v>
                </c:pt>
                <c:pt idx="35">
                  <c:v>165.48199460000001</c:v>
                </c:pt>
                <c:pt idx="36">
                  <c:v>142.98404230134</c:v>
                </c:pt>
                <c:pt idx="37">
                  <c:v>132.51499938964801</c:v>
                </c:pt>
                <c:pt idx="38">
                  <c:v>131.60099790000001</c:v>
                </c:pt>
                <c:pt idx="39">
                  <c:v>127.05599975585901</c:v>
                </c:pt>
                <c:pt idx="40">
                  <c:v>113.457096562483</c:v>
                </c:pt>
                <c:pt idx="41">
                  <c:v>110.13999939999999</c:v>
                </c:pt>
                <c:pt idx="42">
                  <c:v>91.259002685546804</c:v>
                </c:pt>
                <c:pt idx="43">
                  <c:v>69.921997070000003</c:v>
                </c:pt>
                <c:pt idx="44">
                  <c:v>66.931999206542898</c:v>
                </c:pt>
                <c:pt idx="45">
                  <c:v>50.784000399999996</c:v>
                </c:pt>
                <c:pt idx="46">
                  <c:v>43.990001679999999</c:v>
                </c:pt>
                <c:pt idx="47">
                  <c:v>28.9869995117187</c:v>
                </c:pt>
                <c:pt idx="48">
                  <c:v>14.64000034</c:v>
                </c:pt>
                <c:pt idx="49">
                  <c:v>29.344999309999999</c:v>
                </c:pt>
                <c:pt idx="50">
                  <c:v>24.719999309999999</c:v>
                </c:pt>
                <c:pt idx="51">
                  <c:v>32.981665290000002</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2023</c:v>
                </c:pt>
              </c:strCache>
            </c:strRef>
          </c:tx>
          <c:spPr>
            <a:ln w="6350"/>
          </c:spPr>
          <c:val>
            <c:numRef>
              <c:f>'11. Volúmenes'!$R$6:$R$58</c:f>
              <c:numCache>
                <c:formatCode>_(* #,##0.00_);_(* \(#,##0.00\);_(* "-"??_);_(@_)</c:formatCode>
                <c:ptCount val="53"/>
                <c:pt idx="0">
                  <c:v>33.673000340000002</c:v>
                </c:pt>
                <c:pt idx="1">
                  <c:v>30.78100014</c:v>
                </c:pt>
                <c:pt idx="2">
                  <c:v>34.400001525878899</c:v>
                </c:pt>
                <c:pt idx="3">
                  <c:v>34.0359993</c:v>
                </c:pt>
                <c:pt idx="4">
                  <c:v>41.573</c:v>
                </c:pt>
                <c:pt idx="5">
                  <c:v>58.094001770019503</c:v>
                </c:pt>
                <c:pt idx="6">
                  <c:v>69.123001099999996</c:v>
                </c:pt>
                <c:pt idx="7">
                  <c:v>91.259002690000003</c:v>
                </c:pt>
                <c:pt idx="8">
                  <c:v>113.653999328613</c:v>
                </c:pt>
                <c:pt idx="9">
                  <c:v>122.54900360000001</c:v>
                </c:pt>
                <c:pt idx="10">
                  <c:v>133.42999267578099</c:v>
                </c:pt>
                <c:pt idx="11">
                  <c:v>167.42399599999999</c:v>
                </c:pt>
                <c:pt idx="12">
                  <c:v>196.28300479999999</c:v>
                </c:pt>
                <c:pt idx="13" formatCode="General">
                  <c:v>213.81199649999999</c:v>
                </c:pt>
                <c:pt idx="14" formatCode="General">
                  <c:v>223.27499389648401</c:v>
                </c:pt>
                <c:pt idx="15" formatCode="General">
                  <c:v>231.79400000000001</c:v>
                </c:pt>
                <c:pt idx="16" formatCode="General">
                  <c:v>236.0899963</c:v>
                </c:pt>
                <c:pt idx="17" formatCode="General">
                  <c:v>231.25799560546801</c:v>
                </c:pt>
                <c:pt idx="18" formatCode="General">
                  <c:v>237.70799260000001</c:v>
                </c:pt>
                <c:pt idx="19" formatCode="General">
                  <c:v>239.86999511718699</c:v>
                </c:pt>
                <c:pt idx="20" formatCode="0.000">
                  <c:v>238.78827000000001</c:v>
                </c:pt>
                <c:pt idx="21" formatCode="0.000">
                  <c:v>237.16799929999999</c:v>
                </c:pt>
                <c:pt idx="22" formatCode="0.000">
                  <c:v>237.16799926757801</c:v>
                </c:pt>
                <c:pt idx="23" formatCode="0.000">
                  <c:v>237.16799929999999</c:v>
                </c:pt>
                <c:pt idx="24" formatCode="0.000">
                  <c:v>233.93899999999999</c:v>
                </c:pt>
                <c:pt idx="25" formatCode="0.000">
                  <c:v>237.16799929999999</c:v>
                </c:pt>
                <c:pt idx="26" formatCode="0.000">
                  <c:v>237.16799926757801</c:v>
                </c:pt>
                <c:pt idx="27" formatCode="0.000">
                  <c:v>224.33500670000001</c:v>
                </c:pt>
                <c:pt idx="28" formatCode="0.000">
                  <c:v>224.33500670000001</c:v>
                </c:pt>
                <c:pt idx="29" formatCode="0.000">
                  <c:v>204.99099731445301</c:v>
                </c:pt>
                <c:pt idx="30" formatCode="0.000">
                  <c:v>181.19200129999999</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2020</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194.494995117</c:v>
                </c:pt>
                <c:pt idx="1">
                  <c:v>212.15300178999999</c:v>
                </c:pt>
                <c:pt idx="2">
                  <c:v>213.71899984999999</c:v>
                </c:pt>
                <c:pt idx="3">
                  <c:v>219.56099320000001</c:v>
                </c:pt>
                <c:pt idx="4">
                  <c:v>285.12099838256813</c:v>
                </c:pt>
                <c:pt idx="5">
                  <c:v>329.34199910000001</c:v>
                </c:pt>
                <c:pt idx="6">
                  <c:v>352.60932731628355</c:v>
                </c:pt>
                <c:pt idx="7">
                  <c:v>377.95000650999998</c:v>
                </c:pt>
                <c:pt idx="8">
                  <c:v>383.25900259000002</c:v>
                </c:pt>
                <c:pt idx="9">
                  <c:v>394.92200288000009</c:v>
                </c:pt>
                <c:pt idx="10">
                  <c:v>390.290998458861</c:v>
                </c:pt>
                <c:pt idx="11">
                  <c:v>402.17499160766499</c:v>
                </c:pt>
                <c:pt idx="12">
                  <c:v>398.93495940999998</c:v>
                </c:pt>
                <c:pt idx="13">
                  <c:v>388.01895332999999</c:v>
                </c:pt>
                <c:pt idx="14">
                  <c:v>383.39695458999995</c:v>
                </c:pt>
                <c:pt idx="15">
                  <c:v>381.56399345397853</c:v>
                </c:pt>
                <c:pt idx="16">
                  <c:v>379.87400246999994</c:v>
                </c:pt>
                <c:pt idx="17">
                  <c:v>375.69400404000004</c:v>
                </c:pt>
                <c:pt idx="18">
                  <c:v>370.56599616999995</c:v>
                </c:pt>
                <c:pt idx="19">
                  <c:v>365.52200794219863</c:v>
                </c:pt>
                <c:pt idx="20">
                  <c:v>359.19900507300002</c:v>
                </c:pt>
                <c:pt idx="21">
                  <c:v>354.24799921000005</c:v>
                </c:pt>
                <c:pt idx="22">
                  <c:v>348.87000203132561</c:v>
                </c:pt>
                <c:pt idx="23">
                  <c:v>343.83099551700002</c:v>
                </c:pt>
                <c:pt idx="24">
                  <c:v>338.47100355099997</c:v>
                </c:pt>
                <c:pt idx="25">
                  <c:v>333.23996639251612</c:v>
                </c:pt>
                <c:pt idx="26">
                  <c:v>327.71050074999999</c:v>
                </c:pt>
                <c:pt idx="27">
                  <c:v>322.11699965099996</c:v>
                </c:pt>
                <c:pt idx="28">
                  <c:v>316.39600081599997</c:v>
                </c:pt>
                <c:pt idx="29">
                  <c:v>310.66199637099999</c:v>
                </c:pt>
                <c:pt idx="30">
                  <c:v>304.63100243800005</c:v>
                </c:pt>
                <c:pt idx="31">
                  <c:v>299.14499665</c:v>
                </c:pt>
                <c:pt idx="32">
                  <c:v>293.22399712800001</c:v>
                </c:pt>
                <c:pt idx="33">
                  <c:v>287.11000061035065</c:v>
                </c:pt>
                <c:pt idx="34">
                  <c:v>280.34500217437699</c:v>
                </c:pt>
                <c:pt idx="35">
                  <c:v>273.90200042724575</c:v>
                </c:pt>
                <c:pt idx="36">
                  <c:v>267.16300058364783</c:v>
                </c:pt>
                <c:pt idx="37">
                  <c:v>262.426999588</c:v>
                </c:pt>
                <c:pt idx="38">
                  <c:v>258.968997</c:v>
                </c:pt>
                <c:pt idx="39">
                  <c:v>255.76199719799999</c:v>
                </c:pt>
                <c:pt idx="40">
                  <c:v>251.31199836730943</c:v>
                </c:pt>
                <c:pt idx="41">
                  <c:v>245.88199755799999</c:v>
                </c:pt>
                <c:pt idx="42">
                  <c:v>239.051002463</c:v>
                </c:pt>
                <c:pt idx="43">
                  <c:v>232.679000852</c:v>
                </c:pt>
                <c:pt idx="44">
                  <c:v>225.80399990800001</c:v>
                </c:pt>
                <c:pt idx="45">
                  <c:v>219.24500608799997</c:v>
                </c:pt>
                <c:pt idx="46">
                  <c:v>212.09200192</c:v>
                </c:pt>
                <c:pt idx="47">
                  <c:v>206.70499944799997</c:v>
                </c:pt>
                <c:pt idx="48">
                  <c:v>200.08300209800001</c:v>
                </c:pt>
                <c:pt idx="49">
                  <c:v>200.81900405299996</c:v>
                </c:pt>
                <c:pt idx="50">
                  <c:v>217.92999649000001</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2021</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2022</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204.009998798</c:v>
                </c:pt>
                <c:pt idx="1">
                  <c:v>226.30700303700002</c:v>
                </c:pt>
                <c:pt idx="2">
                  <c:v>246.70599747499998</c:v>
                </c:pt>
                <c:pt idx="3">
                  <c:v>284.02000140000001</c:v>
                </c:pt>
                <c:pt idx="4">
                  <c:v>316.55300431000006</c:v>
                </c:pt>
                <c:pt idx="5">
                  <c:v>327.15899755999999</c:v>
                </c:pt>
                <c:pt idx="6">
                  <c:v>354.25649632083298</c:v>
                </c:pt>
                <c:pt idx="7">
                  <c:v>356.44099426269452</c:v>
                </c:pt>
                <c:pt idx="8">
                  <c:v>371.62199979000002</c:v>
                </c:pt>
                <c:pt idx="9">
                  <c:v>380.60428970547002</c:v>
                </c:pt>
                <c:pt idx="10">
                  <c:v>384.68100166320727</c:v>
                </c:pt>
                <c:pt idx="11">
                  <c:v>387.41699027999999</c:v>
                </c:pt>
                <c:pt idx="12">
                  <c:v>387.17</c:v>
                </c:pt>
                <c:pt idx="13">
                  <c:v>389.18700027465661</c:v>
                </c:pt>
                <c:pt idx="14">
                  <c:v>391.56700128</c:v>
                </c:pt>
                <c:pt idx="15">
                  <c:v>387.48099899291947</c:v>
                </c:pt>
                <c:pt idx="16">
                  <c:v>384.68462114530365</c:v>
                </c:pt>
                <c:pt idx="17">
                  <c:v>375.79000000000008</c:v>
                </c:pt>
                <c:pt idx="18">
                  <c:v>370.16600227355934</c:v>
                </c:pt>
                <c:pt idx="19">
                  <c:v>364.40299987792889</c:v>
                </c:pt>
                <c:pt idx="20">
                  <c:v>358.7700004577631</c:v>
                </c:pt>
                <c:pt idx="21">
                  <c:v>353.17899700999999</c:v>
                </c:pt>
                <c:pt idx="22">
                  <c:v>347.3810005187978</c:v>
                </c:pt>
                <c:pt idx="23">
                  <c:v>341.67700381999998</c:v>
                </c:pt>
                <c:pt idx="24">
                  <c:v>335.75800323999999</c:v>
                </c:pt>
                <c:pt idx="25">
                  <c:v>330.74199960999994</c:v>
                </c:pt>
                <c:pt idx="26">
                  <c:v>325.96500109999999</c:v>
                </c:pt>
                <c:pt idx="27">
                  <c:v>319.04200172500003</c:v>
                </c:pt>
                <c:pt idx="28">
                  <c:v>313.23499679565401</c:v>
                </c:pt>
                <c:pt idx="29">
                  <c:v>308.18499564899997</c:v>
                </c:pt>
                <c:pt idx="30">
                  <c:v>300.29800155758841</c:v>
                </c:pt>
                <c:pt idx="31">
                  <c:v>292.89500425755955</c:v>
                </c:pt>
                <c:pt idx="32">
                  <c:v>302.95999780999995</c:v>
                </c:pt>
                <c:pt idx="33">
                  <c:v>277.92099988699999</c:v>
                </c:pt>
                <c:pt idx="34">
                  <c:v>270.68900412321057</c:v>
                </c:pt>
                <c:pt idx="35">
                  <c:v>263.03699629800002</c:v>
                </c:pt>
                <c:pt idx="36">
                  <c:v>267.3754964899627</c:v>
                </c:pt>
                <c:pt idx="37">
                  <c:v>247.34099905192824</c:v>
                </c:pt>
                <c:pt idx="38">
                  <c:v>239.01999990799999</c:v>
                </c:pt>
                <c:pt idx="39">
                  <c:v>230.88899938762165</c:v>
                </c:pt>
                <c:pt idx="40">
                  <c:v>221.89513753580701</c:v>
                </c:pt>
                <c:pt idx="41">
                  <c:v>214.51600204000002</c:v>
                </c:pt>
                <c:pt idx="42">
                  <c:v>206.5210008025168</c:v>
                </c:pt>
                <c:pt idx="43">
                  <c:v>205.3030003903163</c:v>
                </c:pt>
                <c:pt idx="44">
                  <c:v>197.31799500565413</c:v>
                </c:pt>
                <c:pt idx="45">
                  <c:v>182.13499730299998</c:v>
                </c:pt>
                <c:pt idx="46">
                  <c:v>175.02100271200001</c:v>
                </c:pt>
                <c:pt idx="47">
                  <c:v>167.88399881124482</c:v>
                </c:pt>
                <c:pt idx="48">
                  <c:v>163.290001034</c:v>
                </c:pt>
                <c:pt idx="49">
                  <c:v>164.16899752900002</c:v>
                </c:pt>
                <c:pt idx="50">
                  <c:v>159.756001709</c:v>
                </c:pt>
                <c:pt idx="51">
                  <c:v>158.87100076566699</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2023</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151.66299939000001</c:v>
                </c:pt>
                <c:pt idx="1">
                  <c:v>148.510999441</c:v>
                </c:pt>
                <c:pt idx="2">
                  <c:v>143.81200027465798</c:v>
                </c:pt>
                <c:pt idx="3">
                  <c:v>140.23999690700001</c:v>
                </c:pt>
                <c:pt idx="4">
                  <c:v>149.94700005392335</c:v>
                </c:pt>
                <c:pt idx="5">
                  <c:v>183.37299919128398</c:v>
                </c:pt>
                <c:pt idx="6">
                  <c:v>222.42599583999998</c:v>
                </c:pt>
                <c:pt idx="7">
                  <c:v>223.43000031000003</c:v>
                </c:pt>
                <c:pt idx="8">
                  <c:v>223.83099651336642</c:v>
                </c:pt>
                <c:pt idx="9">
                  <c:v>226.36199664999998</c:v>
                </c:pt>
                <c:pt idx="10">
                  <c:v>232.74199581146217</c:v>
                </c:pt>
                <c:pt idx="11">
                  <c:v>249.01400279000003</c:v>
                </c:pt>
                <c:pt idx="12">
                  <c:v>287.89399718999999</c:v>
                </c:pt>
                <c:pt idx="13" formatCode="General">
                  <c:v>300.13200759</c:v>
                </c:pt>
                <c:pt idx="14" formatCode="General">
                  <c:v>303.48399925231826</c:v>
                </c:pt>
                <c:pt idx="15" formatCode="General">
                  <c:v>304.78900000000004</c:v>
                </c:pt>
                <c:pt idx="16" formatCode="General">
                  <c:v>303.57200239999997</c:v>
                </c:pt>
                <c:pt idx="17" formatCode="General">
                  <c:v>300.258003234863</c:v>
                </c:pt>
                <c:pt idx="18" formatCode="General">
                  <c:v>296.27899932999998</c:v>
                </c:pt>
                <c:pt idx="19" formatCode="General">
                  <c:v>292.73699569702455</c:v>
                </c:pt>
                <c:pt idx="20" formatCode="General">
                  <c:v>288.35500000000002</c:v>
                </c:pt>
                <c:pt idx="21" formatCode="General">
                  <c:v>283.59700203999995</c:v>
                </c:pt>
                <c:pt idx="22" formatCode="General">
                  <c:v>278.70099830627407</c:v>
                </c:pt>
                <c:pt idx="23" formatCode="General">
                  <c:v>273.83300210000004</c:v>
                </c:pt>
                <c:pt idx="24" formatCode="General">
                  <c:v>269.02600668999997</c:v>
                </c:pt>
                <c:pt idx="25" formatCode="General">
                  <c:v>264.09399986</c:v>
                </c:pt>
                <c:pt idx="26" formatCode="General">
                  <c:v>259.40699577331497</c:v>
                </c:pt>
                <c:pt idx="27" formatCode="General">
                  <c:v>255.76400183999999</c:v>
                </c:pt>
                <c:pt idx="28" formatCode="General">
                  <c:v>250.34199906000003</c:v>
                </c:pt>
                <c:pt idx="29" formatCode="General">
                  <c:v>245.46299934387167</c:v>
                </c:pt>
                <c:pt idx="30" formatCode="General">
                  <c:v>240.99800109999998</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NATURALES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'12.Caudales'!$J$4:$K$190</c:f>
              <c:multiLvlStrCache>
                <c:ptCount val="187"/>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3">
                    <c:v>8</c:v>
                  </c:pt>
                  <c:pt idx="171">
                    <c:v>16</c:v>
                  </c:pt>
                  <c:pt idx="186">
                    <c:v>31</c:v>
                  </c:pt>
                </c:lvl>
                <c:lvl>
                  <c:pt idx="0">
                    <c:v>2020</c:v>
                  </c:pt>
                  <c:pt idx="52">
                    <c:v>2021</c:v>
                  </c:pt>
                  <c:pt idx="104">
                    <c:v>2022</c:v>
                  </c:pt>
                  <c:pt idx="156">
                    <c:v>2023</c:v>
                  </c:pt>
                </c:lvl>
              </c:multiLvlStrCache>
            </c:multiLvlStrRef>
          </c:cat>
          <c:val>
            <c:numRef>
              <c:f>'12.Caudales'!$N$4:$N$190</c:f>
              <c:numCache>
                <c:formatCode>0.0</c:formatCode>
                <c:ptCount val="187"/>
                <c:pt idx="0">
                  <c:v>129.33128356933543</c:v>
                </c:pt>
                <c:pt idx="1">
                  <c:v>73.393001012857141</c:v>
                </c:pt>
                <c:pt idx="2">
                  <c:v>73.092571804285726</c:v>
                </c:pt>
                <c:pt idx="3">
                  <c:v>140.69343129999999</c:v>
                </c:pt>
                <c:pt idx="4">
                  <c:v>189.96014404285714</c:v>
                </c:pt>
                <c:pt idx="5">
                  <c:v>184.55100359235459</c:v>
                </c:pt>
                <c:pt idx="6">
                  <c:v>141.4891401142857</c:v>
                </c:pt>
                <c:pt idx="7">
                  <c:v>83.969571794782198</c:v>
                </c:pt>
                <c:pt idx="8">
                  <c:v>124.34114185428572</c:v>
                </c:pt>
                <c:pt idx="9">
                  <c:v>110.96499854142857</c:v>
                </c:pt>
                <c:pt idx="10">
                  <c:v>130.17914037142856</c:v>
                </c:pt>
                <c:pt idx="11">
                  <c:v>127.86657169886942</c:v>
                </c:pt>
                <c:pt idx="12">
                  <c:v>138.12900325230143</c:v>
                </c:pt>
                <c:pt idx="13">
                  <c:v>109.14457049285714</c:v>
                </c:pt>
                <c:pt idx="14">
                  <c:v>80.133571635714276</c:v>
                </c:pt>
                <c:pt idx="15">
                  <c:v>57.13714327142857</c:v>
                </c:pt>
                <c:pt idx="16">
                  <c:v>55.184285845075259</c:v>
                </c:pt>
                <c:pt idx="17">
                  <c:v>80.201000221428572</c:v>
                </c:pt>
                <c:pt idx="18">
                  <c:v>73.398713792857151</c:v>
                </c:pt>
                <c:pt idx="19">
                  <c:v>57.629714421428567</c:v>
                </c:pt>
                <c:pt idx="20">
                  <c:v>47.208427974155924</c:v>
                </c:pt>
                <c:pt idx="21">
                  <c:v>39.635571071428572</c:v>
                </c:pt>
                <c:pt idx="22">
                  <c:v>49.136857168571431</c:v>
                </c:pt>
                <c:pt idx="23">
                  <c:v>34.150428227015844</c:v>
                </c:pt>
                <c:pt idx="24">
                  <c:v>32.288857598571425</c:v>
                </c:pt>
                <c:pt idx="25">
                  <c:v>29.45585686714286</c:v>
                </c:pt>
                <c:pt idx="26">
                  <c:v>27.986428669520745</c:v>
                </c:pt>
                <c:pt idx="27">
                  <c:v>24.371857235714284</c:v>
                </c:pt>
                <c:pt idx="28">
                  <c:v>23.620857238571428</c:v>
                </c:pt>
                <c:pt idx="29">
                  <c:v>26.757428577142853</c:v>
                </c:pt>
                <c:pt idx="30">
                  <c:v>26.481285638571428</c:v>
                </c:pt>
                <c:pt idx="31">
                  <c:v>25.506571633475126</c:v>
                </c:pt>
                <c:pt idx="32">
                  <c:v>31.441428594285707</c:v>
                </c:pt>
                <c:pt idx="33">
                  <c:v>33.365713935714282</c:v>
                </c:pt>
                <c:pt idx="34">
                  <c:v>29.068999699183816</c:v>
                </c:pt>
                <c:pt idx="35">
                  <c:v>26.005428859165701</c:v>
                </c:pt>
                <c:pt idx="36">
                  <c:v>25.021857125418485</c:v>
                </c:pt>
                <c:pt idx="37">
                  <c:v>27.854714257376486</c:v>
                </c:pt>
                <c:pt idx="38">
                  <c:v>27.986571175714282</c:v>
                </c:pt>
                <c:pt idx="39">
                  <c:v>25.258999961428572</c:v>
                </c:pt>
                <c:pt idx="40">
                  <c:v>25.185571671428566</c:v>
                </c:pt>
                <c:pt idx="41">
                  <c:v>33.125999450683558</c:v>
                </c:pt>
                <c:pt idx="42">
                  <c:v>41.127143314285711</c:v>
                </c:pt>
                <c:pt idx="43">
                  <c:v>33.038428169999996</c:v>
                </c:pt>
                <c:pt idx="44">
                  <c:v>40.115713391428571</c:v>
                </c:pt>
                <c:pt idx="45">
                  <c:v>43.881571090000001</c:v>
                </c:pt>
                <c:pt idx="46">
                  <c:v>42.811571392857147</c:v>
                </c:pt>
                <c:pt idx="47">
                  <c:v>66.262570518571422</c:v>
                </c:pt>
                <c:pt idx="48">
                  <c:v>122.24228668571428</c:v>
                </c:pt>
                <c:pt idx="49">
                  <c:v>78.250285555714285</c:v>
                </c:pt>
                <c:pt idx="50">
                  <c:v>123.13128661428571</c:v>
                </c:pt>
                <c:pt idx="51">
                  <c:v>151.04400198571429</c:v>
                </c:pt>
                <c:pt idx="52">
                  <c:v>194.93985855714286</c:v>
                </c:pt>
                <c:pt idx="53">
                  <c:v>191.56657192857145</c:v>
                </c:pt>
                <c:pt idx="54">
                  <c:v>253.28128705714289</c:v>
                </c:pt>
                <c:pt idx="55">
                  <c:v>244.7925720428571</c:v>
                </c:pt>
                <c:pt idx="56">
                  <c:v>220.6247188142857</c:v>
                </c:pt>
                <c:pt idx="57">
                  <c:v>163.06042698571429</c:v>
                </c:pt>
                <c:pt idx="58">
                  <c:v>104.39303571428574</c:v>
                </c:pt>
                <c:pt idx="59">
                  <c:v>61.820178571428535</c:v>
                </c:pt>
                <c:pt idx="60">
                  <c:v>85.507331848144418</c:v>
                </c:pt>
                <c:pt idx="61">
                  <c:v>173.29428537142854</c:v>
                </c:pt>
                <c:pt idx="62">
                  <c:v>159.83856852857141</c:v>
                </c:pt>
                <c:pt idx="63">
                  <c:v>160.54285757142858</c:v>
                </c:pt>
                <c:pt idx="64">
                  <c:v>171.07471574285714</c:v>
                </c:pt>
                <c:pt idx="65">
                  <c:v>185.56500027142857</c:v>
                </c:pt>
                <c:pt idx="66">
                  <c:v>151.56014580000002</c:v>
                </c:pt>
                <c:pt idx="67">
                  <c:v>109.84099905714285</c:v>
                </c:pt>
                <c:pt idx="68">
                  <c:v>85.840285168571427</c:v>
                </c:pt>
                <c:pt idx="69">
                  <c:v>69.64942932142857</c:v>
                </c:pt>
                <c:pt idx="70">
                  <c:v>58.010286058571431</c:v>
                </c:pt>
                <c:pt idx="71">
                  <c:v>51.498000008571424</c:v>
                </c:pt>
                <c:pt idx="72">
                  <c:v>49.923428127142856</c:v>
                </c:pt>
                <c:pt idx="73">
                  <c:v>43.104427882857138</c:v>
                </c:pt>
                <c:pt idx="74">
                  <c:v>39.534857068571434</c:v>
                </c:pt>
                <c:pt idx="75">
                  <c:v>36.393142699999999</c:v>
                </c:pt>
                <c:pt idx="76">
                  <c:v>33.557857241428572</c:v>
                </c:pt>
                <c:pt idx="77">
                  <c:v>29.931428365714286</c:v>
                </c:pt>
                <c:pt idx="78">
                  <c:v>26.386999947142861</c:v>
                </c:pt>
                <c:pt idx="79">
                  <c:v>26.172000340000004</c:v>
                </c:pt>
                <c:pt idx="80">
                  <c:v>25.836714065714286</c:v>
                </c:pt>
                <c:pt idx="81">
                  <c:v>25.251428605714288</c:v>
                </c:pt>
                <c:pt idx="82">
                  <c:v>27.221714565714283</c:v>
                </c:pt>
                <c:pt idx="83">
                  <c:v>26.08357157</c:v>
                </c:pt>
                <c:pt idx="84">
                  <c:v>25.724999837142857</c:v>
                </c:pt>
                <c:pt idx="85">
                  <c:v>26.040285657142856</c:v>
                </c:pt>
                <c:pt idx="86">
                  <c:v>26.61128562</c:v>
                </c:pt>
                <c:pt idx="87">
                  <c:v>31.371142795714288</c:v>
                </c:pt>
                <c:pt idx="88">
                  <c:v>34.193142751428567</c:v>
                </c:pt>
                <c:pt idx="89">
                  <c:v>24.62042835714286</c:v>
                </c:pt>
                <c:pt idx="90">
                  <c:v>21.341285980000002</c:v>
                </c:pt>
                <c:pt idx="91">
                  <c:v>39.983428410000002</c:v>
                </c:pt>
                <c:pt idx="92">
                  <c:v>51.178142545714287</c:v>
                </c:pt>
                <c:pt idx="93">
                  <c:v>58.491857255714294</c:v>
                </c:pt>
                <c:pt idx="94">
                  <c:v>49.28842871714285</c:v>
                </c:pt>
                <c:pt idx="95">
                  <c:v>50.456999099999997</c:v>
                </c:pt>
                <c:pt idx="96">
                  <c:v>55.461713520000004</c:v>
                </c:pt>
                <c:pt idx="97">
                  <c:v>52.329856329999991</c:v>
                </c:pt>
                <c:pt idx="98">
                  <c:v>73.723714555714295</c:v>
                </c:pt>
                <c:pt idx="99">
                  <c:v>112.8014285714287</c:v>
                </c:pt>
                <c:pt idx="100">
                  <c:v>251.49200183333332</c:v>
                </c:pt>
                <c:pt idx="101">
                  <c:v>142.42614309857143</c:v>
                </c:pt>
                <c:pt idx="102">
                  <c:v>77.181571959999999</c:v>
                </c:pt>
                <c:pt idx="103">
                  <c:v>62.12314333285714</c:v>
                </c:pt>
                <c:pt idx="104">
                  <c:v>71.095855168571433</c:v>
                </c:pt>
                <c:pt idx="105">
                  <c:v>56.996714454285716</c:v>
                </c:pt>
                <c:pt idx="106">
                  <c:v>56.568285805714289</c:v>
                </c:pt>
                <c:pt idx="107">
                  <c:v>96.856569555714273</c:v>
                </c:pt>
                <c:pt idx="108">
                  <c:v>81.592857355714287</c:v>
                </c:pt>
                <c:pt idx="109">
                  <c:v>136.49742887285714</c:v>
                </c:pt>
                <c:pt idx="110">
                  <c:v>140.91017132499999</c:v>
                </c:pt>
                <c:pt idx="111">
                  <c:v>136.49742889404237</c:v>
                </c:pt>
                <c:pt idx="112">
                  <c:v>201.53699821428572</c:v>
                </c:pt>
                <c:pt idx="113">
                  <c:v>203.423558556426</c:v>
                </c:pt>
                <c:pt idx="114">
                  <c:v>322.04871477399513</c:v>
                </c:pt>
                <c:pt idx="115">
                  <c:v>190.45399911063015</c:v>
                </c:pt>
                <c:pt idx="116">
                  <c:v>246.19428571428574</c:v>
                </c:pt>
                <c:pt idx="117">
                  <c:v>299.53485761369933</c:v>
                </c:pt>
                <c:pt idx="118">
                  <c:v>161.58600069999997</c:v>
                </c:pt>
                <c:pt idx="119">
                  <c:v>100.25114222935244</c:v>
                </c:pt>
                <c:pt idx="120">
                  <c:v>98.251142229351998</c:v>
                </c:pt>
                <c:pt idx="121">
                  <c:v>58.212857142857146</c:v>
                </c:pt>
                <c:pt idx="122">
                  <c:v>54.184856959751606</c:v>
                </c:pt>
                <c:pt idx="123">
                  <c:v>62.818143027169334</c:v>
                </c:pt>
                <c:pt idx="124">
                  <c:v>55.007428305489626</c:v>
                </c:pt>
                <c:pt idx="125">
                  <c:v>46.462857382857138</c:v>
                </c:pt>
                <c:pt idx="126">
                  <c:v>44.122500737508098</c:v>
                </c:pt>
                <c:pt idx="127">
                  <c:v>40.649428780000001</c:v>
                </c:pt>
                <c:pt idx="128">
                  <c:v>36.63071441571428</c:v>
                </c:pt>
                <c:pt idx="129">
                  <c:v>34.614857537142861</c:v>
                </c:pt>
                <c:pt idx="130">
                  <c:v>26.614571161428568</c:v>
                </c:pt>
                <c:pt idx="131">
                  <c:v>27.269166944999998</c:v>
                </c:pt>
                <c:pt idx="132">
                  <c:v>27.957999638148667</c:v>
                </c:pt>
                <c:pt idx="133">
                  <c:v>25.709142960000001</c:v>
                </c:pt>
                <c:pt idx="134">
                  <c:v>24.763571058000789</c:v>
                </c:pt>
                <c:pt idx="135">
                  <c:v>24.089857101440373</c:v>
                </c:pt>
                <c:pt idx="136">
                  <c:v>22.760285514285709</c:v>
                </c:pt>
                <c:pt idx="137">
                  <c:v>25.360285895714288</c:v>
                </c:pt>
                <c:pt idx="138">
                  <c:v>25.920999526977486</c:v>
                </c:pt>
                <c:pt idx="139">
                  <c:v>27.733714512857141</c:v>
                </c:pt>
                <c:pt idx="140">
                  <c:v>24.191236087402601</c:v>
                </c:pt>
                <c:pt idx="141">
                  <c:v>37.008142471313427</c:v>
                </c:pt>
                <c:pt idx="142">
                  <c:v>43.941286359999992</c:v>
                </c:pt>
                <c:pt idx="143">
                  <c:v>35.542857851300859</c:v>
                </c:pt>
                <c:pt idx="144">
                  <c:v>42.2230343138324</c:v>
                </c:pt>
                <c:pt idx="145">
                  <c:v>38.873856951428571</c:v>
                </c:pt>
                <c:pt idx="146">
                  <c:v>37.477428436279276</c:v>
                </c:pt>
                <c:pt idx="147">
                  <c:v>41.068570818571423</c:v>
                </c:pt>
                <c:pt idx="148">
                  <c:v>45.284285954066661</c:v>
                </c:pt>
                <c:pt idx="149">
                  <c:v>40.058000837142856</c:v>
                </c:pt>
                <c:pt idx="150">
                  <c:v>46.268857138497467</c:v>
                </c:pt>
                <c:pt idx="151">
                  <c:v>45.240856715611031</c:v>
                </c:pt>
                <c:pt idx="152">
                  <c:v>43.306000301428575</c:v>
                </c:pt>
                <c:pt idx="153">
                  <c:v>46.609286172857139</c:v>
                </c:pt>
                <c:pt idx="154">
                  <c:v>70.499713898571443</c:v>
                </c:pt>
                <c:pt idx="155">
                  <c:v>65.301143102857139</c:v>
                </c:pt>
                <c:pt idx="156">
                  <c:v>79.502428327142866</c:v>
                </c:pt>
                <c:pt idx="157">
                  <c:v>82.984999520000002</c:v>
                </c:pt>
                <c:pt idx="158">
                  <c:v>85.672571454729152</c:v>
                </c:pt>
                <c:pt idx="159">
                  <c:v>119.73214174285714</c:v>
                </c:pt>
                <c:pt idx="160">
                  <c:v>93.18</c:v>
                </c:pt>
                <c:pt idx="161">
                  <c:v>76.965286254882741</c:v>
                </c:pt>
                <c:pt idx="162">
                  <c:v>100.04</c:v>
                </c:pt>
                <c:pt idx="163">
                  <c:v>127.76542662857143</c:v>
                </c:pt>
                <c:pt idx="164">
                  <c:v>152.0637141636436</c:v>
                </c:pt>
                <c:pt idx="165">
                  <c:v>150.9490007857143</c:v>
                </c:pt>
                <c:pt idx="166">
                  <c:v>380.20485578264476</c:v>
                </c:pt>
                <c:pt idx="167">
                  <c:v>218.21600341428572</c:v>
                </c:pt>
                <c:pt idx="168">
                  <c:v>153.89356995714283</c:v>
                </c:pt>
                <c:pt idx="169">
                  <c:v>136.2202845857143</c:v>
                </c:pt>
                <c:pt idx="170">
                  <c:v>129.756571088518</c:v>
                </c:pt>
                <c:pt idx="171">
                  <c:v>144.20861904761904</c:v>
                </c:pt>
                <c:pt idx="172">
                  <c:v>104.17842755142858</c:v>
                </c:pt>
                <c:pt idx="173">
                  <c:v>64.587427411760572</c:v>
                </c:pt>
                <c:pt idx="174">
                  <c:v>69.162714277142854</c:v>
                </c:pt>
                <c:pt idx="175">
                  <c:v>53.960142408098463</c:v>
                </c:pt>
                <c:pt idx="176">
                  <c:v>44.110999999999997</c:v>
                </c:pt>
                <c:pt idx="177">
                  <c:v>42.745857239999999</c:v>
                </c:pt>
                <c:pt idx="178">
                  <c:v>36.284714290073886</c:v>
                </c:pt>
                <c:pt idx="179">
                  <c:v>32.457999999999998</c:v>
                </c:pt>
                <c:pt idx="180">
                  <c:v>30.932142802857147</c:v>
                </c:pt>
                <c:pt idx="181">
                  <c:v>29.170999999999999</c:v>
                </c:pt>
                <c:pt idx="182">
                  <c:v>30.611000061035103</c:v>
                </c:pt>
                <c:pt idx="183">
                  <c:v>31.84528541571428</c:v>
                </c:pt>
                <c:pt idx="184">
                  <c:v>31.096857070000002</c:v>
                </c:pt>
                <c:pt idx="185">
                  <c:v>30.788428442818713</c:v>
                </c:pt>
                <c:pt idx="186">
                  <c:v>31.885428564285718</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'12.Caudales'!$J$4:$K$190</c:f>
              <c:multiLvlStrCache>
                <c:ptCount val="187"/>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3">
                    <c:v>8</c:v>
                  </c:pt>
                  <c:pt idx="171">
                    <c:v>16</c:v>
                  </c:pt>
                  <c:pt idx="186">
                    <c:v>31</c:v>
                  </c:pt>
                </c:lvl>
                <c:lvl>
                  <c:pt idx="0">
                    <c:v>2020</c:v>
                  </c:pt>
                  <c:pt idx="52">
                    <c:v>2021</c:v>
                  </c:pt>
                  <c:pt idx="104">
                    <c:v>2022</c:v>
                  </c:pt>
                  <c:pt idx="156">
                    <c:v>2023</c:v>
                  </c:pt>
                </c:lvl>
              </c:multiLvlStrCache>
            </c:multiLvlStrRef>
          </c:cat>
          <c:val>
            <c:numRef>
              <c:f>'12.Caudales'!$O$4:$O$190</c:f>
              <c:numCache>
                <c:formatCode>0.0</c:formatCode>
                <c:ptCount val="187"/>
                <c:pt idx="0">
                  <c:v>35.412713732038192</c:v>
                </c:pt>
                <c:pt idx="1">
                  <c:v>22.044856754285714</c:v>
                </c:pt>
                <c:pt idx="2">
                  <c:v>18.210142817142859</c:v>
                </c:pt>
                <c:pt idx="3">
                  <c:v>15.934428624285713</c:v>
                </c:pt>
                <c:pt idx="4">
                  <c:v>16.347999845714288</c:v>
                </c:pt>
                <c:pt idx="5">
                  <c:v>24.545571190970243</c:v>
                </c:pt>
                <c:pt idx="6">
                  <c:v>17.933714184285712</c:v>
                </c:pt>
                <c:pt idx="7">
                  <c:v>15.5625712530953</c:v>
                </c:pt>
                <c:pt idx="8">
                  <c:v>23.340428760000002</c:v>
                </c:pt>
                <c:pt idx="9">
                  <c:v>51.143429344285714</c:v>
                </c:pt>
                <c:pt idx="10">
                  <c:v>73.820713587142862</c:v>
                </c:pt>
                <c:pt idx="11">
                  <c:v>34.1388571602957</c:v>
                </c:pt>
                <c:pt idx="12">
                  <c:v>66.457714898245612</c:v>
                </c:pt>
                <c:pt idx="13">
                  <c:v>82.626999985714278</c:v>
                </c:pt>
                <c:pt idx="14">
                  <c:v>89.91342707714287</c:v>
                </c:pt>
                <c:pt idx="15">
                  <c:v>73.487428932857142</c:v>
                </c:pt>
                <c:pt idx="16">
                  <c:v>80.585714067731558</c:v>
                </c:pt>
                <c:pt idx="17">
                  <c:v>93.131286082857144</c:v>
                </c:pt>
                <c:pt idx="18">
                  <c:v>43.960427964285714</c:v>
                </c:pt>
                <c:pt idx="19">
                  <c:v>29.038571492857141</c:v>
                </c:pt>
                <c:pt idx="20">
                  <c:v>20.747856957571798</c:v>
                </c:pt>
                <c:pt idx="21">
                  <c:v>28.597570964285715</c:v>
                </c:pt>
                <c:pt idx="22">
                  <c:v>19.104714530000003</c:v>
                </c:pt>
                <c:pt idx="23">
                  <c:v>14.211285591125442</c:v>
                </c:pt>
                <c:pt idx="24">
                  <c:v>11.628714288571429</c:v>
                </c:pt>
                <c:pt idx="25">
                  <c:v>11.67571422</c:v>
                </c:pt>
                <c:pt idx="26">
                  <c:v>27.48885754176543</c:v>
                </c:pt>
                <c:pt idx="27">
                  <c:v>32.395143782857147</c:v>
                </c:pt>
                <c:pt idx="28">
                  <c:v>14.974999971428572</c:v>
                </c:pt>
                <c:pt idx="29">
                  <c:v>14.12842846</c:v>
                </c:pt>
                <c:pt idx="30">
                  <c:v>10.121857098285714</c:v>
                </c:pt>
                <c:pt idx="31">
                  <c:v>7.7241428239004906</c:v>
                </c:pt>
                <c:pt idx="32">
                  <c:v>8.5772858349999996</c:v>
                </c:pt>
                <c:pt idx="33">
                  <c:v>6.7090001108571427</c:v>
                </c:pt>
                <c:pt idx="34">
                  <c:v>5.7295714105878517</c:v>
                </c:pt>
                <c:pt idx="35">
                  <c:v>5.6865714618137853</c:v>
                </c:pt>
                <c:pt idx="36">
                  <c:v>5.3568570954459016</c:v>
                </c:pt>
                <c:pt idx="37">
                  <c:v>6.9268571308680906</c:v>
                </c:pt>
                <c:pt idx="38">
                  <c:v>9.9768571861428565</c:v>
                </c:pt>
                <c:pt idx="39">
                  <c:v>7.1328571184285705</c:v>
                </c:pt>
                <c:pt idx="40">
                  <c:v>4.9102856772857146</c:v>
                </c:pt>
                <c:pt idx="41">
                  <c:v>6.3367142677306969</c:v>
                </c:pt>
                <c:pt idx="42">
                  <c:v>11.867142950714285</c:v>
                </c:pt>
                <c:pt idx="43">
                  <c:v>5.2337141718571427</c:v>
                </c:pt>
                <c:pt idx="44">
                  <c:v>5.0682858059999996</c:v>
                </c:pt>
                <c:pt idx="45">
                  <c:v>4.7745714188571426</c:v>
                </c:pt>
                <c:pt idx="46">
                  <c:v>5.635714394571429</c:v>
                </c:pt>
                <c:pt idx="47">
                  <c:v>27.02714340957143</c:v>
                </c:pt>
                <c:pt idx="48">
                  <c:v>80.020142697142845</c:v>
                </c:pt>
                <c:pt idx="49">
                  <c:v>98.373141695714281</c:v>
                </c:pt>
                <c:pt idx="50">
                  <c:v>141.80585590000001</c:v>
                </c:pt>
                <c:pt idx="51">
                  <c:v>62.055856431428573</c:v>
                </c:pt>
                <c:pt idx="52">
                  <c:v>38.49128532428572</c:v>
                </c:pt>
                <c:pt idx="53">
                  <c:v>52.185428618571436</c:v>
                </c:pt>
                <c:pt idx="54">
                  <c:v>72.971142360000002</c:v>
                </c:pt>
                <c:pt idx="55">
                  <c:v>82.663999837142867</c:v>
                </c:pt>
                <c:pt idx="56">
                  <c:v>54.198429654285711</c:v>
                </c:pt>
                <c:pt idx="57">
                  <c:v>42.827428274285715</c:v>
                </c:pt>
                <c:pt idx="58">
                  <c:v>28.153690476190491</c:v>
                </c:pt>
                <c:pt idx="59">
                  <c:v>19.304999999999993</c:v>
                </c:pt>
                <c:pt idx="60">
                  <c:v>82.847664833068805</c:v>
                </c:pt>
                <c:pt idx="61">
                  <c:v>214.06428527142856</c:v>
                </c:pt>
                <c:pt idx="62">
                  <c:v>132.61828504285714</c:v>
                </c:pt>
                <c:pt idx="63">
                  <c:v>87.668715342857141</c:v>
                </c:pt>
                <c:pt idx="64">
                  <c:v>94.954141882857144</c:v>
                </c:pt>
                <c:pt idx="65">
                  <c:v>151.11671445714288</c:v>
                </c:pt>
                <c:pt idx="66">
                  <c:v>111.99457114285714</c:v>
                </c:pt>
                <c:pt idx="67">
                  <c:v>90.672572548571438</c:v>
                </c:pt>
                <c:pt idx="68">
                  <c:v>75.281570977142863</c:v>
                </c:pt>
                <c:pt idx="69">
                  <c:v>93.952999661428592</c:v>
                </c:pt>
                <c:pt idx="70">
                  <c:v>72.684429168571427</c:v>
                </c:pt>
                <c:pt idx="71">
                  <c:v>98.886571605714281</c:v>
                </c:pt>
                <c:pt idx="72">
                  <c:v>58.580000197142859</c:v>
                </c:pt>
                <c:pt idx="73">
                  <c:v>38.582285198571427</c:v>
                </c:pt>
                <c:pt idx="74">
                  <c:v>58.388999669999997</c:v>
                </c:pt>
                <c:pt idx="75">
                  <c:v>52.608856201428573</c:v>
                </c:pt>
                <c:pt idx="76">
                  <c:v>30.324857167142856</c:v>
                </c:pt>
                <c:pt idx="77">
                  <c:v>42.18199975142857</c:v>
                </c:pt>
                <c:pt idx="78">
                  <c:v>23.356142859999999</c:v>
                </c:pt>
                <c:pt idx="79">
                  <c:v>19.029285704285716</c:v>
                </c:pt>
                <c:pt idx="80">
                  <c:v>17.854285240000003</c:v>
                </c:pt>
                <c:pt idx="81">
                  <c:v>12.897285600000002</c:v>
                </c:pt>
                <c:pt idx="82">
                  <c:v>10.959428514999999</c:v>
                </c:pt>
                <c:pt idx="83">
                  <c:v>9.4098570685714282</c:v>
                </c:pt>
                <c:pt idx="84">
                  <c:v>11.666285786000001</c:v>
                </c:pt>
                <c:pt idx="85">
                  <c:v>14.739857265714283</c:v>
                </c:pt>
                <c:pt idx="86">
                  <c:v>23.257428305714285</c:v>
                </c:pt>
                <c:pt idx="87">
                  <c:v>24.894000052857141</c:v>
                </c:pt>
                <c:pt idx="88">
                  <c:v>23.149857660000002</c:v>
                </c:pt>
                <c:pt idx="89">
                  <c:v>13.527142932857144</c:v>
                </c:pt>
                <c:pt idx="90">
                  <c:v>10.351999963428572</c:v>
                </c:pt>
                <c:pt idx="91">
                  <c:v>63.700570922857146</c:v>
                </c:pt>
                <c:pt idx="92">
                  <c:v>63.922285895714289</c:v>
                </c:pt>
                <c:pt idx="93">
                  <c:v>72.515429361428573</c:v>
                </c:pt>
                <c:pt idx="94">
                  <c:v>61.990286690000005</c:v>
                </c:pt>
                <c:pt idx="95">
                  <c:v>58.057570867142864</c:v>
                </c:pt>
                <c:pt idx="96">
                  <c:v>51.101286207142849</c:v>
                </c:pt>
                <c:pt idx="97">
                  <c:v>29.017713818571433</c:v>
                </c:pt>
                <c:pt idx="98">
                  <c:v>26.885714667142853</c:v>
                </c:pt>
                <c:pt idx="99">
                  <c:v>24.753715515714301</c:v>
                </c:pt>
                <c:pt idx="100">
                  <c:v>44.843001048333328</c:v>
                </c:pt>
                <c:pt idx="101">
                  <c:v>60.681712559999994</c:v>
                </c:pt>
                <c:pt idx="102">
                  <c:v>114.8148585642857</c:v>
                </c:pt>
                <c:pt idx="103">
                  <c:v>50.073429108571432</c:v>
                </c:pt>
                <c:pt idx="104">
                  <c:v>42.987713951428574</c:v>
                </c:pt>
                <c:pt idx="105">
                  <c:v>27.815714701428572</c:v>
                </c:pt>
                <c:pt idx="106">
                  <c:v>25.573857171428568</c:v>
                </c:pt>
                <c:pt idx="107">
                  <c:v>46.27</c:v>
                </c:pt>
                <c:pt idx="108">
                  <c:v>30.758285522857143</c:v>
                </c:pt>
                <c:pt idx="109">
                  <c:v>66.892999371428573</c:v>
                </c:pt>
                <c:pt idx="110">
                  <c:v>69.485213547142905</c:v>
                </c:pt>
                <c:pt idx="111">
                  <c:v>66.892999376569193</c:v>
                </c:pt>
                <c:pt idx="112">
                  <c:v>202.43557085714284</c:v>
                </c:pt>
                <c:pt idx="113">
                  <c:v>221.61685711214301</c:v>
                </c:pt>
                <c:pt idx="114">
                  <c:v>75.359285627092575</c:v>
                </c:pt>
                <c:pt idx="115">
                  <c:v>126.76628439766976</c:v>
                </c:pt>
                <c:pt idx="116">
                  <c:v>182.03142857142853</c:v>
                </c:pt>
                <c:pt idx="117">
                  <c:v>126.58499799455872</c:v>
                </c:pt>
                <c:pt idx="118">
                  <c:v>108.36571609857143</c:v>
                </c:pt>
                <c:pt idx="119">
                  <c:v>80.749999999999957</c:v>
                </c:pt>
                <c:pt idx="120">
                  <c:v>74.78</c:v>
                </c:pt>
                <c:pt idx="121">
                  <c:v>55.015714285714289</c:v>
                </c:pt>
                <c:pt idx="122">
                  <c:v>63.114713941301552</c:v>
                </c:pt>
                <c:pt idx="123">
                  <c:v>74.948570251464801</c:v>
                </c:pt>
                <c:pt idx="124">
                  <c:v>40.69300024850024</c:v>
                </c:pt>
                <c:pt idx="125">
                  <c:v>34.15499986857143</c:v>
                </c:pt>
                <c:pt idx="126">
                  <c:v>38.822832743326785</c:v>
                </c:pt>
                <c:pt idx="127">
                  <c:v>43.344285420000006</c:v>
                </c:pt>
                <c:pt idx="128">
                  <c:v>27.371428898571427</c:v>
                </c:pt>
                <c:pt idx="129">
                  <c:v>25.336999892857143</c:v>
                </c:pt>
                <c:pt idx="130">
                  <c:v>17.011999948571425</c:v>
                </c:pt>
                <c:pt idx="131">
                  <c:v>15.456000011666667</c:v>
                </c:pt>
                <c:pt idx="132">
                  <c:v>12.983142989022358</c:v>
                </c:pt>
                <c:pt idx="133">
                  <c:v>13.575857162857142</c:v>
                </c:pt>
                <c:pt idx="134">
                  <c:v>11.669857025146444</c:v>
                </c:pt>
                <c:pt idx="135">
                  <c:v>19.260286058698341</c:v>
                </c:pt>
                <c:pt idx="136">
                  <c:v>11.767142841428575</c:v>
                </c:pt>
                <c:pt idx="137">
                  <c:v>9.6848572311428569</c:v>
                </c:pt>
                <c:pt idx="138">
                  <c:v>10.140166600545237</c:v>
                </c:pt>
                <c:pt idx="139">
                  <c:v>7.178428649999999</c:v>
                </c:pt>
                <c:pt idx="140">
                  <c:v>7.178428649999999</c:v>
                </c:pt>
                <c:pt idx="141">
                  <c:v>21.733428410121345</c:v>
                </c:pt>
                <c:pt idx="142">
                  <c:v>13.527142932857144</c:v>
                </c:pt>
                <c:pt idx="143">
                  <c:v>14.786999974931945</c:v>
                </c:pt>
                <c:pt idx="144">
                  <c:v>20.704649510407599</c:v>
                </c:pt>
                <c:pt idx="145">
                  <c:v>25.138142720000001</c:v>
                </c:pt>
                <c:pt idx="146">
                  <c:v>25.216714314051995</c:v>
                </c:pt>
                <c:pt idx="147">
                  <c:v>14.095285688571428</c:v>
                </c:pt>
                <c:pt idx="148">
                  <c:v>11.297285897391143</c:v>
                </c:pt>
                <c:pt idx="149">
                  <c:v>9.971571377428571</c:v>
                </c:pt>
                <c:pt idx="150">
                  <c:v>9.063428674425392</c:v>
                </c:pt>
                <c:pt idx="151">
                  <c:v>7.7819999286106594</c:v>
                </c:pt>
                <c:pt idx="152">
                  <c:v>6.0248571805714279</c:v>
                </c:pt>
                <c:pt idx="153">
                  <c:v>10.802999973571429</c:v>
                </c:pt>
                <c:pt idx="154">
                  <c:v>13.546999929285715</c:v>
                </c:pt>
                <c:pt idx="155">
                  <c:v>13.057714190571428</c:v>
                </c:pt>
                <c:pt idx="156">
                  <c:v>32.061142784285714</c:v>
                </c:pt>
                <c:pt idx="157">
                  <c:v>34.175857135714288</c:v>
                </c:pt>
                <c:pt idx="158">
                  <c:v>53.2630004882812</c:v>
                </c:pt>
                <c:pt idx="159">
                  <c:v>106.51171438857143</c:v>
                </c:pt>
                <c:pt idx="160">
                  <c:v>42.072000000000003</c:v>
                </c:pt>
                <c:pt idx="161">
                  <c:v>29.099428721836585</c:v>
                </c:pt>
                <c:pt idx="162">
                  <c:v>90.14</c:v>
                </c:pt>
                <c:pt idx="163">
                  <c:v>119.39471545714287</c:v>
                </c:pt>
                <c:pt idx="164">
                  <c:v>71.975428444998542</c:v>
                </c:pt>
                <c:pt idx="165">
                  <c:v>148.17428806428572</c:v>
                </c:pt>
                <c:pt idx="166">
                  <c:v>181.67543029785128</c:v>
                </c:pt>
                <c:pt idx="167">
                  <c:v>71.607428958571433</c:v>
                </c:pt>
                <c:pt idx="168">
                  <c:v>74.664713721428583</c:v>
                </c:pt>
                <c:pt idx="169">
                  <c:v>139.44357191142856</c:v>
                </c:pt>
                <c:pt idx="170">
                  <c:v>86.615001133509878</c:v>
                </c:pt>
                <c:pt idx="171">
                  <c:v>122.82</c:v>
                </c:pt>
                <c:pt idx="172">
                  <c:v>111.59999954285715</c:v>
                </c:pt>
                <c:pt idx="173">
                  <c:v>80.359285627092532</c:v>
                </c:pt>
                <c:pt idx="174">
                  <c:v>45.066857472857144</c:v>
                </c:pt>
                <c:pt idx="175">
                  <c:v>32.585143225533585</c:v>
                </c:pt>
                <c:pt idx="176">
                  <c:v>35.742226190476188</c:v>
                </c:pt>
                <c:pt idx="177">
                  <c:v>73.717715127142853</c:v>
                </c:pt>
                <c:pt idx="178">
                  <c:v>31.087000165666815</c:v>
                </c:pt>
                <c:pt idx="179">
                  <c:v>25.268999999999998</c:v>
                </c:pt>
                <c:pt idx="180">
                  <c:v>18.584571292857142</c:v>
                </c:pt>
                <c:pt idx="181">
                  <c:v>13.885</c:v>
                </c:pt>
                <c:pt idx="182">
                  <c:v>11.085857255118205</c:v>
                </c:pt>
                <c:pt idx="183">
                  <c:v>11.611857142285714</c:v>
                </c:pt>
                <c:pt idx="184">
                  <c:v>8.8954287937142862</c:v>
                </c:pt>
                <c:pt idx="185">
                  <c:v>7.9398572104317742</c:v>
                </c:pt>
                <c:pt idx="186">
                  <c:v>6.5058570588571429</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'12.Caudales'!$J$4:$K$190</c:f>
              <c:multiLvlStrCache>
                <c:ptCount val="187"/>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3">
                    <c:v>8</c:v>
                  </c:pt>
                  <c:pt idx="171">
                    <c:v>16</c:v>
                  </c:pt>
                  <c:pt idx="186">
                    <c:v>31</c:v>
                  </c:pt>
                </c:lvl>
                <c:lvl>
                  <c:pt idx="0">
                    <c:v>2020</c:v>
                  </c:pt>
                  <c:pt idx="52">
                    <c:v>2021</c:v>
                  </c:pt>
                  <c:pt idx="104">
                    <c:v>2022</c:v>
                  </c:pt>
                  <c:pt idx="156">
                    <c:v>2023</c:v>
                  </c:pt>
                </c:lvl>
              </c:multiLvlStrCache>
            </c:multiLvlStrRef>
          </c:cat>
          <c:val>
            <c:numRef>
              <c:f>'12.Caudales'!$M$4:$M$190</c:f>
              <c:numCache>
                <c:formatCode>0.0</c:formatCode>
                <c:ptCount val="187"/>
                <c:pt idx="0">
                  <c:v>42.7519994463239</c:v>
                </c:pt>
                <c:pt idx="1">
                  <c:v>30.679571151428568</c:v>
                </c:pt>
                <c:pt idx="2">
                  <c:v>46.443999700000006</c:v>
                </c:pt>
                <c:pt idx="3">
                  <c:v>56.559571404285713</c:v>
                </c:pt>
                <c:pt idx="4">
                  <c:v>85.997285015714283</c:v>
                </c:pt>
                <c:pt idx="5">
                  <c:v>79.643857683454215</c:v>
                </c:pt>
                <c:pt idx="6">
                  <c:v>62.11542837857143</c:v>
                </c:pt>
                <c:pt idx="7">
                  <c:v>41.134571620396166</c:v>
                </c:pt>
                <c:pt idx="8">
                  <c:v>70.027142117142859</c:v>
                </c:pt>
                <c:pt idx="9">
                  <c:v>51.713285718571434</c:v>
                </c:pt>
                <c:pt idx="10">
                  <c:v>64.999999455714274</c:v>
                </c:pt>
                <c:pt idx="11">
                  <c:v>70.530143192836164</c:v>
                </c:pt>
                <c:pt idx="12">
                  <c:v>73.710714612688278</c:v>
                </c:pt>
                <c:pt idx="13">
                  <c:v>57.796857017142862</c:v>
                </c:pt>
                <c:pt idx="14">
                  <c:v>44.430285317142861</c:v>
                </c:pt>
                <c:pt idx="15">
                  <c:v>30.701856885714285</c:v>
                </c:pt>
                <c:pt idx="16">
                  <c:v>24.932857240949314</c:v>
                </c:pt>
                <c:pt idx="17">
                  <c:v>46.867285591428576</c:v>
                </c:pt>
                <c:pt idx="18">
                  <c:v>39.880857740000003</c:v>
                </c:pt>
                <c:pt idx="19">
                  <c:v>34.332998821428575</c:v>
                </c:pt>
                <c:pt idx="20">
                  <c:v>28.39914212908057</c:v>
                </c:pt>
                <c:pt idx="21">
                  <c:v>19.016142710000004</c:v>
                </c:pt>
                <c:pt idx="22">
                  <c:v>16.323713982857143</c:v>
                </c:pt>
                <c:pt idx="23">
                  <c:v>14.458999906267413</c:v>
                </c:pt>
                <c:pt idx="24">
                  <c:v>13.476999827142858</c:v>
                </c:pt>
                <c:pt idx="25">
                  <c:v>14.175142699999999</c:v>
                </c:pt>
                <c:pt idx="26">
                  <c:v>12.859571456909155</c:v>
                </c:pt>
                <c:pt idx="27">
                  <c:v>11.472142902857144</c:v>
                </c:pt>
                <c:pt idx="28">
                  <c:v>11.32885715142857</c:v>
                </c:pt>
                <c:pt idx="29">
                  <c:v>11.152000155714285</c:v>
                </c:pt>
                <c:pt idx="30">
                  <c:v>10.852571488571428</c:v>
                </c:pt>
                <c:pt idx="31">
                  <c:v>10.338285718645329</c:v>
                </c:pt>
                <c:pt idx="32">
                  <c:v>11.413999967142857</c:v>
                </c:pt>
                <c:pt idx="33">
                  <c:v>11.662143027142859</c:v>
                </c:pt>
                <c:pt idx="34">
                  <c:v>11.541428702218141</c:v>
                </c:pt>
                <c:pt idx="35">
                  <c:v>13.286857196262856</c:v>
                </c:pt>
                <c:pt idx="36">
                  <c:v>15.49071434565947</c:v>
                </c:pt>
                <c:pt idx="37">
                  <c:v>16.166143281119158</c:v>
                </c:pt>
                <c:pt idx="38">
                  <c:v>16.810999734285712</c:v>
                </c:pt>
                <c:pt idx="39">
                  <c:v>14.579285758571428</c:v>
                </c:pt>
                <c:pt idx="40">
                  <c:v>13.048857279999998</c:v>
                </c:pt>
                <c:pt idx="41">
                  <c:v>14.871000289916955</c:v>
                </c:pt>
                <c:pt idx="42">
                  <c:v>21.991714477142857</c:v>
                </c:pt>
                <c:pt idx="43">
                  <c:v>13.904857091428573</c:v>
                </c:pt>
                <c:pt idx="44">
                  <c:v>13.184428621428571</c:v>
                </c:pt>
                <c:pt idx="45">
                  <c:v>13.14228561857143</c:v>
                </c:pt>
                <c:pt idx="46">
                  <c:v>15.124714305714289</c:v>
                </c:pt>
                <c:pt idx="47">
                  <c:v>27.692142758571432</c:v>
                </c:pt>
                <c:pt idx="48">
                  <c:v>64.694000790000004</c:v>
                </c:pt>
                <c:pt idx="49">
                  <c:v>43.356857299999994</c:v>
                </c:pt>
                <c:pt idx="50">
                  <c:v>66.695286888571431</c:v>
                </c:pt>
                <c:pt idx="51">
                  <c:v>79.132000515714282</c:v>
                </c:pt>
                <c:pt idx="52">
                  <c:v>93.616000575714295</c:v>
                </c:pt>
                <c:pt idx="53">
                  <c:v>109.19371577142856</c:v>
                </c:pt>
                <c:pt idx="54">
                  <c:v>111.32100131428571</c:v>
                </c:pt>
                <c:pt idx="55">
                  <c:v>111.11885721428568</c:v>
                </c:pt>
                <c:pt idx="56">
                  <c:v>108.66071318571429</c:v>
                </c:pt>
                <c:pt idx="57">
                  <c:v>90.469143462857147</c:v>
                </c:pt>
                <c:pt idx="58">
                  <c:v>58.4</c:v>
                </c:pt>
                <c:pt idx="59">
                  <c:v>45.103515238095234</c:v>
                </c:pt>
                <c:pt idx="60">
                  <c:v>56.496856689453068</c:v>
                </c:pt>
                <c:pt idx="61">
                  <c:v>90.554714198571432</c:v>
                </c:pt>
                <c:pt idx="62">
                  <c:v>98.085857941428586</c:v>
                </c:pt>
                <c:pt idx="63">
                  <c:v>87.426713118571428</c:v>
                </c:pt>
                <c:pt idx="64">
                  <c:v>85.733285082857151</c:v>
                </c:pt>
                <c:pt idx="65">
                  <c:v>98.095142921428561</c:v>
                </c:pt>
                <c:pt idx="66">
                  <c:v>83.773572649999991</c:v>
                </c:pt>
                <c:pt idx="67">
                  <c:v>56.958000185714283</c:v>
                </c:pt>
                <c:pt idx="68">
                  <c:v>48.746000017142855</c:v>
                </c:pt>
                <c:pt idx="69">
                  <c:v>40.494427817142864</c:v>
                </c:pt>
                <c:pt idx="70">
                  <c:v>35.466286249999996</c:v>
                </c:pt>
                <c:pt idx="71">
                  <c:v>28.18171392</c:v>
                </c:pt>
                <c:pt idx="72">
                  <c:v>26.549999781428571</c:v>
                </c:pt>
                <c:pt idx="73">
                  <c:v>21.825286048571424</c:v>
                </c:pt>
                <c:pt idx="74">
                  <c:v>20.536714282857144</c:v>
                </c:pt>
                <c:pt idx="75">
                  <c:v>18.521000181428573</c:v>
                </c:pt>
                <c:pt idx="76">
                  <c:v>17.337857111428569</c:v>
                </c:pt>
                <c:pt idx="77">
                  <c:v>16.257714270000001</c:v>
                </c:pt>
                <c:pt idx="78">
                  <c:v>15.06657137</c:v>
                </c:pt>
                <c:pt idx="79">
                  <c:v>14.248142924285716</c:v>
                </c:pt>
                <c:pt idx="80">
                  <c:v>13.477857045714286</c:v>
                </c:pt>
                <c:pt idx="81">
                  <c:v>12.691000122857146</c:v>
                </c:pt>
                <c:pt idx="82">
                  <c:v>13.016714095714283</c:v>
                </c:pt>
                <c:pt idx="83">
                  <c:v>11.867571422857141</c:v>
                </c:pt>
                <c:pt idx="84">
                  <c:v>11.566857065714288</c:v>
                </c:pt>
                <c:pt idx="85">
                  <c:v>13.598856790000001</c:v>
                </c:pt>
                <c:pt idx="86">
                  <c:v>18.389285224285715</c:v>
                </c:pt>
                <c:pt idx="87">
                  <c:v>17.729570935714285</c:v>
                </c:pt>
                <c:pt idx="88">
                  <c:v>17.365428380000001</c:v>
                </c:pt>
                <c:pt idx="89">
                  <c:v>17.876142775714285</c:v>
                </c:pt>
                <c:pt idx="90">
                  <c:v>17.151999882857144</c:v>
                </c:pt>
                <c:pt idx="91">
                  <c:v>24.65814318</c:v>
                </c:pt>
                <c:pt idx="92">
                  <c:v>24.683571132857143</c:v>
                </c:pt>
                <c:pt idx="93">
                  <c:v>30.132285525714284</c:v>
                </c:pt>
                <c:pt idx="94">
                  <c:v>21.635857172857147</c:v>
                </c:pt>
                <c:pt idx="95">
                  <c:v>18.680143085714285</c:v>
                </c:pt>
                <c:pt idx="96">
                  <c:v>19.11199978285714</c:v>
                </c:pt>
                <c:pt idx="97">
                  <c:v>17.194857187142855</c:v>
                </c:pt>
                <c:pt idx="98">
                  <c:v>18.301142828571432</c:v>
                </c:pt>
                <c:pt idx="99">
                  <c:v>48.1</c:v>
                </c:pt>
                <c:pt idx="100">
                  <c:v>72.532000404285711</c:v>
                </c:pt>
                <c:pt idx="101">
                  <c:v>52.053428651428568</c:v>
                </c:pt>
                <c:pt idx="102">
                  <c:v>30.144714355714289</c:v>
                </c:pt>
                <c:pt idx="103">
                  <c:v>24.471428735714284</c:v>
                </c:pt>
                <c:pt idx="104">
                  <c:v>27.003000530000001</c:v>
                </c:pt>
                <c:pt idx="105">
                  <c:v>21.311000005714284</c:v>
                </c:pt>
                <c:pt idx="106">
                  <c:v>18.403857367142855</c:v>
                </c:pt>
                <c:pt idx="107">
                  <c:v>39.156999861428574</c:v>
                </c:pt>
                <c:pt idx="108">
                  <c:v>43.204429082857139</c:v>
                </c:pt>
                <c:pt idx="109">
                  <c:v>79.27385765999999</c:v>
                </c:pt>
                <c:pt idx="110">
                  <c:v>82.487914902714195</c:v>
                </c:pt>
                <c:pt idx="111">
                  <c:v>69.997998918805749</c:v>
                </c:pt>
                <c:pt idx="112">
                  <c:v>88.40642874285713</c:v>
                </c:pt>
                <c:pt idx="113">
                  <c:v>97.012568035088606</c:v>
                </c:pt>
                <c:pt idx="114">
                  <c:v>119.25400107247444</c:v>
                </c:pt>
                <c:pt idx="115">
                  <c:v>87.219570704868829</c:v>
                </c:pt>
                <c:pt idx="116">
                  <c:v>94.784285714285701</c:v>
                </c:pt>
                <c:pt idx="117">
                  <c:v>107.18971470424081</c:v>
                </c:pt>
                <c:pt idx="118">
                  <c:v>81.303429194285712</c:v>
                </c:pt>
                <c:pt idx="119">
                  <c:v>57.173570905412909</c:v>
                </c:pt>
                <c:pt idx="120">
                  <c:v>56.173570905412902</c:v>
                </c:pt>
                <c:pt idx="121">
                  <c:v>32.715714285714284</c:v>
                </c:pt>
                <c:pt idx="122">
                  <c:v>28.384857177734325</c:v>
                </c:pt>
                <c:pt idx="123">
                  <c:v>29.131428854806028</c:v>
                </c:pt>
                <c:pt idx="124">
                  <c:v>24.248714174543085</c:v>
                </c:pt>
                <c:pt idx="125">
                  <c:v>20.351571764285715</c:v>
                </c:pt>
                <c:pt idx="126">
                  <c:v>18.67642865862161</c:v>
                </c:pt>
                <c:pt idx="127">
                  <c:v>17.118428638571427</c:v>
                </c:pt>
                <c:pt idx="128">
                  <c:v>15.889428547142858</c:v>
                </c:pt>
                <c:pt idx="129">
                  <c:v>14.38928576857143</c:v>
                </c:pt>
                <c:pt idx="130">
                  <c:v>12.591143065714286</c:v>
                </c:pt>
                <c:pt idx="131">
                  <c:v>12.568143027142856</c:v>
                </c:pt>
                <c:pt idx="132">
                  <c:v>12.436285836355987</c:v>
                </c:pt>
                <c:pt idx="133">
                  <c:v>12.081000189999999</c:v>
                </c:pt>
                <c:pt idx="134">
                  <c:v>11.596285820007285</c:v>
                </c:pt>
                <c:pt idx="135">
                  <c:v>11.720571517944299</c:v>
                </c:pt>
                <c:pt idx="136">
                  <c:v>12.527428762857143</c:v>
                </c:pt>
                <c:pt idx="137">
                  <c:v>16.307285444285718</c:v>
                </c:pt>
                <c:pt idx="138">
                  <c:v>16.3159999847412</c:v>
                </c:pt>
                <c:pt idx="139">
                  <c:v>16.338571412285699</c:v>
                </c:pt>
                <c:pt idx="140">
                  <c:v>10.549342727592901</c:v>
                </c:pt>
                <c:pt idx="141">
                  <c:v>16.446428843906887</c:v>
                </c:pt>
                <c:pt idx="142">
                  <c:v>16.413428580000001</c:v>
                </c:pt>
                <c:pt idx="143">
                  <c:v>16.787428447178375</c:v>
                </c:pt>
                <c:pt idx="144">
                  <c:v>15.8430898672582</c:v>
                </c:pt>
                <c:pt idx="145">
                  <c:v>5.7759999548571432</c:v>
                </c:pt>
                <c:pt idx="146">
                  <c:v>11.382285799298913</c:v>
                </c:pt>
                <c:pt idx="147">
                  <c:v>5.2291429382857144</c:v>
                </c:pt>
                <c:pt idx="148">
                  <c:v>10.919857297624844</c:v>
                </c:pt>
                <c:pt idx="149">
                  <c:v>11.464714461428573</c:v>
                </c:pt>
                <c:pt idx="150">
                  <c:v>11.333428791591084</c:v>
                </c:pt>
                <c:pt idx="151">
                  <c:v>11.195143154689243</c:v>
                </c:pt>
                <c:pt idx="152">
                  <c:v>11.129571504285716</c:v>
                </c:pt>
                <c:pt idx="153">
                  <c:v>12.79414286142857</c:v>
                </c:pt>
                <c:pt idx="154">
                  <c:v>21.320999690000001</c:v>
                </c:pt>
                <c:pt idx="155">
                  <c:v>21.088856832857143</c:v>
                </c:pt>
                <c:pt idx="156">
                  <c:v>26.193571361428578</c:v>
                </c:pt>
                <c:pt idx="157">
                  <c:v>39.929000037142863</c:v>
                </c:pt>
                <c:pt idx="158">
                  <c:v>38.682570866176015</c:v>
                </c:pt>
                <c:pt idx="159">
                  <c:v>53.584285738571431</c:v>
                </c:pt>
                <c:pt idx="160">
                  <c:v>57.720571248725399</c:v>
                </c:pt>
                <c:pt idx="161">
                  <c:v>45.188856942313009</c:v>
                </c:pt>
                <c:pt idx="162">
                  <c:v>61.49</c:v>
                </c:pt>
                <c:pt idx="163">
                  <c:v>94.627143865714288</c:v>
                </c:pt>
                <c:pt idx="164">
                  <c:v>88.105715070451865</c:v>
                </c:pt>
                <c:pt idx="165">
                  <c:v>67.996285572857133</c:v>
                </c:pt>
                <c:pt idx="166">
                  <c:v>103.56971631731294</c:v>
                </c:pt>
                <c:pt idx="167">
                  <c:v>100.37971498</c:v>
                </c:pt>
                <c:pt idx="168">
                  <c:v>75.513000488571421</c:v>
                </c:pt>
                <c:pt idx="169">
                  <c:v>47.126857758571425</c:v>
                </c:pt>
                <c:pt idx="170">
                  <c:v>51.110142299107117</c:v>
                </c:pt>
                <c:pt idx="171">
                  <c:v>26.4</c:v>
                </c:pt>
                <c:pt idx="172">
                  <c:v>40.380714961428573</c:v>
                </c:pt>
                <c:pt idx="173">
                  <c:v>34.16114289419987</c:v>
                </c:pt>
                <c:pt idx="174">
                  <c:v>32.890571322857149</c:v>
                </c:pt>
                <c:pt idx="175">
                  <c:v>29.235714503696958</c:v>
                </c:pt>
                <c:pt idx="176">
                  <c:v>27.48045950819672</c:v>
                </c:pt>
                <c:pt idx="177">
                  <c:v>24.021142414285716</c:v>
                </c:pt>
                <c:pt idx="178">
                  <c:v>18.928571428571388</c:v>
                </c:pt>
                <c:pt idx="179">
                  <c:v>17.475714547142857</c:v>
                </c:pt>
                <c:pt idx="180">
                  <c:v>15.9781426</c:v>
                </c:pt>
                <c:pt idx="181">
                  <c:v>14.51</c:v>
                </c:pt>
                <c:pt idx="182">
                  <c:v>13.535000119890457</c:v>
                </c:pt>
                <c:pt idx="183">
                  <c:v>14.99685709857143</c:v>
                </c:pt>
                <c:pt idx="184">
                  <c:v>18.545142852857143</c:v>
                </c:pt>
                <c:pt idx="185">
                  <c:v>17.949285507202102</c:v>
                </c:pt>
                <c:pt idx="186">
                  <c:v>14.421428544285714</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Resumen'!$P$23:$P$29</c:f>
              <c:numCache>
                <c:formatCode>0.00</c:formatCode>
                <c:ptCount val="7"/>
                <c:pt idx="0">
                  <c:v>1978.5844673274994</c:v>
                </c:pt>
                <c:pt idx="1">
                  <c:v>2438.2193689624996</c:v>
                </c:pt>
                <c:pt idx="2">
                  <c:v>11.745412630000001</c:v>
                </c:pt>
                <c:pt idx="3">
                  <c:v>2.0984974825</c:v>
                </c:pt>
                <c:pt idx="4">
                  <c:v>34.832015869999992</c:v>
                </c:pt>
                <c:pt idx="5">
                  <c:v>172.62005511000001</c:v>
                </c:pt>
                <c:pt idx="6">
                  <c:v>58.945296802500003</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2489.8786573650004</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350.04526685249994</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32.969126824999996</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188.24767344500003</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69.0593317525</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NATURALES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TAMBORAQUE (RÍMAC)</c:v>
                </c:pt>
              </c:strCache>
            </c:strRef>
          </c:tx>
          <c:spPr>
            <a:solidFill>
              <a:schemeClr val="accent5">
                <a:lumMod val="60000"/>
                <a:lumOff val="40000"/>
              </a:schemeClr>
            </a:solidFill>
          </c:spPr>
          <c:cat>
            <c:multiLvlStrRef>
              <c:f>'13.Caudales'!$N$4:$O$190</c:f>
              <c:multiLvlStrCache>
                <c:ptCount val="187"/>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1">
                    <c:v>16</c:v>
                  </c:pt>
                  <c:pt idx="186">
                    <c:v>31</c:v>
                  </c:pt>
                </c:lvl>
                <c:lvl>
                  <c:pt idx="0">
                    <c:v>2020</c:v>
                  </c:pt>
                  <c:pt idx="52">
                    <c:v>2021</c:v>
                  </c:pt>
                  <c:pt idx="104">
                    <c:v>2022</c:v>
                  </c:pt>
                  <c:pt idx="156">
                    <c:v>2023</c:v>
                  </c:pt>
                </c:lvl>
              </c:multiLvlStrCache>
            </c:multiLvlStrRef>
          </c:cat>
          <c:val>
            <c:numRef>
              <c:f>'13.Caudales'!$Q$4:$Q$190</c:f>
              <c:numCache>
                <c:formatCode>_(* #,##0.00_);_(* \(#,##0.00\);_(* "-"??_);_(@_)</c:formatCode>
                <c:ptCount val="187"/>
                <c:pt idx="0">
                  <c:v>12.763571330479184</c:v>
                </c:pt>
                <c:pt idx="1">
                  <c:v>13.386285781428571</c:v>
                </c:pt>
                <c:pt idx="2">
                  <c:v>15.196428435714285</c:v>
                </c:pt>
                <c:pt idx="3">
                  <c:v>16.57199968714286</c:v>
                </c:pt>
                <c:pt idx="4">
                  <c:v>25.675428661428576</c:v>
                </c:pt>
                <c:pt idx="5">
                  <c:v>22.638571330479174</c:v>
                </c:pt>
                <c:pt idx="6">
                  <c:v>24.818285805714286</c:v>
                </c:pt>
                <c:pt idx="7">
                  <c:v>16.877285957336387</c:v>
                </c:pt>
                <c:pt idx="8">
                  <c:v>20.463000162857146</c:v>
                </c:pt>
                <c:pt idx="9">
                  <c:v>20.001714159999999</c:v>
                </c:pt>
                <c:pt idx="10">
                  <c:v>20.464285714285715</c:v>
                </c:pt>
                <c:pt idx="11">
                  <c:v>23.032714026314846</c:v>
                </c:pt>
                <c:pt idx="12">
                  <c:v>27.558857236589642</c:v>
                </c:pt>
                <c:pt idx="13">
                  <c:v>18.795857294285714</c:v>
                </c:pt>
                <c:pt idx="14">
                  <c:v>16.380999974285714</c:v>
                </c:pt>
                <c:pt idx="15">
                  <c:v>15.142857142857142</c:v>
                </c:pt>
                <c:pt idx="16">
                  <c:v>14.535142626081141</c:v>
                </c:pt>
                <c:pt idx="17">
                  <c:v>15.919285638571427</c:v>
                </c:pt>
                <c:pt idx="18">
                  <c:v>16.148714472857144</c:v>
                </c:pt>
                <c:pt idx="19">
                  <c:v>13.91285719</c:v>
                </c:pt>
                <c:pt idx="20">
                  <c:v>12.832571710859</c:v>
                </c:pt>
                <c:pt idx="21">
                  <c:v>11.589857237142857</c:v>
                </c:pt>
                <c:pt idx="22">
                  <c:v>10.866000038571428</c:v>
                </c:pt>
                <c:pt idx="23">
                  <c:v>10.893428530011814</c:v>
                </c:pt>
                <c:pt idx="24">
                  <c:v>9.7685713087142858</c:v>
                </c:pt>
                <c:pt idx="25">
                  <c:v>9.3011428291428579</c:v>
                </c:pt>
                <c:pt idx="26">
                  <c:v>9.0898572376796078</c:v>
                </c:pt>
                <c:pt idx="27">
                  <c:v>8.3315715788571421</c:v>
                </c:pt>
                <c:pt idx="28">
                  <c:v>8.7399999755714273</c:v>
                </c:pt>
                <c:pt idx="29">
                  <c:v>8.2612857819999999</c:v>
                </c:pt>
                <c:pt idx="30">
                  <c:v>7.5295715331428577</c:v>
                </c:pt>
                <c:pt idx="31">
                  <c:v>7.1332857268197154</c:v>
                </c:pt>
                <c:pt idx="32">
                  <c:v>7.307000092</c:v>
                </c:pt>
                <c:pt idx="33">
                  <c:v>6.8864285605714288</c:v>
                </c:pt>
                <c:pt idx="34">
                  <c:v>6.9537143707275364</c:v>
                </c:pt>
                <c:pt idx="35">
                  <c:v>6.8990000316074882</c:v>
                </c:pt>
                <c:pt idx="36">
                  <c:v>6.6838571003505107</c:v>
                </c:pt>
                <c:pt idx="37">
                  <c:v>7.5399999618530247</c:v>
                </c:pt>
                <c:pt idx="38">
                  <c:v>6.875</c:v>
                </c:pt>
                <c:pt idx="39">
                  <c:v>6.0911429268571426</c:v>
                </c:pt>
                <c:pt idx="40">
                  <c:v>5.8652857372857152</c:v>
                </c:pt>
                <c:pt idx="41">
                  <c:v>6.6280000550406255</c:v>
                </c:pt>
                <c:pt idx="42">
                  <c:v>7.1351429394285715</c:v>
                </c:pt>
                <c:pt idx="43">
                  <c:v>6.1070000102857147</c:v>
                </c:pt>
                <c:pt idx="44">
                  <c:v>5.6735714502857144</c:v>
                </c:pt>
                <c:pt idx="45">
                  <c:v>5.9637143271428581</c:v>
                </c:pt>
                <c:pt idx="46">
                  <c:v>6.7792857034285712</c:v>
                </c:pt>
                <c:pt idx="47">
                  <c:v>8.2138571738571429</c:v>
                </c:pt>
                <c:pt idx="48">
                  <c:v>17.68042864142857</c:v>
                </c:pt>
                <c:pt idx="49">
                  <c:v>12.617142812857141</c:v>
                </c:pt>
                <c:pt idx="50">
                  <c:v>19.502285685714288</c:v>
                </c:pt>
                <c:pt idx="51">
                  <c:v>24.478714262857146</c:v>
                </c:pt>
                <c:pt idx="52">
                  <c:v>32.471142904285713</c:v>
                </c:pt>
                <c:pt idx="53">
                  <c:v>29.357571737142859</c:v>
                </c:pt>
                <c:pt idx="54">
                  <c:v>27.718428745714288</c:v>
                </c:pt>
                <c:pt idx="55">
                  <c:v>30.739285877142859</c:v>
                </c:pt>
                <c:pt idx="56">
                  <c:v>25.584571565714288</c:v>
                </c:pt>
                <c:pt idx="57">
                  <c:v>18.677976190476191</c:v>
                </c:pt>
                <c:pt idx="58">
                  <c:v>18.677976190476191</c:v>
                </c:pt>
                <c:pt idx="59">
                  <c:v>15.895833333333314</c:v>
                </c:pt>
                <c:pt idx="60">
                  <c:v>16.03157152448377</c:v>
                </c:pt>
                <c:pt idx="61">
                  <c:v>28.276142392857142</c:v>
                </c:pt>
                <c:pt idx="62">
                  <c:v>28.634571619999999</c:v>
                </c:pt>
                <c:pt idx="63">
                  <c:v>28.223285404285715</c:v>
                </c:pt>
                <c:pt idx="64">
                  <c:v>27.516571317142855</c:v>
                </c:pt>
                <c:pt idx="65">
                  <c:v>29.126714707142856</c:v>
                </c:pt>
                <c:pt idx="66">
                  <c:v>28.420428685714288</c:v>
                </c:pt>
                <c:pt idx="67">
                  <c:v>21.880999702857146</c:v>
                </c:pt>
                <c:pt idx="68">
                  <c:v>18.000999994285714</c:v>
                </c:pt>
                <c:pt idx="69">
                  <c:v>16.076714378571427</c:v>
                </c:pt>
                <c:pt idx="70">
                  <c:v>15.213571411428573</c:v>
                </c:pt>
                <c:pt idx="71">
                  <c:v>14.241714205714286</c:v>
                </c:pt>
                <c:pt idx="72">
                  <c:v>14.091571398571428</c:v>
                </c:pt>
                <c:pt idx="73">
                  <c:v>12.206428662857144</c:v>
                </c:pt>
                <c:pt idx="74">
                  <c:v>10.714285714285714</c:v>
                </c:pt>
                <c:pt idx="75">
                  <c:v>10.648285731428571</c:v>
                </c:pt>
                <c:pt idx="76">
                  <c:v>10.931000164428569</c:v>
                </c:pt>
                <c:pt idx="77">
                  <c:v>9.871286118714286</c:v>
                </c:pt>
                <c:pt idx="78">
                  <c:v>9.2658571514285715</c:v>
                </c:pt>
                <c:pt idx="79">
                  <c:v>8.3581429888571428</c:v>
                </c:pt>
                <c:pt idx="80">
                  <c:v>8.2642856324285709</c:v>
                </c:pt>
                <c:pt idx="81">
                  <c:v>7.629714148142857</c:v>
                </c:pt>
                <c:pt idx="82">
                  <c:v>7.8445713860000001</c:v>
                </c:pt>
                <c:pt idx="83">
                  <c:v>7.8535714147142865</c:v>
                </c:pt>
                <c:pt idx="84">
                  <c:v>7.8434285441428573</c:v>
                </c:pt>
                <c:pt idx="85">
                  <c:v>8.0232857294285722</c:v>
                </c:pt>
                <c:pt idx="86">
                  <c:v>9.1238570895714286</c:v>
                </c:pt>
                <c:pt idx="87">
                  <c:v>8.2869999062857129</c:v>
                </c:pt>
                <c:pt idx="88">
                  <c:v>7.2742856564285701</c:v>
                </c:pt>
                <c:pt idx="89">
                  <c:v>5.7302856442857149</c:v>
                </c:pt>
                <c:pt idx="90">
                  <c:v>5.3494285172857152</c:v>
                </c:pt>
                <c:pt idx="91">
                  <c:v>5.4815714698571432</c:v>
                </c:pt>
                <c:pt idx="92">
                  <c:v>6.414142881000001</c:v>
                </c:pt>
                <c:pt idx="93">
                  <c:v>7.0597143174285719</c:v>
                </c:pt>
                <c:pt idx="94">
                  <c:v>6.5518571988571432</c:v>
                </c:pt>
                <c:pt idx="95">
                  <c:v>6.2178571565714282</c:v>
                </c:pt>
                <c:pt idx="96">
                  <c:v>5.7207142285714285</c:v>
                </c:pt>
                <c:pt idx="97">
                  <c:v>5.8224285672857139</c:v>
                </c:pt>
                <c:pt idx="98">
                  <c:v>8.7129998894285716</c:v>
                </c:pt>
                <c:pt idx="99">
                  <c:v>9.7443332226190496</c:v>
                </c:pt>
                <c:pt idx="100">
                  <c:v>15.740428922857143</c:v>
                </c:pt>
                <c:pt idx="101">
                  <c:v>11.458857127</c:v>
                </c:pt>
                <c:pt idx="102">
                  <c:v>9.4554285322857137</c:v>
                </c:pt>
                <c:pt idx="103">
                  <c:v>10.030285698</c:v>
                </c:pt>
                <c:pt idx="104">
                  <c:v>11.54385730142857</c:v>
                </c:pt>
                <c:pt idx="105">
                  <c:v>10.532571247428569</c:v>
                </c:pt>
                <c:pt idx="106">
                  <c:v>12.373285701428571</c:v>
                </c:pt>
                <c:pt idx="107">
                  <c:v>13.78142860857143</c:v>
                </c:pt>
                <c:pt idx="108">
                  <c:v>16.13685744</c:v>
                </c:pt>
                <c:pt idx="109">
                  <c:v>18.235713957142856</c:v>
                </c:pt>
                <c:pt idx="110">
                  <c:v>20.117499826428599</c:v>
                </c:pt>
                <c:pt idx="111">
                  <c:v>25.340999875749826</c:v>
                </c:pt>
                <c:pt idx="112">
                  <c:v>27.784285954285711</c:v>
                </c:pt>
                <c:pt idx="113">
                  <c:v>28.093753942631899</c:v>
                </c:pt>
                <c:pt idx="114">
                  <c:v>33.420857293265151</c:v>
                </c:pt>
                <c:pt idx="115">
                  <c:v>23.805857249668641</c:v>
                </c:pt>
                <c:pt idx="116">
                  <c:v>28.491428571428571</c:v>
                </c:pt>
                <c:pt idx="117">
                  <c:v>27.723999840872604</c:v>
                </c:pt>
                <c:pt idx="118">
                  <c:v>22.026428767142853</c:v>
                </c:pt>
                <c:pt idx="119">
                  <c:v>15.928285734994029</c:v>
                </c:pt>
                <c:pt idx="120">
                  <c:v>14.988285734993999</c:v>
                </c:pt>
                <c:pt idx="121">
                  <c:v>13.782857142857143</c:v>
                </c:pt>
                <c:pt idx="122">
                  <c:v>12.89642851693287</c:v>
                </c:pt>
                <c:pt idx="123">
                  <c:v>12.223428453717887</c:v>
                </c:pt>
                <c:pt idx="124">
                  <c:v>10.884428433009543</c:v>
                </c:pt>
                <c:pt idx="125">
                  <c:v>10.348285540285715</c:v>
                </c:pt>
                <c:pt idx="126">
                  <c:v>9.2024285452706458</c:v>
                </c:pt>
                <c:pt idx="127">
                  <c:v>9.7554287231428578</c:v>
                </c:pt>
                <c:pt idx="128">
                  <c:v>9.0029998505714293</c:v>
                </c:pt>
                <c:pt idx="129">
                  <c:v>8.8088571004285718</c:v>
                </c:pt>
                <c:pt idx="130">
                  <c:v>8.6749999188571429</c:v>
                </c:pt>
                <c:pt idx="131">
                  <c:v>8.5319998604285718</c:v>
                </c:pt>
                <c:pt idx="132">
                  <c:v>7.5015713146754646</c:v>
                </c:pt>
                <c:pt idx="133">
                  <c:v>6.9631428037142857</c:v>
                </c:pt>
                <c:pt idx="134">
                  <c:v>6.8165713718959227</c:v>
                </c:pt>
                <c:pt idx="135">
                  <c:v>6.7767143249511674</c:v>
                </c:pt>
                <c:pt idx="136">
                  <c:v>6.6272856167142846</c:v>
                </c:pt>
                <c:pt idx="137">
                  <c:v>6.5701428822857153</c:v>
                </c:pt>
                <c:pt idx="138">
                  <c:v>6.5428572382245695</c:v>
                </c:pt>
                <c:pt idx="139">
                  <c:v>6.3227143287142855</c:v>
                </c:pt>
                <c:pt idx="140">
                  <c:v>6.2865810394126704</c:v>
                </c:pt>
                <c:pt idx="141">
                  <c:v>5.793857097625728</c:v>
                </c:pt>
                <c:pt idx="142">
                  <c:v>5.9811427934285719</c:v>
                </c:pt>
                <c:pt idx="143">
                  <c:v>5.635571479797358</c:v>
                </c:pt>
                <c:pt idx="144">
                  <c:v>5.5000561646503403</c:v>
                </c:pt>
                <c:pt idx="145">
                  <c:v>4.9938571794285718</c:v>
                </c:pt>
                <c:pt idx="146">
                  <c:v>5.6268571444920088</c:v>
                </c:pt>
                <c:pt idx="147">
                  <c:v>5.2291429382857144</c:v>
                </c:pt>
                <c:pt idx="148">
                  <c:v>5.4345714705330943</c:v>
                </c:pt>
                <c:pt idx="149">
                  <c:v>5.3250000135714286</c:v>
                </c:pt>
                <c:pt idx="150">
                  <c:v>5.2195714201245949</c:v>
                </c:pt>
                <c:pt idx="151">
                  <c:v>5.7077142170497295</c:v>
                </c:pt>
                <c:pt idx="152">
                  <c:v>6.1595714432857145</c:v>
                </c:pt>
                <c:pt idx="153">
                  <c:v>8.2302858491428559</c:v>
                </c:pt>
                <c:pt idx="154">
                  <c:v>8.6974285665714284</c:v>
                </c:pt>
                <c:pt idx="155">
                  <c:v>12.067857061428571</c:v>
                </c:pt>
                <c:pt idx="156">
                  <c:v>15.932143074285715</c:v>
                </c:pt>
                <c:pt idx="157">
                  <c:v>13.622000012857143</c:v>
                </c:pt>
                <c:pt idx="158">
                  <c:v>14.96771430969237</c:v>
                </c:pt>
                <c:pt idx="159">
                  <c:v>13.91128580857143</c:v>
                </c:pt>
                <c:pt idx="160">
                  <c:v>16.3</c:v>
                </c:pt>
                <c:pt idx="161">
                  <c:v>21.669000080653571</c:v>
                </c:pt>
                <c:pt idx="162">
                  <c:v>23.23</c:v>
                </c:pt>
                <c:pt idx="163">
                  <c:v>30.719714572857139</c:v>
                </c:pt>
                <c:pt idx="164">
                  <c:v>22.826571600777726</c:v>
                </c:pt>
                <c:pt idx="165">
                  <c:v>21.89857155857143</c:v>
                </c:pt>
                <c:pt idx="166">
                  <c:v>27.571428843906915</c:v>
                </c:pt>
                <c:pt idx="167">
                  <c:v>24.635714395714281</c:v>
                </c:pt>
                <c:pt idx="168">
                  <c:v>20.13</c:v>
                </c:pt>
                <c:pt idx="169">
                  <c:v>19.794714245714285</c:v>
                </c:pt>
                <c:pt idx="170">
                  <c:v>16.827428545270614</c:v>
                </c:pt>
                <c:pt idx="171">
                  <c:v>16.516999999999999</c:v>
                </c:pt>
                <c:pt idx="172">
                  <c:v>15.246857370000001</c:v>
                </c:pt>
                <c:pt idx="173">
                  <c:v>14.46657139914373</c:v>
                </c:pt>
                <c:pt idx="174">
                  <c:v>14.411857195714287</c:v>
                </c:pt>
                <c:pt idx="175">
                  <c:v>13.445142882210858</c:v>
                </c:pt>
                <c:pt idx="176">
                  <c:v>11.638999999999999</c:v>
                </c:pt>
                <c:pt idx="177">
                  <c:v>12.144000052857143</c:v>
                </c:pt>
                <c:pt idx="178">
                  <c:v>11.882714407784578</c:v>
                </c:pt>
                <c:pt idx="179">
                  <c:v>11.349571364571428</c:v>
                </c:pt>
                <c:pt idx="180">
                  <c:v>10.676285608285713</c:v>
                </c:pt>
                <c:pt idx="181">
                  <c:v>10.526285716428571</c:v>
                </c:pt>
                <c:pt idx="182">
                  <c:v>10.480428559439513</c:v>
                </c:pt>
                <c:pt idx="183">
                  <c:v>10.320000103428571</c:v>
                </c:pt>
                <c:pt idx="184">
                  <c:v>9.7921428681428573</c:v>
                </c:pt>
                <c:pt idx="185">
                  <c:v>9.35528571265084</c:v>
                </c:pt>
                <c:pt idx="186">
                  <c:v>9.1287142208571428</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SHEQUE (SANTA EULALIA)</c:v>
                </c:pt>
              </c:strCache>
            </c:strRef>
          </c:tx>
          <c:spPr>
            <a:solidFill>
              <a:srgbClr val="0077A5"/>
            </a:solidFill>
            <a:ln w="25400">
              <a:noFill/>
            </a:ln>
          </c:spPr>
          <c:cat>
            <c:multiLvlStrRef>
              <c:f>'13.Caudales'!$N$4:$O$190</c:f>
              <c:multiLvlStrCache>
                <c:ptCount val="187"/>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1">
                    <c:v>16</c:v>
                  </c:pt>
                  <c:pt idx="186">
                    <c:v>31</c:v>
                  </c:pt>
                </c:lvl>
                <c:lvl>
                  <c:pt idx="0">
                    <c:v>2020</c:v>
                  </c:pt>
                  <c:pt idx="52">
                    <c:v>2021</c:v>
                  </c:pt>
                  <c:pt idx="104">
                    <c:v>2022</c:v>
                  </c:pt>
                  <c:pt idx="156">
                    <c:v>2023</c:v>
                  </c:pt>
                </c:lvl>
              </c:multiLvlStrCache>
            </c:multiLvlStrRef>
          </c:cat>
          <c:val>
            <c:numRef>
              <c:f>'13.Caudales'!$R$4:$R$190</c:f>
              <c:numCache>
                <c:formatCode>_(* #,##0.00_);_(* \(#,##0.00\);_(* "-"??_);_(@_)</c:formatCode>
                <c:ptCount val="187"/>
                <c:pt idx="0">
                  <c:v>7.4842857292720009</c:v>
                </c:pt>
                <c:pt idx="1">
                  <c:v>6.9174285272857139</c:v>
                </c:pt>
                <c:pt idx="2">
                  <c:v>11.330428599714283</c:v>
                </c:pt>
                <c:pt idx="3">
                  <c:v>12.821999958571428</c:v>
                </c:pt>
                <c:pt idx="4">
                  <c:v>18.254856927142857</c:v>
                </c:pt>
                <c:pt idx="5">
                  <c:v>17.332571574619813</c:v>
                </c:pt>
                <c:pt idx="6">
                  <c:v>19.436000279999998</c:v>
                </c:pt>
                <c:pt idx="7">
                  <c:v>13.084142684936484</c:v>
                </c:pt>
                <c:pt idx="8">
                  <c:v>16.131428717142857</c:v>
                </c:pt>
                <c:pt idx="9">
                  <c:v>16.133428572857145</c:v>
                </c:pt>
                <c:pt idx="10">
                  <c:v>16.275285719999999</c:v>
                </c:pt>
                <c:pt idx="11">
                  <c:v>20.180714198521169</c:v>
                </c:pt>
                <c:pt idx="12">
                  <c:v>21.319143022809669</c:v>
                </c:pt>
                <c:pt idx="13">
                  <c:v>18.168000220000003</c:v>
                </c:pt>
                <c:pt idx="14">
                  <c:v>14.786285537142858</c:v>
                </c:pt>
                <c:pt idx="15">
                  <c:v>11.113285608857142</c:v>
                </c:pt>
                <c:pt idx="16">
                  <c:v>7.95871441704886</c:v>
                </c:pt>
                <c:pt idx="17">
                  <c:v>12.133857388142859</c:v>
                </c:pt>
                <c:pt idx="18">
                  <c:v>14.776714189999998</c:v>
                </c:pt>
                <c:pt idx="19">
                  <c:v>10.484285559</c:v>
                </c:pt>
                <c:pt idx="20">
                  <c:v>8.7072857448032899</c:v>
                </c:pt>
                <c:pt idx="21">
                  <c:v>7.6087141037142851</c:v>
                </c:pt>
                <c:pt idx="22">
                  <c:v>6.6898570742857144</c:v>
                </c:pt>
                <c:pt idx="23">
                  <c:v>6.3937142235892095</c:v>
                </c:pt>
                <c:pt idx="24">
                  <c:v>5.4858571460000007</c:v>
                </c:pt>
                <c:pt idx="25">
                  <c:v>5.6422856875714285</c:v>
                </c:pt>
                <c:pt idx="26">
                  <c:v>4.8411428587777223</c:v>
                </c:pt>
                <c:pt idx="27">
                  <c:v>4.0902857780000001</c:v>
                </c:pt>
                <c:pt idx="28">
                  <c:v>3.3690000857142857</c:v>
                </c:pt>
                <c:pt idx="29">
                  <c:v>3.9334286622857135</c:v>
                </c:pt>
                <c:pt idx="30">
                  <c:v>3.8718570981428577</c:v>
                </c:pt>
                <c:pt idx="31">
                  <c:v>3.9694285733359158</c:v>
                </c:pt>
                <c:pt idx="32">
                  <c:v>4.0542857307142848</c:v>
                </c:pt>
                <c:pt idx="33">
                  <c:v>3.8852857181428568</c:v>
                </c:pt>
                <c:pt idx="34">
                  <c:v>3.3560000147138283</c:v>
                </c:pt>
                <c:pt idx="35">
                  <c:v>3.1212857110159686</c:v>
                </c:pt>
                <c:pt idx="36">
                  <c:v>3.6978571414947474</c:v>
                </c:pt>
                <c:pt idx="37">
                  <c:v>4.336428608285714</c:v>
                </c:pt>
                <c:pt idx="38">
                  <c:v>3.7</c:v>
                </c:pt>
                <c:pt idx="39">
                  <c:v>3.501428569857143</c:v>
                </c:pt>
                <c:pt idx="40">
                  <c:v>4.2169999735714283</c:v>
                </c:pt>
                <c:pt idx="41">
                  <c:v>4.7599999564034556</c:v>
                </c:pt>
                <c:pt idx="42">
                  <c:v>5.693714175857143</c:v>
                </c:pt>
                <c:pt idx="43">
                  <c:v>4.3958570957142857</c:v>
                </c:pt>
                <c:pt idx="44">
                  <c:v>4.5134285178571432</c:v>
                </c:pt>
                <c:pt idx="45">
                  <c:v>5.3014286587142854</c:v>
                </c:pt>
                <c:pt idx="46">
                  <c:v>3.8094285555714285</c:v>
                </c:pt>
                <c:pt idx="47">
                  <c:v>5.0787143024285717</c:v>
                </c:pt>
                <c:pt idx="48">
                  <c:v>12.998142924285714</c:v>
                </c:pt>
                <c:pt idx="49">
                  <c:v>11.908142771714285</c:v>
                </c:pt>
                <c:pt idx="50">
                  <c:v>17.91042859142857</c:v>
                </c:pt>
                <c:pt idx="51">
                  <c:v>20.052142824285713</c:v>
                </c:pt>
                <c:pt idx="52">
                  <c:v>23.040428705714284</c:v>
                </c:pt>
                <c:pt idx="53">
                  <c:v>22.506999971428574</c:v>
                </c:pt>
                <c:pt idx="54">
                  <c:v>21.345142638571424</c:v>
                </c:pt>
                <c:pt idx="55">
                  <c:v>24.126143047142854</c:v>
                </c:pt>
                <c:pt idx="56">
                  <c:v>22.874571391428567</c:v>
                </c:pt>
                <c:pt idx="57">
                  <c:v>19.115142824285716</c:v>
                </c:pt>
                <c:pt idx="58">
                  <c:v>18.677976190476191</c:v>
                </c:pt>
                <c:pt idx="59">
                  <c:v>8.1069999999999993</c:v>
                </c:pt>
                <c:pt idx="60">
                  <c:v>10.70885712759833</c:v>
                </c:pt>
                <c:pt idx="61">
                  <c:v>21.731714248571429</c:v>
                </c:pt>
                <c:pt idx="62">
                  <c:v>21.524857657142856</c:v>
                </c:pt>
                <c:pt idx="63">
                  <c:v>22.087285995714286</c:v>
                </c:pt>
                <c:pt idx="64">
                  <c:v>23.321285792857143</c:v>
                </c:pt>
                <c:pt idx="65">
                  <c:v>26.810000011428574</c:v>
                </c:pt>
                <c:pt idx="66">
                  <c:v>22.159857068571426</c:v>
                </c:pt>
                <c:pt idx="67">
                  <c:v>20.447000231428571</c:v>
                </c:pt>
                <c:pt idx="68">
                  <c:v>14.095428602857144</c:v>
                </c:pt>
                <c:pt idx="69">
                  <c:v>12.509142604285715</c:v>
                </c:pt>
                <c:pt idx="70">
                  <c:v>8.5715713499999993</c:v>
                </c:pt>
                <c:pt idx="71">
                  <c:v>7.0702857972857149</c:v>
                </c:pt>
                <c:pt idx="72">
                  <c:v>7.0830000470000005</c:v>
                </c:pt>
                <c:pt idx="73">
                  <c:v>6.5260000228571426</c:v>
                </c:pt>
                <c:pt idx="74">
                  <c:v>6.0984286581428568</c:v>
                </c:pt>
                <c:pt idx="75">
                  <c:v>5.3554284574285722</c:v>
                </c:pt>
                <c:pt idx="76">
                  <c:v>6.0032857149999996</c:v>
                </c:pt>
                <c:pt idx="77">
                  <c:v>4.9715714455714286</c:v>
                </c:pt>
                <c:pt idx="78">
                  <c:v>4.8162857462857147</c:v>
                </c:pt>
                <c:pt idx="79">
                  <c:v>4.1457142830000002</c:v>
                </c:pt>
                <c:pt idx="80">
                  <c:v>4.2404285498571426</c:v>
                </c:pt>
                <c:pt idx="81">
                  <c:v>3.9339999471428575</c:v>
                </c:pt>
                <c:pt idx="82">
                  <c:v>4.2642856665714284</c:v>
                </c:pt>
                <c:pt idx="83">
                  <c:v>4.0602857387142857</c:v>
                </c:pt>
                <c:pt idx="84">
                  <c:v>3.7991428715714286</c:v>
                </c:pt>
                <c:pt idx="85">
                  <c:v>3.6017142020000001</c:v>
                </c:pt>
                <c:pt idx="86">
                  <c:v>6.7515713490000007</c:v>
                </c:pt>
                <c:pt idx="87">
                  <c:v>5.5024285997142854</c:v>
                </c:pt>
                <c:pt idx="88">
                  <c:v>5.7037142345714287</c:v>
                </c:pt>
                <c:pt idx="89">
                  <c:v>4.6181428091428574</c:v>
                </c:pt>
                <c:pt idx="90">
                  <c:v>4.7248570578571423</c:v>
                </c:pt>
                <c:pt idx="91">
                  <c:v>5.3951427595714279</c:v>
                </c:pt>
                <c:pt idx="92">
                  <c:v>5.6744286329999998</c:v>
                </c:pt>
                <c:pt idx="93">
                  <c:v>5.6411428450000001</c:v>
                </c:pt>
                <c:pt idx="94">
                  <c:v>5.278142861428571</c:v>
                </c:pt>
                <c:pt idx="95">
                  <c:v>3.7729999678571429</c:v>
                </c:pt>
                <c:pt idx="96">
                  <c:v>4.0865714210000004</c:v>
                </c:pt>
                <c:pt idx="97">
                  <c:v>4.1967142989999999</c:v>
                </c:pt>
                <c:pt idx="98">
                  <c:v>6.8662857328571425</c:v>
                </c:pt>
                <c:pt idx="99">
                  <c:v>7.8295714628095201</c:v>
                </c:pt>
                <c:pt idx="100">
                  <c:v>16.272571155571431</c:v>
                </c:pt>
                <c:pt idx="101">
                  <c:v>8.6871428825714272</c:v>
                </c:pt>
                <c:pt idx="102">
                  <c:v>4.7284286361428576</c:v>
                </c:pt>
                <c:pt idx="103">
                  <c:v>6.3814284807142858</c:v>
                </c:pt>
                <c:pt idx="104">
                  <c:v>6.3410000120000003</c:v>
                </c:pt>
                <c:pt idx="105">
                  <c:v>5.6152856691428568</c:v>
                </c:pt>
                <c:pt idx="106">
                  <c:v>6.7777144562857146</c:v>
                </c:pt>
                <c:pt idx="107">
                  <c:v>10.307714326428572</c:v>
                </c:pt>
                <c:pt idx="108">
                  <c:v>10.226857389000001</c:v>
                </c:pt>
                <c:pt idx="109">
                  <c:v>10.726285798285716</c:v>
                </c:pt>
                <c:pt idx="110">
                  <c:v>12.450857264642901</c:v>
                </c:pt>
                <c:pt idx="111">
                  <c:v>18.084142684936488</c:v>
                </c:pt>
                <c:pt idx="112">
                  <c:v>17.056714467142857</c:v>
                </c:pt>
                <c:pt idx="113">
                  <c:v>19.095928647332201</c:v>
                </c:pt>
                <c:pt idx="114">
                  <c:v>21.210571697780029</c:v>
                </c:pt>
                <c:pt idx="115">
                  <c:v>19.053143092564113</c:v>
                </c:pt>
                <c:pt idx="116">
                  <c:v>22.648571428571426</c:v>
                </c:pt>
                <c:pt idx="117">
                  <c:v>25.617999758039169</c:v>
                </c:pt>
                <c:pt idx="118">
                  <c:v>20.249143055714288</c:v>
                </c:pt>
                <c:pt idx="119">
                  <c:v>13.163428579057927</c:v>
                </c:pt>
                <c:pt idx="120">
                  <c:v>14.963714392629401</c:v>
                </c:pt>
                <c:pt idx="121">
                  <c:v>9.805714285714286</c:v>
                </c:pt>
                <c:pt idx="122">
                  <c:v>8.2621427263532308</c:v>
                </c:pt>
                <c:pt idx="123">
                  <c:v>8.1970000267028773</c:v>
                </c:pt>
                <c:pt idx="124">
                  <c:v>7.9334286281040693</c:v>
                </c:pt>
                <c:pt idx="125">
                  <c:v>7.5271429334285713</c:v>
                </c:pt>
                <c:pt idx="126">
                  <c:v>7.8158572060721223</c:v>
                </c:pt>
                <c:pt idx="127">
                  <c:v>6.7071426938571426</c:v>
                </c:pt>
                <c:pt idx="128">
                  <c:v>5.0975714409999995</c:v>
                </c:pt>
                <c:pt idx="129">
                  <c:v>4.9562855787142857</c:v>
                </c:pt>
                <c:pt idx="130">
                  <c:v>5.8004284587142854</c:v>
                </c:pt>
                <c:pt idx="131">
                  <c:v>4.793428557285714</c:v>
                </c:pt>
                <c:pt idx="132">
                  <c:v>4.1201429026467418</c:v>
                </c:pt>
                <c:pt idx="133">
                  <c:v>3.7525714465714288</c:v>
                </c:pt>
                <c:pt idx="134">
                  <c:v>3.3494285855974431</c:v>
                </c:pt>
                <c:pt idx="135">
                  <c:v>3.2958571570260142</c:v>
                </c:pt>
                <c:pt idx="136">
                  <c:v>3.2975714547142858</c:v>
                </c:pt>
                <c:pt idx="137">
                  <c:v>3.5422857148571425</c:v>
                </c:pt>
                <c:pt idx="138">
                  <c:v>3.660142830439971</c:v>
                </c:pt>
                <c:pt idx="139">
                  <c:v>4.3679998937142859</c:v>
                </c:pt>
                <c:pt idx="140">
                  <c:v>3.77252543796107</c:v>
                </c:pt>
                <c:pt idx="141">
                  <c:v>4.5530000073569106</c:v>
                </c:pt>
                <c:pt idx="142">
                  <c:v>3.9475713797142857</c:v>
                </c:pt>
                <c:pt idx="143">
                  <c:v>4.196571486336838</c:v>
                </c:pt>
                <c:pt idx="144">
                  <c:v>4.2840944572134498</c:v>
                </c:pt>
                <c:pt idx="145">
                  <c:v>4</c:v>
                </c:pt>
                <c:pt idx="146">
                  <c:v>4.612428597041534</c:v>
                </c:pt>
                <c:pt idx="147">
                  <c:v>4.4097143239999994</c:v>
                </c:pt>
                <c:pt idx="148">
                  <c:v>3.90100002288818</c:v>
                </c:pt>
                <c:pt idx="149">
                  <c:v>3.9275713648571431</c:v>
                </c:pt>
                <c:pt idx="150">
                  <c:v>4.3361428805759958</c:v>
                </c:pt>
                <c:pt idx="151">
                  <c:v>4.0250000272478319</c:v>
                </c:pt>
                <c:pt idx="152">
                  <c:v>3.979571376428571</c:v>
                </c:pt>
                <c:pt idx="153">
                  <c:v>4.227428538571429</c:v>
                </c:pt>
                <c:pt idx="154">
                  <c:v>4.2828571114285712</c:v>
                </c:pt>
                <c:pt idx="155">
                  <c:v>5.9124286172857135</c:v>
                </c:pt>
                <c:pt idx="156">
                  <c:v>11.847142697285713</c:v>
                </c:pt>
                <c:pt idx="157">
                  <c:v>10.387571334714284</c:v>
                </c:pt>
                <c:pt idx="158">
                  <c:v>12.343428543635765</c:v>
                </c:pt>
                <c:pt idx="159">
                  <c:v>11.180999892285714</c:v>
                </c:pt>
                <c:pt idx="160">
                  <c:v>12.37</c:v>
                </c:pt>
                <c:pt idx="161">
                  <c:v>15.139999934605159</c:v>
                </c:pt>
                <c:pt idx="162">
                  <c:v>16.53</c:v>
                </c:pt>
                <c:pt idx="163">
                  <c:v>21.736999784285718</c:v>
                </c:pt>
                <c:pt idx="164">
                  <c:v>16.407857349940684</c:v>
                </c:pt>
                <c:pt idx="165">
                  <c:v>14.010285651428573</c:v>
                </c:pt>
                <c:pt idx="166">
                  <c:v>20.770999908447244</c:v>
                </c:pt>
                <c:pt idx="167">
                  <c:v>20.710142951428569</c:v>
                </c:pt>
                <c:pt idx="168">
                  <c:v>17.697571481428572</c:v>
                </c:pt>
                <c:pt idx="169">
                  <c:v>15.424571310000001</c:v>
                </c:pt>
                <c:pt idx="170">
                  <c:v>13.644285610743902</c:v>
                </c:pt>
                <c:pt idx="171">
                  <c:v>13.566000000000001</c:v>
                </c:pt>
                <c:pt idx="172">
                  <c:v>10.292142732428571</c:v>
                </c:pt>
                <c:pt idx="173">
                  <c:v>9.2318571635654951</c:v>
                </c:pt>
                <c:pt idx="174">
                  <c:v>11.184000082714286</c:v>
                </c:pt>
                <c:pt idx="175">
                  <c:v>7.7474286215645893</c:v>
                </c:pt>
                <c:pt idx="176">
                  <c:v>7.3238333333333339</c:v>
                </c:pt>
                <c:pt idx="177">
                  <c:v>8.7331427847142855</c:v>
                </c:pt>
                <c:pt idx="178">
                  <c:v>9.8902856963021399</c:v>
                </c:pt>
                <c:pt idx="179">
                  <c:v>7.1754286628571426</c:v>
                </c:pt>
                <c:pt idx="180">
                  <c:v>5.9687142712857142</c:v>
                </c:pt>
                <c:pt idx="181">
                  <c:v>7.0281428774285715</c:v>
                </c:pt>
                <c:pt idx="182">
                  <c:v>6.6732856546129415</c:v>
                </c:pt>
                <c:pt idx="183">
                  <c:v>6.1684285575714286</c:v>
                </c:pt>
                <c:pt idx="184">
                  <c:v>6.7612857135714277</c:v>
                </c:pt>
                <c:pt idx="185">
                  <c:v>6.0741428307124519</c:v>
                </c:pt>
                <c:pt idx="186">
                  <c:v>5.9202857185714288</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24949669124195525"/>
          <c:y val="0.13730467658152601"/>
          <c:w val="0.53296622983308239"/>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NATURALES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'13.Caudales'!$N$4:$O$190</c:f>
              <c:multiLvlStrCache>
                <c:ptCount val="187"/>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1">
                    <c:v>16</c:v>
                  </c:pt>
                  <c:pt idx="186">
                    <c:v>31</c:v>
                  </c:pt>
                </c:lvl>
                <c:lvl>
                  <c:pt idx="0">
                    <c:v>2020</c:v>
                  </c:pt>
                  <c:pt idx="52">
                    <c:v>2021</c:v>
                  </c:pt>
                  <c:pt idx="104">
                    <c:v>2022</c:v>
                  </c:pt>
                  <c:pt idx="156">
                    <c:v>2023</c:v>
                  </c:pt>
                </c:lvl>
              </c:multiLvlStrCache>
            </c:multiLvlStrRef>
          </c:cat>
          <c:val>
            <c:numRef>
              <c:f>'13.Caudales'!$S$4:$S$190</c:f>
              <c:numCache>
                <c:formatCode>_(* #,##0.00_);_(* \(#,##0.00\);_(* "-"??_);_(@_)</c:formatCode>
                <c:ptCount val="187"/>
                <c:pt idx="0">
                  <c:v>176.20814078194715</c:v>
                </c:pt>
                <c:pt idx="1">
                  <c:v>159.75199889999999</c:v>
                </c:pt>
                <c:pt idx="2">
                  <c:v>243.87700107142857</c:v>
                </c:pt>
                <c:pt idx="3">
                  <c:v>236.61043005714285</c:v>
                </c:pt>
                <c:pt idx="4">
                  <c:v>392.82542635714287</c:v>
                </c:pt>
                <c:pt idx="5">
                  <c:v>448.59157017299066</c:v>
                </c:pt>
                <c:pt idx="6">
                  <c:v>374.25799560000002</c:v>
                </c:pt>
                <c:pt idx="7">
                  <c:v>289.19357081821948</c:v>
                </c:pt>
                <c:pt idx="8">
                  <c:v>302.38613892857137</c:v>
                </c:pt>
                <c:pt idx="9">
                  <c:v>219.49971445714283</c:v>
                </c:pt>
                <c:pt idx="10">
                  <c:v>210.39014761428572</c:v>
                </c:pt>
                <c:pt idx="11">
                  <c:v>335.19785417829189</c:v>
                </c:pt>
                <c:pt idx="12">
                  <c:v>569.31741768973188</c:v>
                </c:pt>
                <c:pt idx="13">
                  <c:v>298.48543221428571</c:v>
                </c:pt>
                <c:pt idx="14">
                  <c:v>196.30642698571427</c:v>
                </c:pt>
                <c:pt idx="15">
                  <c:v>144.25785718571427</c:v>
                </c:pt>
                <c:pt idx="16">
                  <c:v>118.61742946079741</c:v>
                </c:pt>
                <c:pt idx="17">
                  <c:v>119.46943012857146</c:v>
                </c:pt>
                <c:pt idx="18">
                  <c:v>179.62085941428572</c:v>
                </c:pt>
                <c:pt idx="19">
                  <c:v>132.41042655714287</c:v>
                </c:pt>
                <c:pt idx="20">
                  <c:v>118.96285901750787</c:v>
                </c:pt>
                <c:pt idx="21">
                  <c:v>92.527713229999989</c:v>
                </c:pt>
                <c:pt idx="22">
                  <c:v>86.262142725714284</c:v>
                </c:pt>
                <c:pt idx="23">
                  <c:v>80.154999869210343</c:v>
                </c:pt>
                <c:pt idx="24">
                  <c:v>71.438000270000003</c:v>
                </c:pt>
                <c:pt idx="25">
                  <c:v>70.798141479999998</c:v>
                </c:pt>
                <c:pt idx="26">
                  <c:v>72.323284694126613</c:v>
                </c:pt>
                <c:pt idx="27">
                  <c:v>70.352427891428562</c:v>
                </c:pt>
                <c:pt idx="28">
                  <c:v>69.363000051428585</c:v>
                </c:pt>
                <c:pt idx="29">
                  <c:v>68.101856775714282</c:v>
                </c:pt>
                <c:pt idx="30">
                  <c:v>66.163572037142856</c:v>
                </c:pt>
                <c:pt idx="31">
                  <c:v>69.589143480573355</c:v>
                </c:pt>
                <c:pt idx="32">
                  <c:v>67.52914374142857</c:v>
                </c:pt>
                <c:pt idx="33">
                  <c:v>67.307859692857136</c:v>
                </c:pt>
                <c:pt idx="34">
                  <c:v>62.870428357805473</c:v>
                </c:pt>
                <c:pt idx="35">
                  <c:v>65.621286119733483</c:v>
                </c:pt>
                <c:pt idx="36">
                  <c:v>65.927430289132204</c:v>
                </c:pt>
                <c:pt idx="37">
                  <c:v>68.259427751813561</c:v>
                </c:pt>
                <c:pt idx="38">
                  <c:v>75.159429278571437</c:v>
                </c:pt>
                <c:pt idx="39">
                  <c:v>73.523286004285723</c:v>
                </c:pt>
                <c:pt idx="40">
                  <c:v>67.761285509999993</c:v>
                </c:pt>
                <c:pt idx="41">
                  <c:v>71.132857186453606</c:v>
                </c:pt>
                <c:pt idx="42">
                  <c:v>76.869857788571409</c:v>
                </c:pt>
                <c:pt idx="43">
                  <c:v>68.664999825714276</c:v>
                </c:pt>
                <c:pt idx="44">
                  <c:v>62.049999781428575</c:v>
                </c:pt>
                <c:pt idx="45">
                  <c:v>57.546571460000003</c:v>
                </c:pt>
                <c:pt idx="46">
                  <c:v>56.944714135714285</c:v>
                </c:pt>
                <c:pt idx="47">
                  <c:v>56.829999651428572</c:v>
                </c:pt>
                <c:pt idx="48">
                  <c:v>90.966000160000007</c:v>
                </c:pt>
                <c:pt idx="49">
                  <c:v>83.198000225714296</c:v>
                </c:pt>
                <c:pt idx="50">
                  <c:v>93.582571842857163</c:v>
                </c:pt>
                <c:pt idx="51">
                  <c:v>198.89756992857141</c:v>
                </c:pt>
                <c:pt idx="52">
                  <c:v>363.19999692857135</c:v>
                </c:pt>
                <c:pt idx="53">
                  <c:v>323.79400198571426</c:v>
                </c:pt>
                <c:pt idx="54">
                  <c:v>401.6544320142857</c:v>
                </c:pt>
                <c:pt idx="55">
                  <c:v>367.00971765714274</c:v>
                </c:pt>
                <c:pt idx="56">
                  <c:v>260.95085362857145</c:v>
                </c:pt>
                <c:pt idx="57">
                  <c:v>266.1391427142857</c:v>
                </c:pt>
                <c:pt idx="58">
                  <c:v>231.286666666667</c:v>
                </c:pt>
                <c:pt idx="59">
                  <c:v>131.62660714285707</c:v>
                </c:pt>
                <c:pt idx="60">
                  <c:v>115.81614358084498</c:v>
                </c:pt>
                <c:pt idx="61">
                  <c:v>254.39099884285716</c:v>
                </c:pt>
                <c:pt idx="62">
                  <c:v>320.82542418571427</c:v>
                </c:pt>
                <c:pt idx="63">
                  <c:v>295.67700197142852</c:v>
                </c:pt>
                <c:pt idx="64">
                  <c:v>358.4028538428571</c:v>
                </c:pt>
                <c:pt idx="65">
                  <c:v>415.37771607142855</c:v>
                </c:pt>
                <c:pt idx="66">
                  <c:v>388.02957154285713</c:v>
                </c:pt>
                <c:pt idx="67">
                  <c:v>189.56900242857142</c:v>
                </c:pt>
                <c:pt idx="68">
                  <c:v>140.97214290000002</c:v>
                </c:pt>
                <c:pt idx="69">
                  <c:v>114.69700078571428</c:v>
                </c:pt>
                <c:pt idx="70">
                  <c:v>99.656284881428547</c:v>
                </c:pt>
                <c:pt idx="71">
                  <c:v>88.480572290000026</c:v>
                </c:pt>
                <c:pt idx="72">
                  <c:v>98.34657178714285</c:v>
                </c:pt>
                <c:pt idx="73">
                  <c:v>88.19400133428573</c:v>
                </c:pt>
                <c:pt idx="74">
                  <c:v>67.392570495714281</c:v>
                </c:pt>
                <c:pt idx="75">
                  <c:v>74.302856445714283</c:v>
                </c:pt>
                <c:pt idx="76">
                  <c:v>70.370715551428574</c:v>
                </c:pt>
                <c:pt idx="77">
                  <c:v>60.400571005714291</c:v>
                </c:pt>
                <c:pt idx="78">
                  <c:v>66.665999275714285</c:v>
                </c:pt>
                <c:pt idx="79">
                  <c:v>66.009428840000012</c:v>
                </c:pt>
                <c:pt idx="80">
                  <c:v>61.976286207142856</c:v>
                </c:pt>
                <c:pt idx="81">
                  <c:v>56.385429927142859</c:v>
                </c:pt>
                <c:pt idx="82">
                  <c:v>63.196000779999999</c:v>
                </c:pt>
                <c:pt idx="83">
                  <c:v>61.839428492857145</c:v>
                </c:pt>
                <c:pt idx="84">
                  <c:v>59.987286159999996</c:v>
                </c:pt>
                <c:pt idx="85">
                  <c:v>63.141999381428562</c:v>
                </c:pt>
                <c:pt idx="86">
                  <c:v>62.449570247142852</c:v>
                </c:pt>
                <c:pt idx="87">
                  <c:v>62.160142081428567</c:v>
                </c:pt>
                <c:pt idx="88">
                  <c:v>63.491571698571427</c:v>
                </c:pt>
                <c:pt idx="89">
                  <c:v>66.366000039999989</c:v>
                </c:pt>
                <c:pt idx="90">
                  <c:v>75.45028468428572</c:v>
                </c:pt>
                <c:pt idx="91">
                  <c:v>78.309284754285713</c:v>
                </c:pt>
                <c:pt idx="92">
                  <c:v>79.701571872857144</c:v>
                </c:pt>
                <c:pt idx="93">
                  <c:v>71.140427727142864</c:v>
                </c:pt>
                <c:pt idx="94">
                  <c:v>66.382999420000004</c:v>
                </c:pt>
                <c:pt idx="95">
                  <c:v>67.872285570000003</c:v>
                </c:pt>
                <c:pt idx="96">
                  <c:v>64.557143075714279</c:v>
                </c:pt>
                <c:pt idx="97">
                  <c:v>48.114428929999988</c:v>
                </c:pt>
                <c:pt idx="98">
                  <c:v>75.949856894285716</c:v>
                </c:pt>
                <c:pt idx="99">
                  <c:v>115.94985689428501</c:v>
                </c:pt>
                <c:pt idx="100">
                  <c:v>179.40442985714284</c:v>
                </c:pt>
                <c:pt idx="101">
                  <c:v>180.05014475714285</c:v>
                </c:pt>
                <c:pt idx="102">
                  <c:v>179.9772862142857</c:v>
                </c:pt>
                <c:pt idx="103">
                  <c:v>180.17299980000001</c:v>
                </c:pt>
                <c:pt idx="104">
                  <c:v>180.25871278571432</c:v>
                </c:pt>
                <c:pt idx="105">
                  <c:v>180.17585754285713</c:v>
                </c:pt>
                <c:pt idx="106">
                  <c:v>180.45157077142858</c:v>
                </c:pt>
                <c:pt idx="107">
                  <c:v>200.41585867142899</c:v>
                </c:pt>
                <c:pt idx="108">
                  <c:v>288.91129194285719</c:v>
                </c:pt>
                <c:pt idx="109">
                  <c:v>435.79956928571431</c:v>
                </c:pt>
                <c:pt idx="110">
                  <c:v>435.79956928571403</c:v>
                </c:pt>
                <c:pt idx="111">
                  <c:v>441.50872366768942</c:v>
                </c:pt>
                <c:pt idx="112">
                  <c:v>390.83399745714286</c:v>
                </c:pt>
                <c:pt idx="113">
                  <c:v>377.74852497494402</c:v>
                </c:pt>
                <c:pt idx="114">
                  <c:v>559.81058175223166</c:v>
                </c:pt>
                <c:pt idx="115">
                  <c:v>323.97713797432982</c:v>
                </c:pt>
                <c:pt idx="116">
                  <c:v>381.44857142857143</c:v>
                </c:pt>
                <c:pt idx="117">
                  <c:v>593.21614728655084</c:v>
                </c:pt>
                <c:pt idx="118">
                  <c:v>348.80585371428572</c:v>
                </c:pt>
                <c:pt idx="119">
                  <c:v>176.68314470563573</c:v>
                </c:pt>
                <c:pt idx="120">
                  <c:v>174.68314470563601</c:v>
                </c:pt>
                <c:pt idx="121">
                  <c:v>119.01714285714286</c:v>
                </c:pt>
                <c:pt idx="122">
                  <c:v>110.76885659354043</c:v>
                </c:pt>
                <c:pt idx="123">
                  <c:v>101.37014225551034</c:v>
                </c:pt>
                <c:pt idx="124">
                  <c:v>97.459857395716909</c:v>
                </c:pt>
                <c:pt idx="125">
                  <c:v>89.468571255714281</c:v>
                </c:pt>
                <c:pt idx="126">
                  <c:v>76.892712184361002</c:v>
                </c:pt>
                <c:pt idx="127">
                  <c:v>81.342571802857151</c:v>
                </c:pt>
                <c:pt idx="128">
                  <c:v>74.786714827142859</c:v>
                </c:pt>
                <c:pt idx="129">
                  <c:v>70.028570991428566</c:v>
                </c:pt>
                <c:pt idx="130">
                  <c:v>73.483713422857136</c:v>
                </c:pt>
                <c:pt idx="131">
                  <c:v>71.609712874285705</c:v>
                </c:pt>
                <c:pt idx="132">
                  <c:v>70.704857962472062</c:v>
                </c:pt>
                <c:pt idx="133">
                  <c:v>70.704857962857133</c:v>
                </c:pt>
                <c:pt idx="134">
                  <c:v>63.379999978201695</c:v>
                </c:pt>
                <c:pt idx="135">
                  <c:v>71.012714930943048</c:v>
                </c:pt>
                <c:pt idx="136">
                  <c:v>68.504143305714294</c:v>
                </c:pt>
                <c:pt idx="137">
                  <c:v>67.757142747142865</c:v>
                </c:pt>
                <c:pt idx="138">
                  <c:v>64.803571428571402</c:v>
                </c:pt>
                <c:pt idx="139">
                  <c:v>61.738000054285713</c:v>
                </c:pt>
                <c:pt idx="140">
                  <c:v>59.887714115714203</c:v>
                </c:pt>
                <c:pt idx="141">
                  <c:v>64.924144199916256</c:v>
                </c:pt>
                <c:pt idx="142">
                  <c:v>70.514285495714276</c:v>
                </c:pt>
                <c:pt idx="143">
                  <c:v>63.012999943324473</c:v>
                </c:pt>
                <c:pt idx="144">
                  <c:v>66.388028771146395</c:v>
                </c:pt>
                <c:pt idx="145">
                  <c:v>62.769999368571426</c:v>
                </c:pt>
                <c:pt idx="146">
                  <c:v>52.281571524483752</c:v>
                </c:pt>
                <c:pt idx="147">
                  <c:v>53.939428057142855</c:v>
                </c:pt>
                <c:pt idx="148">
                  <c:v>62.510428837367428</c:v>
                </c:pt>
                <c:pt idx="149">
                  <c:v>53.200286319999996</c:v>
                </c:pt>
                <c:pt idx="150">
                  <c:v>58.334714617047958</c:v>
                </c:pt>
                <c:pt idx="151">
                  <c:v>50.089571816580602</c:v>
                </c:pt>
                <c:pt idx="152">
                  <c:v>60.034714289999997</c:v>
                </c:pt>
                <c:pt idx="153">
                  <c:v>60.558143069999993</c:v>
                </c:pt>
                <c:pt idx="154">
                  <c:v>76.682998657142861</c:v>
                </c:pt>
                <c:pt idx="155">
                  <c:v>82.013715471428569</c:v>
                </c:pt>
                <c:pt idx="156">
                  <c:v>128.12399947142856</c:v>
                </c:pt>
                <c:pt idx="157">
                  <c:v>121.34800174285715</c:v>
                </c:pt>
                <c:pt idx="158">
                  <c:v>86.206856863839235</c:v>
                </c:pt>
                <c:pt idx="159">
                  <c:v>104.57885634428571</c:v>
                </c:pt>
                <c:pt idx="160">
                  <c:v>154.74</c:v>
                </c:pt>
                <c:pt idx="161">
                  <c:v>309.78528267996586</c:v>
                </c:pt>
                <c:pt idx="162">
                  <c:v>292.54257421428571</c:v>
                </c:pt>
                <c:pt idx="163">
                  <c:v>394.95185634285707</c:v>
                </c:pt>
                <c:pt idx="164">
                  <c:v>266.61928667340914</c:v>
                </c:pt>
                <c:pt idx="165">
                  <c:v>184.85557120000001</c:v>
                </c:pt>
                <c:pt idx="166">
                  <c:v>247.99328395298497</c:v>
                </c:pt>
                <c:pt idx="167">
                  <c:v>277.09400067142855</c:v>
                </c:pt>
                <c:pt idx="168">
                  <c:v>314.86642892857134</c:v>
                </c:pt>
                <c:pt idx="169">
                  <c:v>246.36571175714286</c:v>
                </c:pt>
                <c:pt idx="170">
                  <c:v>194.54785592215356</c:v>
                </c:pt>
                <c:pt idx="171">
                  <c:v>124.93465999999998</c:v>
                </c:pt>
                <c:pt idx="172">
                  <c:v>97.393165588333332</c:v>
                </c:pt>
                <c:pt idx="173">
                  <c:v>77.381712777273933</c:v>
                </c:pt>
                <c:pt idx="174">
                  <c:v>111.58071461571429</c:v>
                </c:pt>
                <c:pt idx="175">
                  <c:v>89.146713256835753</c:v>
                </c:pt>
                <c:pt idx="176">
                  <c:v>78.5</c:v>
                </c:pt>
                <c:pt idx="177">
                  <c:v>72.335334774999993</c:v>
                </c:pt>
                <c:pt idx="178">
                  <c:v>67.575428553989909</c:v>
                </c:pt>
                <c:pt idx="179">
                  <c:v>61.094286782857139</c:v>
                </c:pt>
                <c:pt idx="180">
                  <c:v>62.802570887142849</c:v>
                </c:pt>
                <c:pt idx="181">
                  <c:v>57.371285574285714</c:v>
                </c:pt>
                <c:pt idx="182">
                  <c:v>54.740000043596503</c:v>
                </c:pt>
                <c:pt idx="183">
                  <c:v>56.718999589999996</c:v>
                </c:pt>
                <c:pt idx="184">
                  <c:v>50.593142918571424</c:v>
                </c:pt>
                <c:pt idx="185">
                  <c:v>46.488000052315826</c:v>
                </c:pt>
                <c:pt idx="186">
                  <c:v>54.620999472857143</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'13.Caudales'!$N$4:$O$190</c:f>
              <c:multiLvlStrCache>
                <c:ptCount val="187"/>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1">
                    <c:v>16</c:v>
                  </c:pt>
                  <c:pt idx="186">
                    <c:v>31</c:v>
                  </c:pt>
                </c:lvl>
                <c:lvl>
                  <c:pt idx="0">
                    <c:v>2020</c:v>
                  </c:pt>
                  <c:pt idx="52">
                    <c:v>2021</c:v>
                  </c:pt>
                  <c:pt idx="104">
                    <c:v>2022</c:v>
                  </c:pt>
                  <c:pt idx="156">
                    <c:v>2023</c:v>
                  </c:pt>
                </c:lvl>
              </c:multiLvlStrCache>
            </c:multiLvlStrRef>
          </c:cat>
          <c:val>
            <c:numRef>
              <c:f>'13.Caudales'!$T$4:$T$190</c:f>
              <c:numCache>
                <c:formatCode>_(* #,##0.00_);_(* \(#,##0.00\);_(* "-"??_);_(@_)</c:formatCode>
                <c:ptCount val="187"/>
                <c:pt idx="0">
                  <c:v>130.2321406773155</c:v>
                </c:pt>
                <c:pt idx="1">
                  <c:v>106.97614288285715</c:v>
                </c:pt>
                <c:pt idx="2">
                  <c:v>137.04186028571428</c:v>
                </c:pt>
                <c:pt idx="3">
                  <c:v>121.29742760000001</c:v>
                </c:pt>
                <c:pt idx="4">
                  <c:v>216.11300005714287</c:v>
                </c:pt>
                <c:pt idx="5">
                  <c:v>221.35714285714261</c:v>
                </c:pt>
                <c:pt idx="6">
                  <c:v>142.54771639999998</c:v>
                </c:pt>
                <c:pt idx="7">
                  <c:v>162.01200212751087</c:v>
                </c:pt>
                <c:pt idx="8">
                  <c:v>174.72028894285717</c:v>
                </c:pt>
                <c:pt idx="9">
                  <c:v>118.91071428571429</c:v>
                </c:pt>
                <c:pt idx="10">
                  <c:v>145.36899785714286</c:v>
                </c:pt>
                <c:pt idx="11">
                  <c:v>171.26185716901472</c:v>
                </c:pt>
                <c:pt idx="12">
                  <c:v>241.59529113769531</c:v>
                </c:pt>
                <c:pt idx="13">
                  <c:v>156.28586031428571</c:v>
                </c:pt>
                <c:pt idx="14">
                  <c:v>126.20242854857143</c:v>
                </c:pt>
                <c:pt idx="15">
                  <c:v>112.32742854857143</c:v>
                </c:pt>
                <c:pt idx="16">
                  <c:v>86.636999947684131</c:v>
                </c:pt>
                <c:pt idx="17">
                  <c:v>95.79771531714286</c:v>
                </c:pt>
                <c:pt idx="18">
                  <c:v>63.654857091428575</c:v>
                </c:pt>
                <c:pt idx="19">
                  <c:v>63.017857142857146</c:v>
                </c:pt>
                <c:pt idx="20">
                  <c:v>55.553428649902308</c:v>
                </c:pt>
                <c:pt idx="21">
                  <c:v>48.85114288285714</c:v>
                </c:pt>
                <c:pt idx="22">
                  <c:v>49.02971431142857</c:v>
                </c:pt>
                <c:pt idx="23">
                  <c:v>39.363000052315797</c:v>
                </c:pt>
                <c:pt idx="24">
                  <c:v>31.88514287142857</c:v>
                </c:pt>
                <c:pt idx="25">
                  <c:v>29.80342864857143</c:v>
                </c:pt>
                <c:pt idx="26">
                  <c:v>28.875142778669062</c:v>
                </c:pt>
                <c:pt idx="27">
                  <c:v>27.071428571428573</c:v>
                </c:pt>
                <c:pt idx="28">
                  <c:v>26.369142805714286</c:v>
                </c:pt>
                <c:pt idx="29">
                  <c:v>23.077571325714285</c:v>
                </c:pt>
                <c:pt idx="30">
                  <c:v>20.36314283098493</c:v>
                </c:pt>
                <c:pt idx="31">
                  <c:v>20.36</c:v>
                </c:pt>
                <c:pt idx="32">
                  <c:v>23.369000025714286</c:v>
                </c:pt>
                <c:pt idx="33">
                  <c:v>24.434428622857144</c:v>
                </c:pt>
                <c:pt idx="34">
                  <c:v>21.077428545270632</c:v>
                </c:pt>
                <c:pt idx="35">
                  <c:v>23.857142857142815</c:v>
                </c:pt>
                <c:pt idx="36">
                  <c:v>21.696428571428545</c:v>
                </c:pt>
                <c:pt idx="37">
                  <c:v>32.958285740443614</c:v>
                </c:pt>
                <c:pt idx="38">
                  <c:v>41.827428545714284</c:v>
                </c:pt>
                <c:pt idx="39">
                  <c:v>30.178571428571427</c:v>
                </c:pt>
                <c:pt idx="40">
                  <c:v>24.547571454285713</c:v>
                </c:pt>
                <c:pt idx="41">
                  <c:v>41.773857116699205</c:v>
                </c:pt>
                <c:pt idx="42">
                  <c:v>39.60114288285714</c:v>
                </c:pt>
                <c:pt idx="43">
                  <c:v>36.702285765714286</c:v>
                </c:pt>
                <c:pt idx="44">
                  <c:v>27.797571454285713</c:v>
                </c:pt>
                <c:pt idx="45">
                  <c:v>32.208285740000001</c:v>
                </c:pt>
                <c:pt idx="46">
                  <c:v>25.351285662857144</c:v>
                </c:pt>
                <c:pt idx="47">
                  <c:v>37.994142805714283</c:v>
                </c:pt>
                <c:pt idx="48">
                  <c:v>88.630856108571422</c:v>
                </c:pt>
                <c:pt idx="49">
                  <c:v>44.297571454285716</c:v>
                </c:pt>
                <c:pt idx="50">
                  <c:v>77.60742949714286</c:v>
                </c:pt>
                <c:pt idx="51">
                  <c:v>158.34513965714288</c:v>
                </c:pt>
                <c:pt idx="52">
                  <c:v>212.58328465714288</c:v>
                </c:pt>
                <c:pt idx="53">
                  <c:v>154.41086031428571</c:v>
                </c:pt>
                <c:pt idx="54">
                  <c:v>185.14285714285714</c:v>
                </c:pt>
                <c:pt idx="55">
                  <c:v>156.14856614285716</c:v>
                </c:pt>
                <c:pt idx="56">
                  <c:v>108.66671425714286</c:v>
                </c:pt>
                <c:pt idx="57">
                  <c:v>132.98228671428572</c:v>
                </c:pt>
                <c:pt idx="58">
                  <c:v>91.321428571428569</c:v>
                </c:pt>
                <c:pt idx="59">
                  <c:v>104.375</c:v>
                </c:pt>
                <c:pt idx="60">
                  <c:v>81.571428571428527</c:v>
                </c:pt>
                <c:pt idx="61">
                  <c:v>146.17256928571427</c:v>
                </c:pt>
                <c:pt idx="62">
                  <c:v>138.12514602857144</c:v>
                </c:pt>
                <c:pt idx="63">
                  <c:v>176.22028785714286</c:v>
                </c:pt>
                <c:pt idx="64">
                  <c:v>161.61914497142857</c:v>
                </c:pt>
                <c:pt idx="65">
                  <c:v>180.97614180000002</c:v>
                </c:pt>
                <c:pt idx="66">
                  <c:v>187.79186137142855</c:v>
                </c:pt>
                <c:pt idx="67">
                  <c:v>107.50585611428572</c:v>
                </c:pt>
                <c:pt idx="68">
                  <c:v>90.738142825714277</c:v>
                </c:pt>
                <c:pt idx="69">
                  <c:v>67.130999974285714</c:v>
                </c:pt>
                <c:pt idx="70">
                  <c:v>64.428571428571431</c:v>
                </c:pt>
                <c:pt idx="71">
                  <c:v>61.482142857142854</c:v>
                </c:pt>
                <c:pt idx="72">
                  <c:v>63.72614288285714</c:v>
                </c:pt>
                <c:pt idx="73">
                  <c:v>49.041857040000004</c:v>
                </c:pt>
                <c:pt idx="74">
                  <c:v>49.232000077142857</c:v>
                </c:pt>
                <c:pt idx="75">
                  <c:v>54.952285765714286</c:v>
                </c:pt>
                <c:pt idx="76">
                  <c:v>39.565571377142859</c:v>
                </c:pt>
                <c:pt idx="77">
                  <c:v>43.083285740000001</c:v>
                </c:pt>
                <c:pt idx="78">
                  <c:v>33.029857091428575</c:v>
                </c:pt>
                <c:pt idx="79">
                  <c:v>29.922571454285713</c:v>
                </c:pt>
                <c:pt idx="80">
                  <c:v>30.851285662857144</c:v>
                </c:pt>
                <c:pt idx="81">
                  <c:v>26.327428545714287</c:v>
                </c:pt>
                <c:pt idx="82">
                  <c:v>30.940428597142859</c:v>
                </c:pt>
                <c:pt idx="83">
                  <c:v>23.267714362857141</c:v>
                </c:pt>
                <c:pt idx="84">
                  <c:v>22.755999974285714</c:v>
                </c:pt>
                <c:pt idx="85">
                  <c:v>21.678714208571428</c:v>
                </c:pt>
                <c:pt idx="86">
                  <c:v>29.398714337142856</c:v>
                </c:pt>
                <c:pt idx="87">
                  <c:v>24.535714285714285</c:v>
                </c:pt>
                <c:pt idx="88">
                  <c:v>33.851285662857144</c:v>
                </c:pt>
                <c:pt idx="89">
                  <c:v>30.833285740000001</c:v>
                </c:pt>
                <c:pt idx="90">
                  <c:v>25.431428635714287</c:v>
                </c:pt>
                <c:pt idx="91">
                  <c:v>54.744000025714286</c:v>
                </c:pt>
                <c:pt idx="92">
                  <c:v>50.934571402857145</c:v>
                </c:pt>
                <c:pt idx="93">
                  <c:v>43.184428622857141</c:v>
                </c:pt>
                <c:pt idx="94">
                  <c:v>36.916714259999999</c:v>
                </c:pt>
                <c:pt idx="95">
                  <c:v>41.726285662857144</c:v>
                </c:pt>
                <c:pt idx="96">
                  <c:v>47.85114288285714</c:v>
                </c:pt>
                <c:pt idx="97">
                  <c:v>58.976285662857144</c:v>
                </c:pt>
                <c:pt idx="98">
                  <c:v>107.95228576857143</c:v>
                </c:pt>
                <c:pt idx="99">
                  <c:v>116.577285768571</c:v>
                </c:pt>
                <c:pt idx="100">
                  <c:v>143.97028568571429</c:v>
                </c:pt>
                <c:pt idx="101">
                  <c:v>105.38685716857142</c:v>
                </c:pt>
                <c:pt idx="102">
                  <c:v>14.57142870857143</c:v>
                </c:pt>
                <c:pt idx="103">
                  <c:v>59.892857142857146</c:v>
                </c:pt>
                <c:pt idx="104">
                  <c:v>53.005857194285717</c:v>
                </c:pt>
                <c:pt idx="105">
                  <c:v>85.154714317142862</c:v>
                </c:pt>
                <c:pt idx="106">
                  <c:v>79.166570397142863</c:v>
                </c:pt>
                <c:pt idx="107">
                  <c:v>156.24399677142856</c:v>
                </c:pt>
                <c:pt idx="108">
                  <c:v>182</c:v>
                </c:pt>
                <c:pt idx="109">
                  <c:v>179.08343068571426</c:v>
                </c:pt>
                <c:pt idx="110">
                  <c:v>195.28190973333301</c:v>
                </c:pt>
                <c:pt idx="111">
                  <c:v>167.45813860212002</c:v>
                </c:pt>
                <c:pt idx="112">
                  <c:v>152.44642748571428</c:v>
                </c:pt>
                <c:pt idx="113">
                  <c:v>177.15485925714287</c:v>
                </c:pt>
                <c:pt idx="114">
                  <c:v>223.70857456752233</c:v>
                </c:pt>
                <c:pt idx="115">
                  <c:v>151.51800210135301</c:v>
                </c:pt>
                <c:pt idx="116">
                  <c:v>178.99571428571431</c:v>
                </c:pt>
                <c:pt idx="117">
                  <c:v>183.63700212751101</c:v>
                </c:pt>
                <c:pt idx="118">
                  <c:v>124.73814282857143</c:v>
                </c:pt>
                <c:pt idx="119">
                  <c:v>78.339428492954767</c:v>
                </c:pt>
                <c:pt idx="120">
                  <c:v>73.639428492954806</c:v>
                </c:pt>
                <c:pt idx="121">
                  <c:v>55.180000000000007</c:v>
                </c:pt>
                <c:pt idx="122">
                  <c:v>59.773714338030103</c:v>
                </c:pt>
                <c:pt idx="123">
                  <c:v>76.803571428571416</c:v>
                </c:pt>
                <c:pt idx="124">
                  <c:v>50.738285609653985</c:v>
                </c:pt>
                <c:pt idx="125">
                  <c:v>47.993857245714288</c:v>
                </c:pt>
                <c:pt idx="126">
                  <c:v>57.958285740443614</c:v>
                </c:pt>
                <c:pt idx="127">
                  <c:v>44.565714157142857</c:v>
                </c:pt>
                <c:pt idx="128">
                  <c:v>37.470142908571425</c:v>
                </c:pt>
                <c:pt idx="129">
                  <c:v>32.059714182857142</c:v>
                </c:pt>
                <c:pt idx="130">
                  <c:v>28.196285791428572</c:v>
                </c:pt>
                <c:pt idx="131">
                  <c:v>29.315428597142859</c:v>
                </c:pt>
                <c:pt idx="132">
                  <c:v>28.869000026157888</c:v>
                </c:pt>
                <c:pt idx="133">
                  <c:v>27.43799999714286</c:v>
                </c:pt>
                <c:pt idx="134">
                  <c:v>26.440285818917356</c:v>
                </c:pt>
                <c:pt idx="135">
                  <c:v>46.172571454729322</c:v>
                </c:pt>
                <c:pt idx="136">
                  <c:v>27.946428571428573</c:v>
                </c:pt>
                <c:pt idx="137">
                  <c:v>25.892714362857141</c:v>
                </c:pt>
                <c:pt idx="138">
                  <c:v>24.232000078473732</c:v>
                </c:pt>
                <c:pt idx="139">
                  <c:v>22.238142831428572</c:v>
                </c:pt>
                <c:pt idx="140">
                  <c:v>22.866306149296399</c:v>
                </c:pt>
                <c:pt idx="141">
                  <c:v>29.702428545270628</c:v>
                </c:pt>
                <c:pt idx="142">
                  <c:v>38.059571402857145</c:v>
                </c:pt>
                <c:pt idx="143">
                  <c:v>36.791714259556329</c:v>
                </c:pt>
                <c:pt idx="144">
                  <c:v>43.221755070626699</c:v>
                </c:pt>
                <c:pt idx="145">
                  <c:v>38</c:v>
                </c:pt>
                <c:pt idx="146">
                  <c:v>34.410571507045155</c:v>
                </c:pt>
                <c:pt idx="147">
                  <c:v>27.107142857142858</c:v>
                </c:pt>
                <c:pt idx="148">
                  <c:v>29.329142979213128</c:v>
                </c:pt>
                <c:pt idx="149">
                  <c:v>26.72028568857143</c:v>
                </c:pt>
                <c:pt idx="150">
                  <c:v>27.404714311872173</c:v>
                </c:pt>
                <c:pt idx="151">
                  <c:v>25.464285714285698</c:v>
                </c:pt>
                <c:pt idx="152">
                  <c:v>26.208285740000001</c:v>
                </c:pt>
                <c:pt idx="153">
                  <c:v>47.559571402857145</c:v>
                </c:pt>
                <c:pt idx="154">
                  <c:v>47.559571402857145</c:v>
                </c:pt>
                <c:pt idx="155">
                  <c:v>71.637142725714284</c:v>
                </c:pt>
                <c:pt idx="156">
                  <c:v>120.91071428857143</c:v>
                </c:pt>
                <c:pt idx="157">
                  <c:v>63.964285714285715</c:v>
                </c:pt>
                <c:pt idx="158">
                  <c:v>66.660714285714292</c:v>
                </c:pt>
                <c:pt idx="159">
                  <c:v>85.190571371428561</c:v>
                </c:pt>
                <c:pt idx="160">
                  <c:v>146.63999999999999</c:v>
                </c:pt>
                <c:pt idx="161">
                  <c:v>176.99399893624403</c:v>
                </c:pt>
                <c:pt idx="162">
                  <c:v>150.71</c:v>
                </c:pt>
                <c:pt idx="163">
                  <c:v>196.54171534285712</c:v>
                </c:pt>
                <c:pt idx="164">
                  <c:v>110.57742745535673</c:v>
                </c:pt>
                <c:pt idx="165">
                  <c:v>94.220285682857138</c:v>
                </c:pt>
                <c:pt idx="166">
                  <c:v>119.81542750767285</c:v>
                </c:pt>
                <c:pt idx="167">
                  <c:v>120.231999</c:v>
                </c:pt>
                <c:pt idx="168">
                  <c:v>181.93442862857142</c:v>
                </c:pt>
                <c:pt idx="169">
                  <c:v>126.89285714285714</c:v>
                </c:pt>
                <c:pt idx="170">
                  <c:v>95.922428676060008</c:v>
                </c:pt>
                <c:pt idx="171">
                  <c:v>80.701999999999998</c:v>
                </c:pt>
                <c:pt idx="172">
                  <c:v>55.785714285714285</c:v>
                </c:pt>
                <c:pt idx="173">
                  <c:v>45.077285766601527</c:v>
                </c:pt>
                <c:pt idx="174">
                  <c:v>143.95242746</c:v>
                </c:pt>
                <c:pt idx="175">
                  <c:v>64.565428597586461</c:v>
                </c:pt>
                <c:pt idx="176">
                  <c:v>46.94</c:v>
                </c:pt>
                <c:pt idx="177">
                  <c:v>42.863000051428571</c:v>
                </c:pt>
                <c:pt idx="178">
                  <c:v>37.190428597586461</c:v>
                </c:pt>
                <c:pt idx="179">
                  <c:v>34.446571351428574</c:v>
                </c:pt>
                <c:pt idx="180">
                  <c:v>30.250142780000001</c:v>
                </c:pt>
                <c:pt idx="181">
                  <c:v>27.273857117142857</c:v>
                </c:pt>
                <c:pt idx="182">
                  <c:v>24.833428519112715</c:v>
                </c:pt>
                <c:pt idx="183">
                  <c:v>23.232142857142858</c:v>
                </c:pt>
                <c:pt idx="184">
                  <c:v>22.916714259999999</c:v>
                </c:pt>
                <c:pt idx="185">
                  <c:v>22</c:v>
                </c:pt>
                <c:pt idx="186">
                  <c:v>24.68</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'13.Caudales'!$N$4:$O$190</c:f>
              <c:multiLvlStrCache>
                <c:ptCount val="187"/>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1">
                    <c:v>16</c:v>
                  </c:pt>
                  <c:pt idx="186">
                    <c:v>31</c:v>
                  </c:pt>
                </c:lvl>
                <c:lvl>
                  <c:pt idx="0">
                    <c:v>2020</c:v>
                  </c:pt>
                  <c:pt idx="52">
                    <c:v>2021</c:v>
                  </c:pt>
                  <c:pt idx="104">
                    <c:v>2022</c:v>
                  </c:pt>
                  <c:pt idx="156">
                    <c:v>2023</c:v>
                  </c:pt>
                </c:lvl>
              </c:multiLvlStrCache>
            </c:multiLvlStrRef>
          </c:cat>
          <c:val>
            <c:numRef>
              <c:f>'13.Caudales'!$U$4:$U$190</c:f>
              <c:numCache>
                <c:formatCode>_(* #,##0.00_);_(* \(#,##0.00\);_(* "-"??_);_(@_)</c:formatCode>
                <c:ptCount val="187"/>
                <c:pt idx="0">
                  <c:v>24.27742849077493</c:v>
                </c:pt>
                <c:pt idx="1">
                  <c:v>30.680286678571431</c:v>
                </c:pt>
                <c:pt idx="2">
                  <c:v>40.240000044285715</c:v>
                </c:pt>
                <c:pt idx="3">
                  <c:v>26.470714297142855</c:v>
                </c:pt>
                <c:pt idx="4">
                  <c:v>48.707714625714289</c:v>
                </c:pt>
                <c:pt idx="5">
                  <c:v>51.925000326974022</c:v>
                </c:pt>
                <c:pt idx="6">
                  <c:v>37.997142247142854</c:v>
                </c:pt>
                <c:pt idx="7">
                  <c:v>30.780285699026873</c:v>
                </c:pt>
                <c:pt idx="8">
                  <c:v>36.13400023285714</c:v>
                </c:pt>
                <c:pt idx="9">
                  <c:v>22.61842863857143</c:v>
                </c:pt>
                <c:pt idx="10">
                  <c:v>39.343428748571434</c:v>
                </c:pt>
                <c:pt idx="11">
                  <c:v>46.286999838692772</c:v>
                </c:pt>
                <c:pt idx="12">
                  <c:v>63.414285387311629</c:v>
                </c:pt>
                <c:pt idx="13">
                  <c:v>40.567142485714285</c:v>
                </c:pt>
                <c:pt idx="14">
                  <c:v>27.609000341428576</c:v>
                </c:pt>
                <c:pt idx="15">
                  <c:v>23.319143022857144</c:v>
                </c:pt>
                <c:pt idx="16">
                  <c:v>19.662570953369116</c:v>
                </c:pt>
                <c:pt idx="17">
                  <c:v>21.329571314285715</c:v>
                </c:pt>
                <c:pt idx="18">
                  <c:v>18.961428234285709</c:v>
                </c:pt>
                <c:pt idx="19">
                  <c:v>17.724285941428572</c:v>
                </c:pt>
                <c:pt idx="20">
                  <c:v>14.547714369637587</c:v>
                </c:pt>
                <c:pt idx="21">
                  <c:v>12.851142882857143</c:v>
                </c:pt>
                <c:pt idx="22">
                  <c:v>13.300571305714286</c:v>
                </c:pt>
                <c:pt idx="23">
                  <c:v>11.205857140677287</c:v>
                </c:pt>
                <c:pt idx="24">
                  <c:v>9.1724285395714276</c:v>
                </c:pt>
                <c:pt idx="25">
                  <c:v>8.6642858641428564</c:v>
                </c:pt>
                <c:pt idx="26">
                  <c:v>8.3150001253400507</c:v>
                </c:pt>
                <c:pt idx="27">
                  <c:v>7.9792855807142846</c:v>
                </c:pt>
                <c:pt idx="28">
                  <c:v>7.2952857698571441</c:v>
                </c:pt>
                <c:pt idx="29">
                  <c:v>7.5452858379999999</c:v>
                </c:pt>
                <c:pt idx="30">
                  <c:v>7.1267142297142865</c:v>
                </c:pt>
                <c:pt idx="31">
                  <c:v>6.828428472791396</c:v>
                </c:pt>
                <c:pt idx="32">
                  <c:v>6.6690000125714279</c:v>
                </c:pt>
                <c:pt idx="33">
                  <c:v>6.6477142742857138</c:v>
                </c:pt>
                <c:pt idx="34">
                  <c:v>6.0071428843906904</c:v>
                </c:pt>
                <c:pt idx="35">
                  <c:v>6.0528572627476231</c:v>
                </c:pt>
                <c:pt idx="36">
                  <c:v>5.992857115609298</c:v>
                </c:pt>
                <c:pt idx="37">
                  <c:v>6.3054285049438423</c:v>
                </c:pt>
                <c:pt idx="38">
                  <c:v>7.6855713981428568</c:v>
                </c:pt>
                <c:pt idx="39">
                  <c:v>7.8047143392857157</c:v>
                </c:pt>
                <c:pt idx="40">
                  <c:v>6.762428624428571</c:v>
                </c:pt>
                <c:pt idx="41">
                  <c:v>7.8334286553519048</c:v>
                </c:pt>
                <c:pt idx="42">
                  <c:v>6.4934286387142857</c:v>
                </c:pt>
                <c:pt idx="43">
                  <c:v>5.6301428931428577</c:v>
                </c:pt>
                <c:pt idx="44">
                  <c:v>5.3054286411428562</c:v>
                </c:pt>
                <c:pt idx="45">
                  <c:v>5.1785714285714288</c:v>
                </c:pt>
                <c:pt idx="46">
                  <c:v>6.1274285315714279</c:v>
                </c:pt>
                <c:pt idx="47">
                  <c:v>8.188285623714286</c:v>
                </c:pt>
                <c:pt idx="48">
                  <c:v>14.530285971857142</c:v>
                </c:pt>
                <c:pt idx="49">
                  <c:v>9.220428467142856</c:v>
                </c:pt>
                <c:pt idx="50">
                  <c:v>9.7118571817142847</c:v>
                </c:pt>
                <c:pt idx="51">
                  <c:v>34.910285677142852</c:v>
                </c:pt>
                <c:pt idx="52">
                  <c:v>44.205428261428565</c:v>
                </c:pt>
                <c:pt idx="53">
                  <c:v>27.91428565857143</c:v>
                </c:pt>
                <c:pt idx="54">
                  <c:v>39.37385668142857</c:v>
                </c:pt>
                <c:pt idx="55">
                  <c:v>23.497714179999999</c:v>
                </c:pt>
                <c:pt idx="56">
                  <c:v>21.321428571428573</c:v>
                </c:pt>
                <c:pt idx="57">
                  <c:v>30.396999359999999</c:v>
                </c:pt>
                <c:pt idx="58">
                  <c:v>18.5625</c:v>
                </c:pt>
                <c:pt idx="59">
                  <c:v>21.619</c:v>
                </c:pt>
                <c:pt idx="60">
                  <c:v>19.778999873570012</c:v>
                </c:pt>
                <c:pt idx="61">
                  <c:v>29.352285658571429</c:v>
                </c:pt>
                <c:pt idx="62">
                  <c:v>28.100000654285715</c:v>
                </c:pt>
                <c:pt idx="63">
                  <c:v>43.393999101428577</c:v>
                </c:pt>
                <c:pt idx="64">
                  <c:v>39.082286288571431</c:v>
                </c:pt>
                <c:pt idx="65">
                  <c:v>40.325571332857145</c:v>
                </c:pt>
                <c:pt idx="66">
                  <c:v>52.19757080285715</c:v>
                </c:pt>
                <c:pt idx="67">
                  <c:v>28.65042877285714</c:v>
                </c:pt>
                <c:pt idx="68">
                  <c:v>20.563142504285715</c:v>
                </c:pt>
                <c:pt idx="69">
                  <c:v>16.68214280285714</c:v>
                </c:pt>
                <c:pt idx="70">
                  <c:v>17.039285524285713</c:v>
                </c:pt>
                <c:pt idx="71">
                  <c:v>13.813714164285713</c:v>
                </c:pt>
                <c:pt idx="72">
                  <c:v>14.927285738571429</c:v>
                </c:pt>
                <c:pt idx="73">
                  <c:v>12.11642851</c:v>
                </c:pt>
                <c:pt idx="74">
                  <c:v>10.973142897142859</c:v>
                </c:pt>
                <c:pt idx="75">
                  <c:v>10.649856976285715</c:v>
                </c:pt>
                <c:pt idx="76">
                  <c:v>8.8067141942857141</c:v>
                </c:pt>
                <c:pt idx="77">
                  <c:v>8.6310001098571423</c:v>
                </c:pt>
                <c:pt idx="78">
                  <c:v>7.6702857698571432</c:v>
                </c:pt>
                <c:pt idx="79">
                  <c:v>6.9708570752857142</c:v>
                </c:pt>
                <c:pt idx="80">
                  <c:v>7.1941427504285702</c:v>
                </c:pt>
                <c:pt idx="81">
                  <c:v>6.6857143130000001</c:v>
                </c:pt>
                <c:pt idx="82">
                  <c:v>7.3144286019999996</c:v>
                </c:pt>
                <c:pt idx="83">
                  <c:v>6.1658571107142865</c:v>
                </c:pt>
                <c:pt idx="84">
                  <c:v>5.9981428554285712</c:v>
                </c:pt>
                <c:pt idx="85">
                  <c:v>5.9428571975714277</c:v>
                </c:pt>
                <c:pt idx="86">
                  <c:v>5.5928570885714288</c:v>
                </c:pt>
                <c:pt idx="87">
                  <c:v>5.7147143908571421</c:v>
                </c:pt>
                <c:pt idx="88">
                  <c:v>6.5815715108571435</c:v>
                </c:pt>
                <c:pt idx="89">
                  <c:v>6.3408571651428574</c:v>
                </c:pt>
                <c:pt idx="90">
                  <c:v>6.8902856279999991</c:v>
                </c:pt>
                <c:pt idx="91">
                  <c:v>7.7940000801428573</c:v>
                </c:pt>
                <c:pt idx="92">
                  <c:v>8.9731427602857146</c:v>
                </c:pt>
                <c:pt idx="93">
                  <c:v>9.1315714969999995</c:v>
                </c:pt>
                <c:pt idx="94">
                  <c:v>8.3171428948571435</c:v>
                </c:pt>
                <c:pt idx="95">
                  <c:v>8.7617143898571435</c:v>
                </c:pt>
                <c:pt idx="96">
                  <c:v>8.1029998912857142</c:v>
                </c:pt>
                <c:pt idx="97">
                  <c:v>7.6644285747142851</c:v>
                </c:pt>
                <c:pt idx="98">
                  <c:v>21.278142930000001</c:v>
                </c:pt>
                <c:pt idx="99">
                  <c:v>25.523666837380901</c:v>
                </c:pt>
                <c:pt idx="100">
                  <c:v>24.464857102857142</c:v>
                </c:pt>
                <c:pt idx="101">
                  <c:v>15.326142855714284</c:v>
                </c:pt>
                <c:pt idx="102">
                  <c:v>5</c:v>
                </c:pt>
                <c:pt idx="103">
                  <c:v>9.771428653000001</c:v>
                </c:pt>
                <c:pt idx="104">
                  <c:v>8.6221429277142843</c:v>
                </c:pt>
                <c:pt idx="105">
                  <c:v>16.483285767857144</c:v>
                </c:pt>
                <c:pt idx="106">
                  <c:v>14.234428677142859</c:v>
                </c:pt>
                <c:pt idx="107">
                  <c:v>35.655428067142857</c:v>
                </c:pt>
                <c:pt idx="108">
                  <c:v>43.192856380000002</c:v>
                </c:pt>
                <c:pt idx="109">
                  <c:v>33.553428921428569</c:v>
                </c:pt>
                <c:pt idx="110">
                  <c:v>35.365238643809498</c:v>
                </c:pt>
                <c:pt idx="111">
                  <c:v>52.961428506033734</c:v>
                </c:pt>
                <c:pt idx="112">
                  <c:v>60.130286080000005</c:v>
                </c:pt>
                <c:pt idx="113">
                  <c:v>62.624940787617</c:v>
                </c:pt>
                <c:pt idx="114">
                  <c:v>65.082142966134157</c:v>
                </c:pt>
                <c:pt idx="115">
                  <c:v>38.394142695835612</c:v>
                </c:pt>
                <c:pt idx="116">
                  <c:v>36.35</c:v>
                </c:pt>
                <c:pt idx="117">
                  <c:v>45.316000257219557</c:v>
                </c:pt>
                <c:pt idx="118">
                  <c:v>26.343714578571426</c:v>
                </c:pt>
                <c:pt idx="119">
                  <c:v>19.653713771275072</c:v>
                </c:pt>
                <c:pt idx="120">
                  <c:v>18.143000000000001</c:v>
                </c:pt>
                <c:pt idx="121">
                  <c:v>17.828571428571429</c:v>
                </c:pt>
                <c:pt idx="122">
                  <c:v>15.455142838614288</c:v>
                </c:pt>
                <c:pt idx="123">
                  <c:v>17.032571247645741</c:v>
                </c:pt>
                <c:pt idx="124">
                  <c:v>13.328000204903701</c:v>
                </c:pt>
                <c:pt idx="125">
                  <c:v>14.01614271</c:v>
                </c:pt>
                <c:pt idx="126">
                  <c:v>15.881571360996745</c:v>
                </c:pt>
                <c:pt idx="127">
                  <c:v>11.95571436</c:v>
                </c:pt>
                <c:pt idx="128">
                  <c:v>10.698285784285716</c:v>
                </c:pt>
                <c:pt idx="129">
                  <c:v>11.252857207571427</c:v>
                </c:pt>
                <c:pt idx="130">
                  <c:v>8.894857134285715</c:v>
                </c:pt>
                <c:pt idx="131">
                  <c:v>8.5744282858571417</c:v>
                </c:pt>
                <c:pt idx="132">
                  <c:v>8.3951428277151887</c:v>
                </c:pt>
                <c:pt idx="133">
                  <c:v>8.4329999515714285</c:v>
                </c:pt>
                <c:pt idx="134">
                  <c:v>7.6332857949393071</c:v>
                </c:pt>
                <c:pt idx="135">
                  <c:v>10.471999985831093</c:v>
                </c:pt>
                <c:pt idx="136">
                  <c:v>7.9560000554285706</c:v>
                </c:pt>
                <c:pt idx="137">
                  <c:v>7.6575713838571433</c:v>
                </c:pt>
                <c:pt idx="138">
                  <c:v>6.8082856450762028</c:v>
                </c:pt>
                <c:pt idx="139">
                  <c:v>6.3390000000000004</c:v>
                </c:pt>
                <c:pt idx="140">
                  <c:v>5.7651427948238201</c:v>
                </c:pt>
                <c:pt idx="141">
                  <c:v>6.6742858205522735</c:v>
                </c:pt>
                <c:pt idx="142">
                  <c:v>7.1607142177142862</c:v>
                </c:pt>
                <c:pt idx="143">
                  <c:v>7.419142927442274</c:v>
                </c:pt>
                <c:pt idx="144">
                  <c:v>6.8784286265785504</c:v>
                </c:pt>
                <c:pt idx="145">
                  <c:v>9.4662852974285716</c:v>
                </c:pt>
                <c:pt idx="146">
                  <c:v>5.7607142584664448</c:v>
                </c:pt>
                <c:pt idx="147">
                  <c:v>5.9262857437142857</c:v>
                </c:pt>
                <c:pt idx="148">
                  <c:v>5.2147143227713402</c:v>
                </c:pt>
                <c:pt idx="149">
                  <c:v>6.1838571684285712</c:v>
                </c:pt>
                <c:pt idx="150">
                  <c:v>5.6749998501368912</c:v>
                </c:pt>
                <c:pt idx="151">
                  <c:v>5.2590000288827037</c:v>
                </c:pt>
                <c:pt idx="152">
                  <c:v>4.6138571330000007</c:v>
                </c:pt>
                <c:pt idx="153">
                  <c:v>9.325571467571427</c:v>
                </c:pt>
                <c:pt idx="154">
                  <c:v>9.325571467571427</c:v>
                </c:pt>
                <c:pt idx="155">
                  <c:v>27.029714380142856</c:v>
                </c:pt>
                <c:pt idx="156">
                  <c:v>7.7642858370000001</c:v>
                </c:pt>
                <c:pt idx="157">
                  <c:v>8.3012856074285715</c:v>
                </c:pt>
                <c:pt idx="158">
                  <c:v>13.8641426903861</c:v>
                </c:pt>
                <c:pt idx="159">
                  <c:v>19.117857387142859</c:v>
                </c:pt>
                <c:pt idx="160">
                  <c:v>16.501999999999999</c:v>
                </c:pt>
                <c:pt idx="161">
                  <c:v>28.743571690150638</c:v>
                </c:pt>
                <c:pt idx="162">
                  <c:v>26.15</c:v>
                </c:pt>
                <c:pt idx="163">
                  <c:v>45.88742882857143</c:v>
                </c:pt>
                <c:pt idx="164">
                  <c:v>28.721428462437206</c:v>
                </c:pt>
                <c:pt idx="165">
                  <c:v>24.092285701428573</c:v>
                </c:pt>
                <c:pt idx="166">
                  <c:v>36.970714841570135</c:v>
                </c:pt>
                <c:pt idx="167">
                  <c:v>35.331428525714287</c:v>
                </c:pt>
                <c:pt idx="168">
                  <c:v>43.063000269999996</c:v>
                </c:pt>
                <c:pt idx="169">
                  <c:v>36.577857699999996</c:v>
                </c:pt>
                <c:pt idx="170">
                  <c:v>21.657714026314832</c:v>
                </c:pt>
                <c:pt idx="171">
                  <c:v>17.350999999999999</c:v>
                </c:pt>
                <c:pt idx="172">
                  <c:v>13.676856995714287</c:v>
                </c:pt>
                <c:pt idx="173">
                  <c:v>11.102999959673172</c:v>
                </c:pt>
                <c:pt idx="174">
                  <c:v>28.217143328571431</c:v>
                </c:pt>
                <c:pt idx="175">
                  <c:v>16.260714122227231</c:v>
                </c:pt>
                <c:pt idx="176">
                  <c:v>12.207000000000001</c:v>
                </c:pt>
                <c:pt idx="177">
                  <c:v>12.157142775857142</c:v>
                </c:pt>
                <c:pt idx="178">
                  <c:v>9.1034287043980147</c:v>
                </c:pt>
                <c:pt idx="179">
                  <c:v>8.6151429584285726</c:v>
                </c:pt>
                <c:pt idx="180">
                  <c:v>7.9434285844285721</c:v>
                </c:pt>
                <c:pt idx="181">
                  <c:v>7.2757142611428574</c:v>
                </c:pt>
                <c:pt idx="182">
                  <c:v>6.8057142666407975</c:v>
                </c:pt>
                <c:pt idx="183">
                  <c:v>6.3595714567142849</c:v>
                </c:pt>
                <c:pt idx="184">
                  <c:v>6.3718571662857135</c:v>
                </c:pt>
                <c:pt idx="185">
                  <c:v>5.9559999193463957</c:v>
                </c:pt>
                <c:pt idx="186">
                  <c:v>6.04</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DE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'13.Caudales'!$N$4:$O$190</c:f>
              <c:multiLvlStrCache>
                <c:ptCount val="187"/>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1">
                    <c:v>16</c:v>
                  </c:pt>
                  <c:pt idx="186">
                    <c:v>31</c:v>
                  </c:pt>
                </c:lvl>
                <c:lvl>
                  <c:pt idx="0">
                    <c:v>2020</c:v>
                  </c:pt>
                  <c:pt idx="52">
                    <c:v>2021</c:v>
                  </c:pt>
                  <c:pt idx="104">
                    <c:v>2022</c:v>
                  </c:pt>
                  <c:pt idx="156">
                    <c:v>2023</c:v>
                  </c:pt>
                </c:lvl>
              </c:multiLvlStrCache>
            </c:multiLvlStrRef>
          </c:cat>
          <c:val>
            <c:numRef>
              <c:f>'13.Caudales'!$V$4:$V$190</c:f>
              <c:numCache>
                <c:formatCode>_(* #,##0.00_);_(* \(#,##0.00\);_(* "-"??_);_(@_)</c:formatCode>
                <c:ptCount val="187"/>
                <c:pt idx="0">
                  <c:v>14.514315741402715</c:v>
                </c:pt>
                <c:pt idx="1">
                  <c:v>13.21958133142857</c:v>
                </c:pt>
                <c:pt idx="2">
                  <c:v>16.855534282857143</c:v>
                </c:pt>
                <c:pt idx="3">
                  <c:v>22.011848449999999</c:v>
                </c:pt>
                <c:pt idx="4">
                  <c:v>14.496191432857142</c:v>
                </c:pt>
                <c:pt idx="5">
                  <c:v>17.659045491899729</c:v>
                </c:pt>
                <c:pt idx="6">
                  <c:v>23.642735891428568</c:v>
                </c:pt>
                <c:pt idx="7">
                  <c:v>23.681545802525072</c:v>
                </c:pt>
                <c:pt idx="8">
                  <c:v>23.625475747142854</c:v>
                </c:pt>
                <c:pt idx="9">
                  <c:v>23.72583552857143</c:v>
                </c:pt>
                <c:pt idx="10">
                  <c:v>23.714347295714287</c:v>
                </c:pt>
                <c:pt idx="11">
                  <c:v>23.623331614903002</c:v>
                </c:pt>
                <c:pt idx="12">
                  <c:v>22.128154209681874</c:v>
                </c:pt>
                <c:pt idx="13">
                  <c:v>21.36</c:v>
                </c:pt>
                <c:pt idx="14">
                  <c:v>23.601429802857144</c:v>
                </c:pt>
                <c:pt idx="15">
                  <c:v>16.145714351428573</c:v>
                </c:pt>
                <c:pt idx="16">
                  <c:v>14.007261548723459</c:v>
                </c:pt>
                <c:pt idx="17">
                  <c:v>12.484048571428572</c:v>
                </c:pt>
                <c:pt idx="18">
                  <c:v>11.436902861999998</c:v>
                </c:pt>
                <c:pt idx="19">
                  <c:v>12.01881</c:v>
                </c:pt>
                <c:pt idx="20">
                  <c:v>11.963334356035457</c:v>
                </c:pt>
                <c:pt idx="21">
                  <c:v>11.972144264285713</c:v>
                </c:pt>
                <c:pt idx="22">
                  <c:v>12.060297148571431</c:v>
                </c:pt>
                <c:pt idx="23">
                  <c:v>12.025059972490542</c:v>
                </c:pt>
                <c:pt idx="24">
                  <c:v>11.867550168571428</c:v>
                </c:pt>
                <c:pt idx="25">
                  <c:v>11.961507115714285</c:v>
                </c:pt>
                <c:pt idx="26">
                  <c:v>12.125935554504371</c:v>
                </c:pt>
                <c:pt idx="27">
                  <c:v>12.036131450000001</c:v>
                </c:pt>
                <c:pt idx="28">
                  <c:v>12.01250158142857</c:v>
                </c:pt>
                <c:pt idx="29">
                  <c:v>12.065415654285715</c:v>
                </c:pt>
                <c:pt idx="30">
                  <c:v>12.064045632857143</c:v>
                </c:pt>
                <c:pt idx="31">
                  <c:v>11.89809417724604</c:v>
                </c:pt>
                <c:pt idx="32">
                  <c:v>11.954105787142856</c:v>
                </c:pt>
                <c:pt idx="33">
                  <c:v>11.958392961428572</c:v>
                </c:pt>
                <c:pt idx="34">
                  <c:v>12.309941428048228</c:v>
                </c:pt>
                <c:pt idx="35">
                  <c:v>12.697084290640644</c:v>
                </c:pt>
                <c:pt idx="36">
                  <c:v>12.722499983651257</c:v>
                </c:pt>
                <c:pt idx="37">
                  <c:v>12.757261548723429</c:v>
                </c:pt>
                <c:pt idx="38">
                  <c:v>12.744882855714284</c:v>
                </c:pt>
                <c:pt idx="39">
                  <c:v>13.59601129857143</c:v>
                </c:pt>
                <c:pt idx="40">
                  <c:v>13.258037294285714</c:v>
                </c:pt>
                <c:pt idx="41">
                  <c:v>12.748987061636742</c:v>
                </c:pt>
                <c:pt idx="42">
                  <c:v>12.771309988571426</c:v>
                </c:pt>
                <c:pt idx="43">
                  <c:v>13.156308445714286</c:v>
                </c:pt>
                <c:pt idx="44">
                  <c:v>12.687737055714285</c:v>
                </c:pt>
                <c:pt idx="45">
                  <c:v>13.157975741428572</c:v>
                </c:pt>
                <c:pt idx="46">
                  <c:v>12.246785572857144</c:v>
                </c:pt>
                <c:pt idx="47">
                  <c:v>13.367501529999998</c:v>
                </c:pt>
                <c:pt idx="48">
                  <c:v>13.053452899999998</c:v>
                </c:pt>
                <c:pt idx="49">
                  <c:v>13.068511554285712</c:v>
                </c:pt>
                <c:pt idx="50">
                  <c:v>12.987917082857143</c:v>
                </c:pt>
                <c:pt idx="51">
                  <c:v>18.967856814285714</c:v>
                </c:pt>
                <c:pt idx="52">
                  <c:v>22.357858387142851</c:v>
                </c:pt>
                <c:pt idx="53">
                  <c:v>16.044107027142857</c:v>
                </c:pt>
                <c:pt idx="54">
                  <c:v>18.835116929999998</c:v>
                </c:pt>
                <c:pt idx="55">
                  <c:v>16.004641395714284</c:v>
                </c:pt>
                <c:pt idx="56">
                  <c:v>16.024463924285715</c:v>
                </c:pt>
                <c:pt idx="57">
                  <c:v>15.963094302857142</c:v>
                </c:pt>
                <c:pt idx="58">
                  <c:v>14.07</c:v>
                </c:pt>
                <c:pt idx="59">
                  <c:v>13.162619047619055</c:v>
                </c:pt>
                <c:pt idx="60">
                  <c:v>11.839642660958372</c:v>
                </c:pt>
                <c:pt idx="61">
                  <c:v>10.568511418142858</c:v>
                </c:pt>
                <c:pt idx="62">
                  <c:v>11.367022922857142</c:v>
                </c:pt>
                <c:pt idx="63">
                  <c:v>14.060239925714285</c:v>
                </c:pt>
                <c:pt idx="64">
                  <c:v>20.107797215142853</c:v>
                </c:pt>
                <c:pt idx="65">
                  <c:v>23.453333172857139</c:v>
                </c:pt>
                <c:pt idx="66">
                  <c:v>23.194762912857147</c:v>
                </c:pt>
                <c:pt idx="67">
                  <c:v>18.780238424285709</c:v>
                </c:pt>
                <c:pt idx="68">
                  <c:v>13.920417241428572</c:v>
                </c:pt>
                <c:pt idx="69">
                  <c:v>10.773084301857143</c:v>
                </c:pt>
                <c:pt idx="70">
                  <c:v>11.989167077142856</c:v>
                </c:pt>
                <c:pt idx="71">
                  <c:v>12.071368352857144</c:v>
                </c:pt>
                <c:pt idx="72">
                  <c:v>12.066725457142857</c:v>
                </c:pt>
                <c:pt idx="73">
                  <c:v>12.046847342857143</c:v>
                </c:pt>
                <c:pt idx="74">
                  <c:v>12.030653000000001</c:v>
                </c:pt>
                <c:pt idx="75">
                  <c:v>11.902322768571427</c:v>
                </c:pt>
                <c:pt idx="76">
                  <c:v>11.966488567142857</c:v>
                </c:pt>
                <c:pt idx="77">
                  <c:v>11.885477065714285</c:v>
                </c:pt>
                <c:pt idx="78">
                  <c:v>11.995894294285714</c:v>
                </c:pt>
                <c:pt idx="79">
                  <c:v>11.927797181428572</c:v>
                </c:pt>
                <c:pt idx="80">
                  <c:v>12.045535904285714</c:v>
                </c:pt>
                <c:pt idx="81">
                  <c:v>11.927261488571427</c:v>
                </c:pt>
                <c:pt idx="82">
                  <c:v>13.712319918571428</c:v>
                </c:pt>
                <c:pt idx="83">
                  <c:v>13.989404405714286</c:v>
                </c:pt>
                <c:pt idx="84">
                  <c:v>13.973928587142856</c:v>
                </c:pt>
                <c:pt idx="85">
                  <c:v>14.050774301428572</c:v>
                </c:pt>
                <c:pt idx="86">
                  <c:v>13.988035748571429</c:v>
                </c:pt>
                <c:pt idx="87">
                  <c:v>13.989464348571429</c:v>
                </c:pt>
                <c:pt idx="88">
                  <c:v>13.932678497142856</c:v>
                </c:pt>
                <c:pt idx="89">
                  <c:v>14.030597005714284</c:v>
                </c:pt>
                <c:pt idx="90">
                  <c:v>14.026608604285714</c:v>
                </c:pt>
                <c:pt idx="91">
                  <c:v>14.026192801428573</c:v>
                </c:pt>
                <c:pt idx="92">
                  <c:v>14.020297051428571</c:v>
                </c:pt>
                <c:pt idx="93">
                  <c:v>13.992498534285714</c:v>
                </c:pt>
                <c:pt idx="94">
                  <c:v>14.015835900000001</c:v>
                </c:pt>
                <c:pt idx="95">
                  <c:v>13.927204130000002</c:v>
                </c:pt>
                <c:pt idx="96">
                  <c:v>13.944405964285716</c:v>
                </c:pt>
                <c:pt idx="97">
                  <c:v>14.053689955714287</c:v>
                </c:pt>
                <c:pt idx="98">
                  <c:v>14.02023874</c:v>
                </c:pt>
                <c:pt idx="99">
                  <c:v>14.0819443290476</c:v>
                </c:pt>
                <c:pt idx="100">
                  <c:v>14.414462907142859</c:v>
                </c:pt>
                <c:pt idx="101">
                  <c:v>14.382619995714284</c:v>
                </c:pt>
                <c:pt idx="102">
                  <c:v>13.809047154285716</c:v>
                </c:pt>
                <c:pt idx="103">
                  <c:v>13.759048734285715</c:v>
                </c:pt>
                <c:pt idx="104">
                  <c:v>12.151368549999999</c:v>
                </c:pt>
                <c:pt idx="105">
                  <c:v>15.379761560000002</c:v>
                </c:pt>
                <c:pt idx="106">
                  <c:v>13.331011501428572</c:v>
                </c:pt>
                <c:pt idx="107">
                  <c:v>12.147084100000001</c:v>
                </c:pt>
                <c:pt idx="108">
                  <c:v>11.764999934285715</c:v>
                </c:pt>
                <c:pt idx="109">
                  <c:v>11.749167034285714</c:v>
                </c:pt>
                <c:pt idx="110">
                  <c:v>10.9661612507143</c:v>
                </c:pt>
                <c:pt idx="111">
                  <c:v>11.586785861424</c:v>
                </c:pt>
                <c:pt idx="112">
                  <c:v>15.540178571428571</c:v>
                </c:pt>
                <c:pt idx="113">
                  <c:v>12.489226658966601</c:v>
                </c:pt>
                <c:pt idx="114">
                  <c:v>15.861725670950701</c:v>
                </c:pt>
                <c:pt idx="115">
                  <c:v>15.601665633065315</c:v>
                </c:pt>
                <c:pt idx="116">
                  <c:v>14.272857142857143</c:v>
                </c:pt>
                <c:pt idx="117">
                  <c:v>12.459285599844744</c:v>
                </c:pt>
                <c:pt idx="118">
                  <c:v>12.322202818571428</c:v>
                </c:pt>
                <c:pt idx="119">
                  <c:v>12.955415725707971</c:v>
                </c:pt>
                <c:pt idx="120">
                  <c:v>13.5886286328445</c:v>
                </c:pt>
                <c:pt idx="121">
                  <c:v>12.145714285714286</c:v>
                </c:pt>
                <c:pt idx="122">
                  <c:v>11.9720828192574</c:v>
                </c:pt>
                <c:pt idx="123">
                  <c:v>12.044524329049228</c:v>
                </c:pt>
                <c:pt idx="124">
                  <c:v>12.004824365888286</c:v>
                </c:pt>
                <c:pt idx="125">
                  <c:v>12.003629958571429</c:v>
                </c:pt>
                <c:pt idx="126">
                  <c:v>11.987857137407543</c:v>
                </c:pt>
                <c:pt idx="127">
                  <c:v>11.995954241428569</c:v>
                </c:pt>
                <c:pt idx="128">
                  <c:v>12.037141528571428</c:v>
                </c:pt>
                <c:pt idx="129">
                  <c:v>12.019521304285714</c:v>
                </c:pt>
                <c:pt idx="130">
                  <c:v>12.048987115714286</c:v>
                </c:pt>
                <c:pt idx="131">
                  <c:v>13.016607148571428</c:v>
                </c:pt>
                <c:pt idx="132">
                  <c:v>11.558748653956785</c:v>
                </c:pt>
                <c:pt idx="133">
                  <c:v>11.530537195714285</c:v>
                </c:pt>
                <c:pt idx="134">
                  <c:v>13.242675645010754</c:v>
                </c:pt>
                <c:pt idx="135">
                  <c:v>14.178215708051356</c:v>
                </c:pt>
                <c:pt idx="136">
                  <c:v>14.038035665714288</c:v>
                </c:pt>
                <c:pt idx="137">
                  <c:v>13.967680111428573</c:v>
                </c:pt>
                <c:pt idx="138">
                  <c:v>14.05898720877507</c:v>
                </c:pt>
                <c:pt idx="139">
                  <c:v>14.080715725714285</c:v>
                </c:pt>
                <c:pt idx="140">
                  <c:v>14.0125123574527</c:v>
                </c:pt>
                <c:pt idx="141">
                  <c:v>13.981904302324526</c:v>
                </c:pt>
                <c:pt idx="142">
                  <c:v>14.00559575142857</c:v>
                </c:pt>
                <c:pt idx="143">
                  <c:v>14.040832792009573</c:v>
                </c:pt>
                <c:pt idx="144">
                  <c:v>14.068372771605899</c:v>
                </c:pt>
                <c:pt idx="145">
                  <c:v>14.016308650000001</c:v>
                </c:pt>
                <c:pt idx="146">
                  <c:v>14.078072684151758</c:v>
                </c:pt>
                <c:pt idx="147">
                  <c:v>13.987262724285713</c:v>
                </c:pt>
                <c:pt idx="148">
                  <c:v>13.874702862330802</c:v>
                </c:pt>
                <c:pt idx="149">
                  <c:v>14.021962847142857</c:v>
                </c:pt>
                <c:pt idx="150">
                  <c:v>12.869702747889887</c:v>
                </c:pt>
                <c:pt idx="151">
                  <c:v>12.914761407034687</c:v>
                </c:pt>
                <c:pt idx="152">
                  <c:v>13.072690148571429</c:v>
                </c:pt>
                <c:pt idx="153">
                  <c:v>12.378569737142858</c:v>
                </c:pt>
                <c:pt idx="154">
                  <c:v>13.595178467142899</c:v>
                </c:pt>
                <c:pt idx="155">
                  <c:v>13.1345855185714</c:v>
                </c:pt>
                <c:pt idx="156">
                  <c:v>11.095357077142859</c:v>
                </c:pt>
                <c:pt idx="157">
                  <c:v>10.665118488571428</c:v>
                </c:pt>
                <c:pt idx="158">
                  <c:v>10.825061389378083</c:v>
                </c:pt>
                <c:pt idx="159">
                  <c:v>11.076488631428571</c:v>
                </c:pt>
                <c:pt idx="160">
                  <c:v>11.3279158734791</c:v>
                </c:pt>
                <c:pt idx="161">
                  <c:v>20.581607409885926</c:v>
                </c:pt>
                <c:pt idx="162">
                  <c:v>23.86</c:v>
                </c:pt>
                <c:pt idx="163">
                  <c:v>17.428035462857142</c:v>
                </c:pt>
                <c:pt idx="164">
                  <c:v>10.229164259774327</c:v>
                </c:pt>
                <c:pt idx="165">
                  <c:v>9.952202933142857</c:v>
                </c:pt>
                <c:pt idx="166">
                  <c:v>10.030357224600632</c:v>
                </c:pt>
                <c:pt idx="167">
                  <c:v>9.9896429611428594</c:v>
                </c:pt>
                <c:pt idx="168">
                  <c:v>16.947618347857141</c:v>
                </c:pt>
                <c:pt idx="169">
                  <c:v>11.487677300714285</c:v>
                </c:pt>
                <c:pt idx="170">
                  <c:v>9.0023798261369929</c:v>
                </c:pt>
                <c:pt idx="171">
                  <c:v>9.1519999999999992</c:v>
                </c:pt>
                <c:pt idx="172">
                  <c:v>9.4439299447142862</c:v>
                </c:pt>
                <c:pt idx="173">
                  <c:v>9.9751769474574132</c:v>
                </c:pt>
                <c:pt idx="174">
                  <c:v>10.429345675714286</c:v>
                </c:pt>
                <c:pt idx="175">
                  <c:v>10.446011407034684</c:v>
                </c:pt>
                <c:pt idx="176">
                  <c:v>10.39517857142857</c:v>
                </c:pt>
                <c:pt idx="177">
                  <c:v>10.565415654285715</c:v>
                </c:pt>
                <c:pt idx="178">
                  <c:v>10.358035632542157</c:v>
                </c:pt>
                <c:pt idx="179">
                  <c:v>10.618989942857143</c:v>
                </c:pt>
                <c:pt idx="180">
                  <c:v>10.550834245714286</c:v>
                </c:pt>
                <c:pt idx="181">
                  <c:v>10.577082905714287</c:v>
                </c:pt>
                <c:pt idx="182">
                  <c:v>10.403569902692471</c:v>
                </c:pt>
                <c:pt idx="183">
                  <c:v>10.362797193</c:v>
                </c:pt>
                <c:pt idx="184">
                  <c:v>10.495358602857142</c:v>
                </c:pt>
                <c:pt idx="185">
                  <c:v>10.428927012852231</c:v>
                </c:pt>
                <c:pt idx="186">
                  <c:v>10.61</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NATURAL ARICOTA</c:v>
                </c:pt>
              </c:strCache>
            </c:strRef>
          </c:tx>
          <c:spPr>
            <a:solidFill>
              <a:schemeClr val="accent5"/>
            </a:solidFill>
          </c:spPr>
          <c:cat>
            <c:multiLvlStrRef>
              <c:f>'13.Caudales'!$N$4:$O$190</c:f>
              <c:multiLvlStrCache>
                <c:ptCount val="187"/>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1">
                    <c:v>16</c:v>
                  </c:pt>
                  <c:pt idx="186">
                    <c:v>31</c:v>
                  </c:pt>
                </c:lvl>
                <c:lvl>
                  <c:pt idx="0">
                    <c:v>2020</c:v>
                  </c:pt>
                  <c:pt idx="52">
                    <c:v>2021</c:v>
                  </c:pt>
                  <c:pt idx="104">
                    <c:v>2022</c:v>
                  </c:pt>
                  <c:pt idx="156">
                    <c:v>2023</c:v>
                  </c:pt>
                </c:lvl>
              </c:multiLvlStrCache>
            </c:multiLvlStrRef>
          </c:cat>
          <c:val>
            <c:numRef>
              <c:f>'13.Caudales'!$W$4:$W$190</c:f>
              <c:numCache>
                <c:formatCode>_(* #,##0.00_);_(* \(#,##0.00\);_(* "-"??_);_(@_)</c:formatCode>
                <c:ptCount val="187"/>
                <c:pt idx="0">
                  <c:v>2.278571367263786</c:v>
                </c:pt>
                <c:pt idx="1">
                  <c:v>1.8857142757142857</c:v>
                </c:pt>
                <c:pt idx="2">
                  <c:v>6.3075712748571418</c:v>
                </c:pt>
                <c:pt idx="3">
                  <c:v>4.3669999327142861</c:v>
                </c:pt>
                <c:pt idx="4">
                  <c:v>2.6891428574285712</c:v>
                </c:pt>
                <c:pt idx="5">
                  <c:v>9.7964284079415354</c:v>
                </c:pt>
                <c:pt idx="6">
                  <c:v>10.810714449000001</c:v>
                </c:pt>
                <c:pt idx="7">
                  <c:v>21.290571621486073</c:v>
                </c:pt>
                <c:pt idx="8">
                  <c:v>11.064000130142858</c:v>
                </c:pt>
                <c:pt idx="9">
                  <c:v>5.0324285712857142</c:v>
                </c:pt>
                <c:pt idx="10">
                  <c:v>12.165999821428571</c:v>
                </c:pt>
                <c:pt idx="11">
                  <c:v>11.119714055742502</c:v>
                </c:pt>
                <c:pt idx="12">
                  <c:v>6.0048571995326432</c:v>
                </c:pt>
                <c:pt idx="13">
                  <c:v>4.6619999238571435</c:v>
                </c:pt>
                <c:pt idx="14">
                  <c:v>2.5870000464285714</c:v>
                </c:pt>
                <c:pt idx="15">
                  <c:v>1.9568571534285717</c:v>
                </c:pt>
                <c:pt idx="16">
                  <c:v>2.0897142546517471</c:v>
                </c:pt>
                <c:pt idx="17">
                  <c:v>2.074857081857143</c:v>
                </c:pt>
                <c:pt idx="18">
                  <c:v>1.6491428614285712</c:v>
                </c:pt>
                <c:pt idx="19">
                  <c:v>1.6491428614285712</c:v>
                </c:pt>
                <c:pt idx="20">
                  <c:v>1.6175714560917398</c:v>
                </c:pt>
                <c:pt idx="21">
                  <c:v>1.7258571555714286</c:v>
                </c:pt>
                <c:pt idx="22">
                  <c:v>2.2755714314285713</c:v>
                </c:pt>
                <c:pt idx="23">
                  <c:v>2.2755714314324473</c:v>
                </c:pt>
                <c:pt idx="24">
                  <c:v>1.7577142885714285</c:v>
                </c:pt>
                <c:pt idx="25">
                  <c:v>1.7387143204285713</c:v>
                </c:pt>
                <c:pt idx="26">
                  <c:v>2.0545714242117699</c:v>
                </c:pt>
                <c:pt idx="27">
                  <c:v>1.862857103571429</c:v>
                </c:pt>
                <c:pt idx="28">
                  <c:v>2.1428571427142855</c:v>
                </c:pt>
                <c:pt idx="29">
                  <c:v>2.0148571899999999</c:v>
                </c:pt>
                <c:pt idx="30">
                  <c:v>2.0708571672857143</c:v>
                </c:pt>
                <c:pt idx="31">
                  <c:v>1.7728571551186658</c:v>
                </c:pt>
                <c:pt idx="32">
                  <c:v>1.7154285907142857</c:v>
                </c:pt>
                <c:pt idx="33">
                  <c:v>2.26100002</c:v>
                </c:pt>
                <c:pt idx="34">
                  <c:v>1.5178571258272411</c:v>
                </c:pt>
                <c:pt idx="35">
                  <c:v>1.0650000040020247</c:v>
                </c:pt>
                <c:pt idx="36">
                  <c:v>1.5737142903464156</c:v>
                </c:pt>
                <c:pt idx="37">
                  <c:v>1.6808571304593714</c:v>
                </c:pt>
                <c:pt idx="38">
                  <c:v>1.6871428661428571</c:v>
                </c:pt>
                <c:pt idx="39">
                  <c:v>1.6130000010000001</c:v>
                </c:pt>
                <c:pt idx="40">
                  <c:v>1.8452857051428571</c:v>
                </c:pt>
                <c:pt idx="41">
                  <c:v>1.9990000043596503</c:v>
                </c:pt>
                <c:pt idx="42">
                  <c:v>1.5481428758571429</c:v>
                </c:pt>
                <c:pt idx="43">
                  <c:v>1.4392857041428573</c:v>
                </c:pt>
                <c:pt idx="44">
                  <c:v>1.380714297142857</c:v>
                </c:pt>
                <c:pt idx="45">
                  <c:v>1.3845714331428574</c:v>
                </c:pt>
                <c:pt idx="46">
                  <c:v>1.5065714290000003</c:v>
                </c:pt>
                <c:pt idx="47">
                  <c:v>1.0268571504285715</c:v>
                </c:pt>
                <c:pt idx="48">
                  <c:v>1.0737142817142857</c:v>
                </c:pt>
                <c:pt idx="49">
                  <c:v>1.2921428212857144</c:v>
                </c:pt>
                <c:pt idx="50">
                  <c:v>1.2780000142857142</c:v>
                </c:pt>
                <c:pt idx="51">
                  <c:v>7.1757142371428566</c:v>
                </c:pt>
                <c:pt idx="52">
                  <c:v>6.7241427552857145</c:v>
                </c:pt>
                <c:pt idx="53">
                  <c:v>3.2384286270000002</c:v>
                </c:pt>
                <c:pt idx="54">
                  <c:v>6.560571466571429</c:v>
                </c:pt>
                <c:pt idx="55">
                  <c:v>5.1067142825714296</c:v>
                </c:pt>
                <c:pt idx="56">
                  <c:v>3.1654285022857147</c:v>
                </c:pt>
                <c:pt idx="57">
                  <c:v>5.8411428927142861</c:v>
                </c:pt>
                <c:pt idx="58">
                  <c:v>3.3580000000000001</c:v>
                </c:pt>
                <c:pt idx="59">
                  <c:v>2.181</c:v>
                </c:pt>
                <c:pt idx="60">
                  <c:v>2.5798570939472714</c:v>
                </c:pt>
                <c:pt idx="61">
                  <c:v>2.1962857415714288</c:v>
                </c:pt>
                <c:pt idx="62">
                  <c:v>2.7152857098571426</c:v>
                </c:pt>
                <c:pt idx="63">
                  <c:v>3.625</c:v>
                </c:pt>
                <c:pt idx="64">
                  <c:v>4.0744285582857147</c:v>
                </c:pt>
                <c:pt idx="65">
                  <c:v>2.8194285800000003</c:v>
                </c:pt>
                <c:pt idx="66">
                  <c:v>2.7518571105714291</c:v>
                </c:pt>
                <c:pt idx="67">
                  <c:v>1.8839999778571432</c:v>
                </c:pt>
                <c:pt idx="68">
                  <c:v>1.7985714162857143</c:v>
                </c:pt>
                <c:pt idx="69">
                  <c:v>1.8058571475714285</c:v>
                </c:pt>
                <c:pt idx="70">
                  <c:v>1.8551428488571429</c:v>
                </c:pt>
                <c:pt idx="71">
                  <c:v>1.7121428761428572</c:v>
                </c:pt>
                <c:pt idx="72">
                  <c:v>1.9470000094285715</c:v>
                </c:pt>
                <c:pt idx="73">
                  <c:v>1.9281428372857143</c:v>
                </c:pt>
                <c:pt idx="74">
                  <c:v>1.8262857195714286</c:v>
                </c:pt>
                <c:pt idx="75">
                  <c:v>1.3272857154285713</c:v>
                </c:pt>
                <c:pt idx="76">
                  <c:v>1.2890000087142857</c:v>
                </c:pt>
                <c:pt idx="77">
                  <c:v>1.732857125</c:v>
                </c:pt>
                <c:pt idx="78">
                  <c:v>1.8799999952857143</c:v>
                </c:pt>
                <c:pt idx="79">
                  <c:v>1.8718571149999998</c:v>
                </c:pt>
                <c:pt idx="80">
                  <c:v>1.7868571450000001</c:v>
                </c:pt>
                <c:pt idx="81">
                  <c:v>1.8862856968571431</c:v>
                </c:pt>
                <c:pt idx="82">
                  <c:v>1.8420000075714285</c:v>
                </c:pt>
                <c:pt idx="83">
                  <c:v>1.8741428512857143</c:v>
                </c:pt>
                <c:pt idx="84">
                  <c:v>1.871857132285714</c:v>
                </c:pt>
                <c:pt idx="85">
                  <c:v>1.8375714168571429</c:v>
                </c:pt>
                <c:pt idx="86">
                  <c:v>1.654571413857143</c:v>
                </c:pt>
                <c:pt idx="87">
                  <c:v>1.7275714362857142</c:v>
                </c:pt>
                <c:pt idx="88">
                  <c:v>1.6434285640000001</c:v>
                </c:pt>
                <c:pt idx="89">
                  <c:v>1.7824285711428571</c:v>
                </c:pt>
                <c:pt idx="90">
                  <c:v>1.7897142852857144</c:v>
                </c:pt>
                <c:pt idx="91">
                  <c:v>1.7887142725714287</c:v>
                </c:pt>
                <c:pt idx="92">
                  <c:v>1.4745714322857144</c:v>
                </c:pt>
                <c:pt idx="93">
                  <c:v>1.325428571</c:v>
                </c:pt>
                <c:pt idx="94">
                  <c:v>1.3259999922857142</c:v>
                </c:pt>
                <c:pt idx="95">
                  <c:v>1.0918571607142857</c:v>
                </c:pt>
                <c:pt idx="96">
                  <c:v>1.1197142941428571</c:v>
                </c:pt>
                <c:pt idx="97">
                  <c:v>1.2584285650000002</c:v>
                </c:pt>
                <c:pt idx="98">
                  <c:v>1.6037142788571426</c:v>
                </c:pt>
                <c:pt idx="99">
                  <c:v>1.686999981</c:v>
                </c:pt>
                <c:pt idx="100">
                  <c:v>1.509857126857143</c:v>
                </c:pt>
                <c:pt idx="101">
                  <c:v>1.5802857021428574</c:v>
                </c:pt>
                <c:pt idx="102">
                  <c:v>1.0052857144285714</c:v>
                </c:pt>
                <c:pt idx="103">
                  <c:v>1.2590000118571429</c:v>
                </c:pt>
                <c:pt idx="104">
                  <c:v>1.4929999965714287</c:v>
                </c:pt>
                <c:pt idx="105">
                  <c:v>4.383714250142857</c:v>
                </c:pt>
                <c:pt idx="106">
                  <c:v>3.4292857477142862</c:v>
                </c:pt>
                <c:pt idx="107">
                  <c:v>5.8837143019999996</c:v>
                </c:pt>
                <c:pt idx="108">
                  <c:v>5.8837143019999996</c:v>
                </c:pt>
                <c:pt idx="109">
                  <c:v>5.6551427840000006</c:v>
                </c:pt>
                <c:pt idx="110">
                  <c:v>2.0952857050000002</c:v>
                </c:pt>
                <c:pt idx="111">
                  <c:v>3.7204570871142901</c:v>
                </c:pt>
                <c:pt idx="112">
                  <c:v>4.1637142385755217</c:v>
                </c:pt>
                <c:pt idx="113">
                  <c:v>4.8724285875714282</c:v>
                </c:pt>
                <c:pt idx="114">
                  <c:v>3.3848571777343723</c:v>
                </c:pt>
                <c:pt idx="115">
                  <c:v>2.6404285430908159</c:v>
                </c:pt>
                <c:pt idx="116">
                  <c:v>2.0657142857142858</c:v>
                </c:pt>
                <c:pt idx="117">
                  <c:v>1.8045714242117685</c:v>
                </c:pt>
                <c:pt idx="118">
                  <c:v>1.5654285974285713</c:v>
                </c:pt>
                <c:pt idx="119">
                  <c:v>1.6847143173217742</c:v>
                </c:pt>
                <c:pt idx="120">
                  <c:v>1.80400003721498</c:v>
                </c:pt>
                <c:pt idx="121">
                  <c:v>1.5071428571428569</c:v>
                </c:pt>
                <c:pt idx="122">
                  <c:v>1.5408571277345884</c:v>
                </c:pt>
                <c:pt idx="123">
                  <c:v>1.2638571347509076</c:v>
                </c:pt>
                <c:pt idx="124">
                  <c:v>1.5594285896846185</c:v>
                </c:pt>
                <c:pt idx="125">
                  <c:v>1.5562856965714285</c:v>
                </c:pt>
                <c:pt idx="126">
                  <c:v>1.6308571440832915</c:v>
                </c:pt>
                <c:pt idx="127">
                  <c:v>1.5964285474285715</c:v>
                </c:pt>
                <c:pt idx="128">
                  <c:v>1.5865714718571431</c:v>
                </c:pt>
                <c:pt idx="129">
                  <c:v>2.0531428372857143</c:v>
                </c:pt>
                <c:pt idx="130">
                  <c:v>1.7931428807142857</c:v>
                </c:pt>
                <c:pt idx="131">
                  <c:v>1.5484285694285713</c:v>
                </c:pt>
                <c:pt idx="132">
                  <c:v>1.8301428726741213</c:v>
                </c:pt>
                <c:pt idx="133">
                  <c:v>1.7351428440000001</c:v>
                </c:pt>
                <c:pt idx="134">
                  <c:v>1.6478571380887672</c:v>
                </c:pt>
                <c:pt idx="135">
                  <c:v>1.7564285823277028</c:v>
                </c:pt>
                <c:pt idx="136">
                  <c:v>1.7424285411428571</c:v>
                </c:pt>
                <c:pt idx="137">
                  <c:v>1.731428572</c:v>
                </c:pt>
                <c:pt idx="138">
                  <c:v>1.7037142855780412</c:v>
                </c:pt>
                <c:pt idx="139">
                  <c:v>1.4800000019999999</c:v>
                </c:pt>
                <c:pt idx="140">
                  <c:v>1.63901983647542</c:v>
                </c:pt>
                <c:pt idx="141">
                  <c:v>1.5090000288827028</c:v>
                </c:pt>
                <c:pt idx="142">
                  <c:v>1.4841428652857143</c:v>
                </c:pt>
                <c:pt idx="143">
                  <c:v>1.3278571452413228</c:v>
                </c:pt>
                <c:pt idx="144">
                  <c:v>1.3502551701649099</c:v>
                </c:pt>
                <c:pt idx="145">
                  <c:v>1.3397142717142856</c:v>
                </c:pt>
                <c:pt idx="146">
                  <c:v>1.3554285253797185</c:v>
                </c:pt>
                <c:pt idx="147">
                  <c:v>1.3972857167142858</c:v>
                </c:pt>
                <c:pt idx="148">
                  <c:v>1.3508571045739299</c:v>
                </c:pt>
                <c:pt idx="149">
                  <c:v>1.3508571042857143</c:v>
                </c:pt>
                <c:pt idx="150">
                  <c:v>1.3509999513626101</c:v>
                </c:pt>
                <c:pt idx="151">
                  <c:v>1.3509999513626101</c:v>
                </c:pt>
                <c:pt idx="152">
                  <c:v>1.3818571054285713</c:v>
                </c:pt>
                <c:pt idx="153">
                  <c:v>2.3402857099999999</c:v>
                </c:pt>
                <c:pt idx="154">
                  <c:v>2.1075714314285716</c:v>
                </c:pt>
                <c:pt idx="155">
                  <c:v>1.4207143104285713</c:v>
                </c:pt>
                <c:pt idx="156">
                  <c:v>1.6364285774285714</c:v>
                </c:pt>
                <c:pt idx="157">
                  <c:v>1.4351428745714288</c:v>
                </c:pt>
                <c:pt idx="158">
                  <c:v>1.1248571532113172</c:v>
                </c:pt>
                <c:pt idx="159">
                  <c:v>1.6419999940000001</c:v>
                </c:pt>
                <c:pt idx="160">
                  <c:v>3.9329999999999998</c:v>
                </c:pt>
                <c:pt idx="161">
                  <c:v>7.3275715282985106</c:v>
                </c:pt>
                <c:pt idx="162">
                  <c:v>5.78</c:v>
                </c:pt>
                <c:pt idx="163">
                  <c:v>2.5667143377142865</c:v>
                </c:pt>
                <c:pt idx="164">
                  <c:v>1.7610000031334958</c:v>
                </c:pt>
                <c:pt idx="165">
                  <c:v>1.6931428228105772</c:v>
                </c:pt>
                <c:pt idx="166">
                  <c:v>1.6931428228105772</c:v>
                </c:pt>
                <c:pt idx="167">
                  <c:v>3.407428588428572</c:v>
                </c:pt>
                <c:pt idx="168">
                  <c:v>8.7692857471428578</c:v>
                </c:pt>
                <c:pt idx="169">
                  <c:v>4.3440000669999996</c:v>
                </c:pt>
                <c:pt idx="170">
                  <c:v>2.7139999525887584</c:v>
                </c:pt>
                <c:pt idx="171">
                  <c:v>1.9339999999999999</c:v>
                </c:pt>
                <c:pt idx="172">
                  <c:v>1.63</c:v>
                </c:pt>
                <c:pt idx="173">
                  <c:v>1.68928570406777</c:v>
                </c:pt>
                <c:pt idx="174">
                  <c:v>1.6611428601428571</c:v>
                </c:pt>
                <c:pt idx="175">
                  <c:v>1.8321428469249157</c:v>
                </c:pt>
                <c:pt idx="176">
                  <c:v>1.5392857142857144</c:v>
                </c:pt>
                <c:pt idx="177">
                  <c:v>1.8451428412857145</c:v>
                </c:pt>
                <c:pt idx="178">
                  <c:v>1.6434285470417513</c:v>
                </c:pt>
                <c:pt idx="179">
                  <c:v>1.6729999951428574</c:v>
                </c:pt>
                <c:pt idx="180">
                  <c:v>1.6924285804285712</c:v>
                </c:pt>
                <c:pt idx="181">
                  <c:v>1.6492857082857142</c:v>
                </c:pt>
                <c:pt idx="182">
                  <c:v>1.6811428410666298</c:v>
                </c:pt>
                <c:pt idx="183">
                  <c:v>1.8932857174285711</c:v>
                </c:pt>
                <c:pt idx="184">
                  <c:v>1.7762857165714283</c:v>
                </c:pt>
                <c:pt idx="185">
                  <c:v>1.9438571589333615</c:v>
                </c:pt>
                <c:pt idx="186">
                  <c:v>1.68</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NATURAL SAN GABÁN</c:v>
                </c:pt>
              </c:strCache>
            </c:strRef>
          </c:tx>
          <c:marker>
            <c:symbol val="none"/>
          </c:marker>
          <c:val>
            <c:numRef>
              <c:f>'13.Caudales'!$Y$4:$Y$190</c:f>
              <c:numCache>
                <c:formatCode>_(* #,##0.00_);_(* \(#,##0.00\);_(* "-"??_);_(@_)</c:formatCode>
                <c:ptCount val="187"/>
                <c:pt idx="0">
                  <c:v>152.80385916573601</c:v>
                </c:pt>
                <c:pt idx="1">
                  <c:v>97.949856347142855</c:v>
                </c:pt>
                <c:pt idx="2">
                  <c:v>78.131857190000005</c:v>
                </c:pt>
                <c:pt idx="3">
                  <c:v>52.875</c:v>
                </c:pt>
                <c:pt idx="4">
                  <c:v>99.128998899999985</c:v>
                </c:pt>
                <c:pt idx="5">
                  <c:v>151.47385733468144</c:v>
                </c:pt>
                <c:pt idx="6">
                  <c:v>148.12728554285715</c:v>
                </c:pt>
                <c:pt idx="7">
                  <c:v>143.28899928501644</c:v>
                </c:pt>
                <c:pt idx="8">
                  <c:v>84.357999531428575</c:v>
                </c:pt>
                <c:pt idx="9">
                  <c:v>76.472572329999977</c:v>
                </c:pt>
                <c:pt idx="10">
                  <c:v>110.78628649857141</c:v>
                </c:pt>
                <c:pt idx="11">
                  <c:v>113.32999965122723</c:v>
                </c:pt>
                <c:pt idx="12">
                  <c:v>97.158571515764294</c:v>
                </c:pt>
                <c:pt idx="13">
                  <c:v>87.023999895714283</c:v>
                </c:pt>
                <c:pt idx="14">
                  <c:v>56.692000798571428</c:v>
                </c:pt>
                <c:pt idx="15">
                  <c:v>41.578285762857142</c:v>
                </c:pt>
                <c:pt idx="16">
                  <c:v>32.277857099260544</c:v>
                </c:pt>
                <c:pt idx="17">
                  <c:v>27.218570980000003</c:v>
                </c:pt>
                <c:pt idx="18">
                  <c:v>23.996714454285712</c:v>
                </c:pt>
                <c:pt idx="19">
                  <c:v>27.218570980000003</c:v>
                </c:pt>
                <c:pt idx="20">
                  <c:v>17.639571326119512</c:v>
                </c:pt>
                <c:pt idx="21">
                  <c:v>13.389714241428573</c:v>
                </c:pt>
                <c:pt idx="22">
                  <c:v>13.06000001</c:v>
                </c:pt>
                <c:pt idx="23">
                  <c:v>10.094714164733857</c:v>
                </c:pt>
                <c:pt idx="24">
                  <c:v>9.1595716474285691</c:v>
                </c:pt>
                <c:pt idx="25">
                  <c:v>8.8348572594285706</c:v>
                </c:pt>
                <c:pt idx="26">
                  <c:v>8.4665715353829452</c:v>
                </c:pt>
                <c:pt idx="27">
                  <c:v>7.6952857290000001</c:v>
                </c:pt>
                <c:pt idx="28">
                  <c:v>7.1297142847142867</c:v>
                </c:pt>
                <c:pt idx="29">
                  <c:v>8.1214285577142853</c:v>
                </c:pt>
                <c:pt idx="30">
                  <c:v>8.1097143717142863</c:v>
                </c:pt>
                <c:pt idx="31">
                  <c:v>10.538714272635294</c:v>
                </c:pt>
                <c:pt idx="32">
                  <c:v>6.1292857952857149</c:v>
                </c:pt>
                <c:pt idx="33">
                  <c:v>6.0765714645714288</c:v>
                </c:pt>
                <c:pt idx="34">
                  <c:v>5.9287142923900031</c:v>
                </c:pt>
                <c:pt idx="35">
                  <c:v>6.6625714302062962</c:v>
                </c:pt>
                <c:pt idx="36">
                  <c:v>6.7525714465549971</c:v>
                </c:pt>
                <c:pt idx="37">
                  <c:v>6.3287143026079411</c:v>
                </c:pt>
                <c:pt idx="38">
                  <c:v>7.4534285069999999</c:v>
                </c:pt>
                <c:pt idx="39">
                  <c:v>6.0369999748571432</c:v>
                </c:pt>
                <c:pt idx="40">
                  <c:v>6.8767141612857143</c:v>
                </c:pt>
                <c:pt idx="41">
                  <c:v>6.4478571755545433</c:v>
                </c:pt>
                <c:pt idx="42">
                  <c:v>6.2457143240000006</c:v>
                </c:pt>
                <c:pt idx="43">
                  <c:v>6.5374285491428568</c:v>
                </c:pt>
                <c:pt idx="44">
                  <c:v>6.183142798285715</c:v>
                </c:pt>
                <c:pt idx="45">
                  <c:v>7.3267143794285712</c:v>
                </c:pt>
                <c:pt idx="46">
                  <c:v>9.6325714934285713</c:v>
                </c:pt>
                <c:pt idx="47">
                  <c:v>13.102857045714286</c:v>
                </c:pt>
                <c:pt idx="48">
                  <c:v>17.667142595714285</c:v>
                </c:pt>
                <c:pt idx="49">
                  <c:v>14.238999775714285</c:v>
                </c:pt>
                <c:pt idx="50">
                  <c:v>17.224714688571428</c:v>
                </c:pt>
                <c:pt idx="51">
                  <c:v>54.019857132857133</c:v>
                </c:pt>
                <c:pt idx="52">
                  <c:v>70.259001594285721</c:v>
                </c:pt>
                <c:pt idx="53">
                  <c:v>58.126999447142857</c:v>
                </c:pt>
                <c:pt idx="54">
                  <c:v>74.927428108571434</c:v>
                </c:pt>
                <c:pt idx="55">
                  <c:v>68.394571574285706</c:v>
                </c:pt>
                <c:pt idx="56">
                  <c:v>56.864572254285704</c:v>
                </c:pt>
                <c:pt idx="57">
                  <c:v>60.405000412857149</c:v>
                </c:pt>
                <c:pt idx="58">
                  <c:v>76.87</c:v>
                </c:pt>
                <c:pt idx="59">
                  <c:v>119.958</c:v>
                </c:pt>
                <c:pt idx="60">
                  <c:v>71.76285661969861</c:v>
                </c:pt>
                <c:pt idx="61">
                  <c:v>56.04871422714286</c:v>
                </c:pt>
                <c:pt idx="62">
                  <c:v>63.309571402857145</c:v>
                </c:pt>
                <c:pt idx="63">
                  <c:v>68.27</c:v>
                </c:pt>
                <c:pt idx="64">
                  <c:v>61.654713765714291</c:v>
                </c:pt>
                <c:pt idx="65">
                  <c:v>68.710573468571425</c:v>
                </c:pt>
                <c:pt idx="66">
                  <c:v>74.239000592857138</c:v>
                </c:pt>
                <c:pt idx="67">
                  <c:v>39.415857042857148</c:v>
                </c:pt>
                <c:pt idx="68">
                  <c:v>25.886856898571434</c:v>
                </c:pt>
                <c:pt idx="69">
                  <c:v>19.646428789999998</c:v>
                </c:pt>
                <c:pt idx="70">
                  <c:v>16.286999974285717</c:v>
                </c:pt>
                <c:pt idx="71">
                  <c:v>14.018428667142857</c:v>
                </c:pt>
                <c:pt idx="72">
                  <c:v>14.466285705714286</c:v>
                </c:pt>
                <c:pt idx="73">
                  <c:v>11.637142864285716</c:v>
                </c:pt>
                <c:pt idx="74">
                  <c:v>10.373285701857142</c:v>
                </c:pt>
                <c:pt idx="75">
                  <c:v>9.3365716934285707</c:v>
                </c:pt>
                <c:pt idx="76">
                  <c:v>8.5024284634285721</c:v>
                </c:pt>
                <c:pt idx="77">
                  <c:v>7.8322857448571428</c:v>
                </c:pt>
                <c:pt idx="78">
                  <c:v>7.0652857510000002</c:v>
                </c:pt>
                <c:pt idx="79">
                  <c:v>6.2407143457142853</c:v>
                </c:pt>
                <c:pt idx="80">
                  <c:v>6.221285752</c:v>
                </c:pt>
                <c:pt idx="81">
                  <c:v>5.7022857667142848</c:v>
                </c:pt>
                <c:pt idx="82">
                  <c:v>7.1649999617142859</c:v>
                </c:pt>
                <c:pt idx="83">
                  <c:v>7.2785714695714301</c:v>
                </c:pt>
                <c:pt idx="84">
                  <c:v>5.154142958714286</c:v>
                </c:pt>
                <c:pt idx="85">
                  <c:v>6.0459999357142857</c:v>
                </c:pt>
                <c:pt idx="86">
                  <c:v>5.7705714702857147</c:v>
                </c:pt>
                <c:pt idx="87">
                  <c:v>7.9151426724285718</c:v>
                </c:pt>
                <c:pt idx="88">
                  <c:v>5.2711429254285713</c:v>
                </c:pt>
                <c:pt idx="89">
                  <c:v>4.8772857188571432</c:v>
                </c:pt>
                <c:pt idx="90">
                  <c:v>6.1969999587142857</c:v>
                </c:pt>
                <c:pt idx="91">
                  <c:v>10.280285493285716</c:v>
                </c:pt>
                <c:pt idx="92">
                  <c:v>7.658571379714286</c:v>
                </c:pt>
                <c:pt idx="93">
                  <c:v>5.9647143228571426</c:v>
                </c:pt>
                <c:pt idx="94">
                  <c:v>6.7207142624285723</c:v>
                </c:pt>
                <c:pt idx="95">
                  <c:v>5.8240000180000004</c:v>
                </c:pt>
                <c:pt idx="96">
                  <c:v>7.255428586571429</c:v>
                </c:pt>
                <c:pt idx="97">
                  <c:v>7.569857052142857</c:v>
                </c:pt>
                <c:pt idx="98">
                  <c:v>11.491143022142859</c:v>
                </c:pt>
                <c:pt idx="99">
                  <c:v>11.491143022142859</c:v>
                </c:pt>
                <c:pt idx="100">
                  <c:v>11.52</c:v>
                </c:pt>
                <c:pt idx="101">
                  <c:v>63.42214257285714</c:v>
                </c:pt>
                <c:pt idx="102">
                  <c:v>105.71028573142858</c:v>
                </c:pt>
                <c:pt idx="103">
                  <c:v>86.07714135142858</c:v>
                </c:pt>
                <c:pt idx="104">
                  <c:v>45.721570695714284</c:v>
                </c:pt>
                <c:pt idx="105">
                  <c:v>44.29957117428571</c:v>
                </c:pt>
                <c:pt idx="106">
                  <c:v>55.850142344285707</c:v>
                </c:pt>
                <c:pt idx="107">
                  <c:v>129.95414407142854</c:v>
                </c:pt>
                <c:pt idx="108">
                  <c:v>128.39200045714284</c:v>
                </c:pt>
                <c:pt idx="109">
                  <c:v>133.21328737142855</c:v>
                </c:pt>
                <c:pt idx="110">
                  <c:v>133.77895393333301</c:v>
                </c:pt>
                <c:pt idx="111">
                  <c:v>69.417142050606813</c:v>
                </c:pt>
                <c:pt idx="112">
                  <c:v>186.68128532857142</c:v>
                </c:pt>
                <c:pt idx="113">
                  <c:v>146.131261154827</c:v>
                </c:pt>
                <c:pt idx="114">
                  <c:v>110.17142813546286</c:v>
                </c:pt>
                <c:pt idx="115">
                  <c:v>81.900570460728204</c:v>
                </c:pt>
                <c:pt idx="116">
                  <c:v>61.771428571428579</c:v>
                </c:pt>
                <c:pt idx="117">
                  <c:v>46.260999952043754</c:v>
                </c:pt>
                <c:pt idx="118">
                  <c:v>36.220571791428576</c:v>
                </c:pt>
                <c:pt idx="119">
                  <c:v>27.017142704554924</c:v>
                </c:pt>
                <c:pt idx="120">
                  <c:v>26.255714235187</c:v>
                </c:pt>
                <c:pt idx="121">
                  <c:v>16.581428571428575</c:v>
                </c:pt>
                <c:pt idx="122">
                  <c:v>69.459999084472599</c:v>
                </c:pt>
                <c:pt idx="123">
                  <c:v>66.260002136230398</c:v>
                </c:pt>
                <c:pt idx="124">
                  <c:v>65.75</c:v>
                </c:pt>
                <c:pt idx="125">
                  <c:v>65.72000122</c:v>
                </c:pt>
                <c:pt idx="126">
                  <c:v>10.504285676138702</c:v>
                </c:pt>
                <c:pt idx="127">
                  <c:v>8.8472856794285715</c:v>
                </c:pt>
                <c:pt idx="128">
                  <c:v>7.1708572252857135</c:v>
                </c:pt>
                <c:pt idx="129">
                  <c:v>6.7431428091428582</c:v>
                </c:pt>
                <c:pt idx="130">
                  <c:v>6.9555713788571438</c:v>
                </c:pt>
                <c:pt idx="131">
                  <c:v>7.7912856511428572</c:v>
                </c:pt>
                <c:pt idx="132">
                  <c:v>7.1859999213899801</c:v>
                </c:pt>
                <c:pt idx="133">
                  <c:v>10.289285525142857</c:v>
                </c:pt>
                <c:pt idx="134">
                  <c:v>7.0418571063450344</c:v>
                </c:pt>
                <c:pt idx="135">
                  <c:v>6.8281428813934264</c:v>
                </c:pt>
                <c:pt idx="136">
                  <c:v>5.7674285684285715</c:v>
                </c:pt>
                <c:pt idx="137">
                  <c:v>2.1432857171428572</c:v>
                </c:pt>
                <c:pt idx="138">
                  <c:v>7.1627143110547582</c:v>
                </c:pt>
                <c:pt idx="139">
                  <c:v>5.1081428868571424</c:v>
                </c:pt>
                <c:pt idx="140">
                  <c:v>5.8057857581702397</c:v>
                </c:pt>
                <c:pt idx="141">
                  <c:v>6.7047142982482857</c:v>
                </c:pt>
                <c:pt idx="142">
                  <c:v>3.8321428128571426</c:v>
                </c:pt>
                <c:pt idx="143">
                  <c:v>6.02885715450559</c:v>
                </c:pt>
                <c:pt idx="144">
                  <c:v>6.1968265237028799</c:v>
                </c:pt>
                <c:pt idx="145">
                  <c:v>9.5699999659999992</c:v>
                </c:pt>
                <c:pt idx="146">
                  <c:v>9.7359999247959532</c:v>
                </c:pt>
                <c:pt idx="147">
                  <c:v>9.787285668857141</c:v>
                </c:pt>
                <c:pt idx="148">
                  <c:v>8.3278572218758669</c:v>
                </c:pt>
                <c:pt idx="149">
                  <c:v>8.9714284620000004</c:v>
                </c:pt>
                <c:pt idx="150">
                  <c:v>7.719999926430833</c:v>
                </c:pt>
                <c:pt idx="151">
                  <c:v>9.8602855546133554</c:v>
                </c:pt>
                <c:pt idx="152">
                  <c:v>10.514714377142857</c:v>
                </c:pt>
                <c:pt idx="153">
                  <c:v>13.792428560000001</c:v>
                </c:pt>
                <c:pt idx="154">
                  <c:v>17.965714182857145</c:v>
                </c:pt>
                <c:pt idx="155">
                  <c:v>13.465142795714286</c:v>
                </c:pt>
                <c:pt idx="156">
                  <c:v>22.307714735714285</c:v>
                </c:pt>
                <c:pt idx="157">
                  <c:v>20.728857314285712</c:v>
                </c:pt>
                <c:pt idx="158">
                  <c:v>14.135142598833328</c:v>
                </c:pt>
                <c:pt idx="159">
                  <c:v>12.892857279999999</c:v>
                </c:pt>
                <c:pt idx="160">
                  <c:v>30.6</c:v>
                </c:pt>
                <c:pt idx="161">
                  <c:v>52.329999651227638</c:v>
                </c:pt>
                <c:pt idx="162">
                  <c:v>59.46</c:v>
                </c:pt>
                <c:pt idx="163">
                  <c:v>32.804857528571425</c:v>
                </c:pt>
                <c:pt idx="164">
                  <c:v>24.390714100428941</c:v>
                </c:pt>
                <c:pt idx="165">
                  <c:v>22.884571348571431</c:v>
                </c:pt>
                <c:pt idx="166">
                  <c:v>34.45442908150806</c:v>
                </c:pt>
                <c:pt idx="167">
                  <c:v>76.830001284285714</c:v>
                </c:pt>
                <c:pt idx="168">
                  <c:v>62.251857214285721</c:v>
                </c:pt>
                <c:pt idx="169">
                  <c:v>47.981285095714284</c:v>
                </c:pt>
                <c:pt idx="170">
                  <c:v>40.005713871547108</c:v>
                </c:pt>
                <c:pt idx="171">
                  <c:v>25.149166666666666</c:v>
                </c:pt>
                <c:pt idx="172">
                  <c:v>19.712285721428572</c:v>
                </c:pt>
                <c:pt idx="173">
                  <c:v>14.60414287022177</c:v>
                </c:pt>
                <c:pt idx="174">
                  <c:v>19.104285921428573</c:v>
                </c:pt>
                <c:pt idx="175">
                  <c:v>15.358714376177058</c:v>
                </c:pt>
                <c:pt idx="176">
                  <c:v>11.814404761904761</c:v>
                </c:pt>
                <c:pt idx="177">
                  <c:v>10.892857143142859</c:v>
                </c:pt>
                <c:pt idx="178">
                  <c:v>8.5582857131957972</c:v>
                </c:pt>
                <c:pt idx="179">
                  <c:v>7.9084286007142861</c:v>
                </c:pt>
                <c:pt idx="180">
                  <c:v>6.9182857105714293</c:v>
                </c:pt>
                <c:pt idx="181">
                  <c:v>6.4889999999999999</c:v>
                </c:pt>
                <c:pt idx="182">
                  <c:v>6.4041427884783033</c:v>
                </c:pt>
                <c:pt idx="183">
                  <c:v>6.0921429905714293</c:v>
                </c:pt>
                <c:pt idx="184">
                  <c:v>7.2885714941428574</c:v>
                </c:pt>
                <c:pt idx="185">
                  <c:v>5.8061428751264241</c:v>
                </c:pt>
                <c:pt idx="186">
                  <c:v>5.0824285232857136</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NATURAL VILCANOTA</c:v>
                </c:pt>
              </c:strCache>
            </c:strRef>
          </c:tx>
          <c:spPr>
            <a:ln>
              <a:solidFill>
                <a:srgbClr val="00B0F0"/>
              </a:solidFill>
            </a:ln>
          </c:spPr>
          <c:marker>
            <c:symbol val="none"/>
          </c:marker>
          <c:val>
            <c:numRef>
              <c:f>'13.Caudales'!$X$4:$X$190</c:f>
              <c:numCache>
                <c:formatCode>_(* #,##0.00_);_(* \(#,##0.00\);_(* "-"??_);_(@_)</c:formatCode>
                <c:ptCount val="187"/>
                <c:pt idx="0">
                  <c:v>468.15499877929659</c:v>
                </c:pt>
                <c:pt idx="1">
                  <c:v>213.59428187142859</c:v>
                </c:pt>
                <c:pt idx="2">
                  <c:v>247.26214164285713</c:v>
                </c:pt>
                <c:pt idx="3">
                  <c:v>212.78856985714287</c:v>
                </c:pt>
                <c:pt idx="4">
                  <c:v>410.15428595714286</c:v>
                </c:pt>
                <c:pt idx="5">
                  <c:v>622.45499965122758</c:v>
                </c:pt>
                <c:pt idx="6">
                  <c:v>434.32357352857144</c:v>
                </c:pt>
                <c:pt idx="7">
                  <c:v>403.40571376255542</c:v>
                </c:pt>
                <c:pt idx="8">
                  <c:v>388.35356794285718</c:v>
                </c:pt>
                <c:pt idx="9">
                  <c:v>317.96785625714284</c:v>
                </c:pt>
                <c:pt idx="10">
                  <c:v>377.62500435714281</c:v>
                </c:pt>
                <c:pt idx="11">
                  <c:v>380.85929216657314</c:v>
                </c:pt>
                <c:pt idx="12">
                  <c:v>332.15285818917374</c:v>
                </c:pt>
                <c:pt idx="13">
                  <c:v>272.16142927142863</c:v>
                </c:pt>
                <c:pt idx="14">
                  <c:v>174.17928642857143</c:v>
                </c:pt>
                <c:pt idx="15">
                  <c:v>124.01500048571428</c:v>
                </c:pt>
                <c:pt idx="16">
                  <c:v>109.72071402413471</c:v>
                </c:pt>
                <c:pt idx="17">
                  <c:v>121.69785745714287</c:v>
                </c:pt>
                <c:pt idx="18">
                  <c:v>98.23285565285714</c:v>
                </c:pt>
                <c:pt idx="19">
                  <c:v>74.486427307142861</c:v>
                </c:pt>
                <c:pt idx="20">
                  <c:v>66.354285648890865</c:v>
                </c:pt>
                <c:pt idx="21">
                  <c:v>60.742857795714293</c:v>
                </c:pt>
                <c:pt idx="22">
                  <c:v>60.932143074285719</c:v>
                </c:pt>
                <c:pt idx="23">
                  <c:v>56.771429334367994</c:v>
                </c:pt>
                <c:pt idx="24">
                  <c:v>51.780714305714291</c:v>
                </c:pt>
                <c:pt idx="25">
                  <c:v>47.265713828571435</c:v>
                </c:pt>
                <c:pt idx="26">
                  <c:v>44.601428440638877</c:v>
                </c:pt>
                <c:pt idx="27">
                  <c:v>42.742857252857149</c:v>
                </c:pt>
                <c:pt idx="28">
                  <c:v>40.262857164285712</c:v>
                </c:pt>
                <c:pt idx="29">
                  <c:v>39.827141895714291</c:v>
                </c:pt>
                <c:pt idx="30">
                  <c:v>37.761428834285709</c:v>
                </c:pt>
                <c:pt idx="31">
                  <c:v>37.760714394705587</c:v>
                </c:pt>
                <c:pt idx="32">
                  <c:v>38.402142115714284</c:v>
                </c:pt>
                <c:pt idx="33">
                  <c:v>36.792856487142856</c:v>
                </c:pt>
                <c:pt idx="34">
                  <c:v>37.991428375244077</c:v>
                </c:pt>
                <c:pt idx="35">
                  <c:v>40.24999999999995</c:v>
                </c:pt>
                <c:pt idx="36">
                  <c:v>41.220714024135006</c:v>
                </c:pt>
                <c:pt idx="37">
                  <c:v>38.451428549630243</c:v>
                </c:pt>
                <c:pt idx="38">
                  <c:v>41.307143075714286</c:v>
                </c:pt>
                <c:pt idx="39">
                  <c:v>45.036428724285713</c:v>
                </c:pt>
                <c:pt idx="40">
                  <c:v>44.255714417142862</c:v>
                </c:pt>
                <c:pt idx="41">
                  <c:v>49.407857077462303</c:v>
                </c:pt>
                <c:pt idx="42">
                  <c:v>49.056428090000004</c:v>
                </c:pt>
                <c:pt idx="43">
                  <c:v>48.241428374285711</c:v>
                </c:pt>
                <c:pt idx="44">
                  <c:v>46.33071463571428</c:v>
                </c:pt>
                <c:pt idx="45">
                  <c:v>44.693571362857142</c:v>
                </c:pt>
                <c:pt idx="46">
                  <c:v>42.967857361428564</c:v>
                </c:pt>
                <c:pt idx="47">
                  <c:v>63.644285474285716</c:v>
                </c:pt>
                <c:pt idx="48">
                  <c:v>90.734285625714293</c:v>
                </c:pt>
                <c:pt idx="49">
                  <c:v>57.20714296714285</c:v>
                </c:pt>
                <c:pt idx="50">
                  <c:v>76.025713785714288</c:v>
                </c:pt>
                <c:pt idx="51">
                  <c:v>180.25785610000003</c:v>
                </c:pt>
                <c:pt idx="52">
                  <c:v>233.42357307142856</c:v>
                </c:pt>
                <c:pt idx="53">
                  <c:v>199.51214380000002</c:v>
                </c:pt>
                <c:pt idx="54">
                  <c:v>380.69428361428572</c:v>
                </c:pt>
                <c:pt idx="55">
                  <c:v>322.4650006857143</c:v>
                </c:pt>
                <c:pt idx="56">
                  <c:v>203.94785854285715</c:v>
                </c:pt>
                <c:pt idx="57">
                  <c:v>317.90785435714287</c:v>
                </c:pt>
                <c:pt idx="58">
                  <c:v>339.78</c:v>
                </c:pt>
                <c:pt idx="59">
                  <c:v>264.85700000000003</c:v>
                </c:pt>
                <c:pt idx="60">
                  <c:v>195.40928431919602</c:v>
                </c:pt>
                <c:pt idx="61">
                  <c:v>212.2000013</c:v>
                </c:pt>
                <c:pt idx="62">
                  <c:v>229.93857247142856</c:v>
                </c:pt>
                <c:pt idx="63">
                  <c:v>287.37429152857146</c:v>
                </c:pt>
                <c:pt idx="64">
                  <c:v>292.37857055714284</c:v>
                </c:pt>
                <c:pt idx="65">
                  <c:v>281.81714740000001</c:v>
                </c:pt>
                <c:pt idx="66">
                  <c:v>319.64357211428575</c:v>
                </c:pt>
                <c:pt idx="67">
                  <c:v>174.665717</c:v>
                </c:pt>
                <c:pt idx="68">
                  <c:v>112.05499922142857</c:v>
                </c:pt>
                <c:pt idx="69">
                  <c:v>79.242856705714289</c:v>
                </c:pt>
                <c:pt idx="70">
                  <c:v>73.040000915714288</c:v>
                </c:pt>
                <c:pt idx="71">
                  <c:v>68.874286108571425</c:v>
                </c:pt>
                <c:pt idx="72">
                  <c:v>68.332856858571418</c:v>
                </c:pt>
                <c:pt idx="73">
                  <c:v>60.234999522857144</c:v>
                </c:pt>
                <c:pt idx="74">
                  <c:v>55.279285977142862</c:v>
                </c:pt>
                <c:pt idx="75">
                  <c:v>49.072856904285722</c:v>
                </c:pt>
                <c:pt idx="76">
                  <c:v>43.960000174285717</c:v>
                </c:pt>
                <c:pt idx="77">
                  <c:v>41.416428701428572</c:v>
                </c:pt>
                <c:pt idx="78">
                  <c:v>38.669285909999992</c:v>
                </c:pt>
                <c:pt idx="79">
                  <c:v>36.412143161428574</c:v>
                </c:pt>
                <c:pt idx="80">
                  <c:v>36.787142614285713</c:v>
                </c:pt>
                <c:pt idx="81">
                  <c:v>39.564285824285712</c:v>
                </c:pt>
                <c:pt idx="82">
                  <c:v>41.400714874285711</c:v>
                </c:pt>
                <c:pt idx="83">
                  <c:v>39.942857471428567</c:v>
                </c:pt>
                <c:pt idx="84">
                  <c:v>37.965715135714291</c:v>
                </c:pt>
                <c:pt idx="85">
                  <c:v>37.97857121285714</c:v>
                </c:pt>
                <c:pt idx="86">
                  <c:v>37.199285234285711</c:v>
                </c:pt>
                <c:pt idx="87">
                  <c:v>36.553570882857137</c:v>
                </c:pt>
                <c:pt idx="88">
                  <c:v>36.635714938571432</c:v>
                </c:pt>
                <c:pt idx="89">
                  <c:v>36.422143117142859</c:v>
                </c:pt>
                <c:pt idx="90">
                  <c:v>36.457856858571432</c:v>
                </c:pt>
                <c:pt idx="91">
                  <c:v>44.888571058571429</c:v>
                </c:pt>
                <c:pt idx="92">
                  <c:v>49.243571144285717</c:v>
                </c:pt>
                <c:pt idx="93">
                  <c:v>38.599999562857143</c:v>
                </c:pt>
                <c:pt idx="94">
                  <c:v>35.493572237142857</c:v>
                </c:pt>
                <c:pt idx="95">
                  <c:v>46.067856924285714</c:v>
                </c:pt>
                <c:pt idx="96">
                  <c:v>41.25857108142857</c:v>
                </c:pt>
                <c:pt idx="97">
                  <c:v>59.822143555714284</c:v>
                </c:pt>
                <c:pt idx="98">
                  <c:v>58.205000194285724</c:v>
                </c:pt>
                <c:pt idx="99">
                  <c:v>108.646</c:v>
                </c:pt>
                <c:pt idx="100">
                  <c:v>183.08428410000002</c:v>
                </c:pt>
                <c:pt idx="101">
                  <c:v>192.18500408571427</c:v>
                </c:pt>
                <c:pt idx="102">
                  <c:v>189.54214041428571</c:v>
                </c:pt>
                <c:pt idx="103">
                  <c:v>169.73285565714286</c:v>
                </c:pt>
                <c:pt idx="104">
                  <c:v>101.56500134142858</c:v>
                </c:pt>
                <c:pt idx="105">
                  <c:v>191.4592830114286</c:v>
                </c:pt>
                <c:pt idx="106">
                  <c:v>222.21500070000002</c:v>
                </c:pt>
                <c:pt idx="107">
                  <c:v>439.25357492857148</c:v>
                </c:pt>
                <c:pt idx="108">
                  <c:v>404.03070942857141</c:v>
                </c:pt>
                <c:pt idx="109">
                  <c:v>420.1207101</c:v>
                </c:pt>
                <c:pt idx="110">
                  <c:v>427.15742450542803</c:v>
                </c:pt>
                <c:pt idx="111">
                  <c:v>294.89857700892827</c:v>
                </c:pt>
                <c:pt idx="112">
                  <c:v>302.25500487142864</c:v>
                </c:pt>
                <c:pt idx="113">
                  <c:v>288.89999999999998</c:v>
                </c:pt>
                <c:pt idx="114">
                  <c:v>414.23214285714226</c:v>
                </c:pt>
                <c:pt idx="115">
                  <c:v>293.36786106654517</c:v>
                </c:pt>
                <c:pt idx="116">
                  <c:v>268.19142857142862</c:v>
                </c:pt>
                <c:pt idx="117">
                  <c:v>229.34857395717026</c:v>
                </c:pt>
                <c:pt idx="118">
                  <c:v>215.08928787142855</c:v>
                </c:pt>
                <c:pt idx="119">
                  <c:v>128.73071398053784</c:v>
                </c:pt>
                <c:pt idx="120">
                  <c:v>118.43833195974599</c:v>
                </c:pt>
                <c:pt idx="121">
                  <c:v>73.115714285714276</c:v>
                </c:pt>
                <c:pt idx="122">
                  <c:v>69.296428135463117</c:v>
                </c:pt>
                <c:pt idx="123">
                  <c:v>62.86000006539475</c:v>
                </c:pt>
                <c:pt idx="124">
                  <c:v>54.305714198521159</c:v>
                </c:pt>
                <c:pt idx="125">
                  <c:v>53.467142922857143</c:v>
                </c:pt>
                <c:pt idx="126">
                  <c:v>51.62714331490649</c:v>
                </c:pt>
                <c:pt idx="127">
                  <c:v>52.48000008857143</c:v>
                </c:pt>
                <c:pt idx="128">
                  <c:v>52.899999890000004</c:v>
                </c:pt>
                <c:pt idx="129">
                  <c:v>50.610000065714296</c:v>
                </c:pt>
                <c:pt idx="130">
                  <c:v>39.56999969571428</c:v>
                </c:pt>
                <c:pt idx="131">
                  <c:v>37.367143358571425</c:v>
                </c:pt>
                <c:pt idx="132">
                  <c:v>34.207142421177402</c:v>
                </c:pt>
                <c:pt idx="133">
                  <c:v>33.177856990000002</c:v>
                </c:pt>
                <c:pt idx="134">
                  <c:v>31.918571744646293</c:v>
                </c:pt>
                <c:pt idx="135">
                  <c:v>36.164285932268385</c:v>
                </c:pt>
                <c:pt idx="136">
                  <c:v>35.879999975714291</c:v>
                </c:pt>
                <c:pt idx="137">
                  <c:v>38.545714242857137</c:v>
                </c:pt>
                <c:pt idx="138">
                  <c:v>40.62499999999995</c:v>
                </c:pt>
                <c:pt idx="139">
                  <c:v>39.675715311428569</c:v>
                </c:pt>
                <c:pt idx="140">
                  <c:v>42.048215323571398</c:v>
                </c:pt>
                <c:pt idx="141">
                  <c:v>43.403571537562748</c:v>
                </c:pt>
                <c:pt idx="142">
                  <c:v>39.662857054285716</c:v>
                </c:pt>
                <c:pt idx="143">
                  <c:v>38.878571646554072</c:v>
                </c:pt>
                <c:pt idx="144">
                  <c:v>39.9741191131004</c:v>
                </c:pt>
                <c:pt idx="145">
                  <c:v>40.656428200000001</c:v>
                </c:pt>
                <c:pt idx="146">
                  <c:v>41.783572060721227</c:v>
                </c:pt>
                <c:pt idx="147">
                  <c:v>40.991428375714285</c:v>
                </c:pt>
                <c:pt idx="148">
                  <c:v>40.139285496302975</c:v>
                </c:pt>
                <c:pt idx="149">
                  <c:v>39.383571627142864</c:v>
                </c:pt>
                <c:pt idx="150">
                  <c:v>41.750000544956698</c:v>
                </c:pt>
                <c:pt idx="151">
                  <c:v>40.275714329310787</c:v>
                </c:pt>
                <c:pt idx="152">
                  <c:v>41.965714589999997</c:v>
                </c:pt>
                <c:pt idx="153">
                  <c:v>44.681428635714283</c:v>
                </c:pt>
                <c:pt idx="154">
                  <c:v>58.199286324285715</c:v>
                </c:pt>
                <c:pt idx="155">
                  <c:v>49.959429059999998</c:v>
                </c:pt>
                <c:pt idx="156">
                  <c:v>66.995713914285716</c:v>
                </c:pt>
                <c:pt idx="157">
                  <c:v>61.672285351428577</c:v>
                </c:pt>
                <c:pt idx="158">
                  <c:v>45.978571755545445</c:v>
                </c:pt>
                <c:pt idx="159">
                  <c:v>48.097142900000001</c:v>
                </c:pt>
                <c:pt idx="160">
                  <c:v>92.98</c:v>
                </c:pt>
                <c:pt idx="161">
                  <c:v>131.38999938964815</c:v>
                </c:pt>
                <c:pt idx="162">
                  <c:v>150.34</c:v>
                </c:pt>
                <c:pt idx="163">
                  <c:v>130.17400032857142</c:v>
                </c:pt>
                <c:pt idx="164">
                  <c:v>94.120000566754854</c:v>
                </c:pt>
                <c:pt idx="165">
                  <c:v>64.657857077142864</c:v>
                </c:pt>
                <c:pt idx="166">
                  <c:v>92.970001220702912</c:v>
                </c:pt>
                <c:pt idx="167">
                  <c:v>280.39857048571423</c:v>
                </c:pt>
                <c:pt idx="168">
                  <c:v>214.80214364285712</c:v>
                </c:pt>
                <c:pt idx="169">
                  <c:v>185.27571324285717</c:v>
                </c:pt>
                <c:pt idx="170">
                  <c:v>140.86500113350971</c:v>
                </c:pt>
                <c:pt idx="171">
                  <c:v>94.683000000000007</c:v>
                </c:pt>
                <c:pt idx="172">
                  <c:v>65.052142551428574</c:v>
                </c:pt>
                <c:pt idx="173">
                  <c:v>54.70571463448654</c:v>
                </c:pt>
                <c:pt idx="174">
                  <c:v>100.44000134428572</c:v>
                </c:pt>
                <c:pt idx="175">
                  <c:v>77.941428048270041</c:v>
                </c:pt>
                <c:pt idx="176">
                  <c:v>57.008000000000003</c:v>
                </c:pt>
                <c:pt idx="177">
                  <c:v>50.488571167142858</c:v>
                </c:pt>
                <c:pt idx="178">
                  <c:v>42.077856881277846</c:v>
                </c:pt>
                <c:pt idx="179">
                  <c:v>37.627999442857138</c:v>
                </c:pt>
                <c:pt idx="180">
                  <c:v>34.431428635714283</c:v>
                </c:pt>
                <c:pt idx="181">
                  <c:v>33.420857565714293</c:v>
                </c:pt>
                <c:pt idx="182">
                  <c:v>29.930713926042788</c:v>
                </c:pt>
                <c:pt idx="183">
                  <c:v>29.310714177142859</c:v>
                </c:pt>
                <c:pt idx="184">
                  <c:v>30.493714469999997</c:v>
                </c:pt>
                <c:pt idx="185">
                  <c:v>33.544999803815529</c:v>
                </c:pt>
                <c:pt idx="186">
                  <c:v>33.45214326</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_(* #,##0.00_);_(* \(#,##0.00\);_(* &quot;-&quot;??_);_(@_)"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2004448201444348"/>
          <c:w val="0.79300488639316924"/>
          <c:h val="9.88682925338425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166.17429465794598</c:v>
                </c:pt>
                <c:pt idx="1">
                  <c:v>164.69749944324892</c:v>
                </c:pt>
                <c:pt idx="2">
                  <c:v>161.44285247428559</c:v>
                </c:pt>
                <c:pt idx="3">
                  <c:v>159.12775530939993</c:v>
                </c:pt>
                <c:pt idx="4">
                  <c:v>162.87996550303185</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153.83989067027986</c:v>
                </c:pt>
                <c:pt idx="1">
                  <c:v>149.25326413633374</c:v>
                </c:pt>
                <c:pt idx="2">
                  <c:v>152.81683450634054</c:v>
                </c:pt>
                <c:pt idx="3">
                  <c:v>148.0718768446784</c:v>
                </c:pt>
                <c:pt idx="4">
                  <c:v>150.5002594314744</c:v>
                </c:pt>
                <c:pt idx="5">
                  <c:v>150.25968208758084</c:v>
                </c:pt>
                <c:pt idx="6">
                  <c:v>150.3476213000443</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170.42129695747096</c:v>
                </c:pt>
                <c:pt idx="1">
                  <c:v>164.10998514420479</c:v>
                </c:pt>
                <c:pt idx="2">
                  <c:v>163.42148823404051</c:v>
                </c:pt>
                <c:pt idx="3">
                  <c:v>167.81762104398365</c:v>
                </c:pt>
                <c:pt idx="4">
                  <c:v>163.72289199372509</c:v>
                </c:pt>
                <c:pt idx="5">
                  <c:v>159.81280715917319</c:v>
                </c:pt>
                <c:pt idx="6">
                  <c:v>166.29941914173401</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62343137724388697"/>
        </c:manualLayout>
      </c:layout>
      <c:barChart>
        <c:barDir val="col"/>
        <c:grouping val="clustered"/>
        <c:varyColors val="0"/>
        <c:ser>
          <c:idx val="0"/>
          <c:order val="0"/>
          <c:tx>
            <c:strRef>
              <c:f>'16. Congestiones'!$D$6</c:f>
              <c:strCache>
                <c:ptCount val="1"/>
                <c:pt idx="0">
                  <c:v>JULIO
 2023</c:v>
                </c:pt>
              </c:strCache>
            </c:strRef>
          </c:tx>
          <c:spPr>
            <a:solidFill>
              <a:schemeClr val="accent1"/>
            </a:solidFill>
            <a:ln>
              <a:noFill/>
            </a:ln>
            <a:effectLst/>
          </c:spPr>
          <c:invertIfNegative val="0"/>
          <c:cat>
            <c:strRef>
              <c:f>'16. Congestiones'!$C$7:$C$13</c:f>
              <c:strCache>
                <c:ptCount val="7"/>
                <c:pt idx="0">
                  <c:v>TRUJILLO NORTE - CHIMBOTE 1</c:v>
                </c:pt>
                <c:pt idx="1">
                  <c:v>SANTA ROSA N. - CHAVARRÍA</c:v>
                </c:pt>
                <c:pt idx="2">
                  <c:v>INDEPENDENCIA</c:v>
                </c:pt>
                <c:pt idx="3">
                  <c:v>SANTA ROSA A. - HUACHIPA</c:v>
                </c:pt>
                <c:pt idx="4">
                  <c:v>SAN JUAN - LOS INDUSTRIALES</c:v>
                </c:pt>
                <c:pt idx="5">
                  <c:v>ICA - MARCONA</c:v>
                </c:pt>
                <c:pt idx="6">
                  <c:v>CHILCA - PLANICIE</c:v>
                </c:pt>
              </c:strCache>
            </c:strRef>
          </c:cat>
          <c:val>
            <c:numRef>
              <c:f>'16. Congestiones'!$D$7:$D$13</c:f>
              <c:numCache>
                <c:formatCode>#,##0.00</c:formatCode>
                <c:ptCount val="7"/>
                <c:pt idx="0">
                  <c:v>2.65</c:v>
                </c:pt>
                <c:pt idx="1">
                  <c:v>6.2166666666666668</c:v>
                </c:pt>
                <c:pt idx="3">
                  <c:v>1.0000000000000018</c:v>
                </c:pt>
                <c:pt idx="4">
                  <c:v>8.8166666666666682</c:v>
                </c:pt>
                <c:pt idx="5">
                  <c:v>1.5166666666666693</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JULIO
 2022</c:v>
                </c:pt>
              </c:strCache>
            </c:strRef>
          </c:tx>
          <c:spPr>
            <a:solidFill>
              <a:schemeClr val="accent2"/>
            </a:solidFill>
            <a:ln>
              <a:noFill/>
            </a:ln>
            <a:effectLst/>
          </c:spPr>
          <c:invertIfNegative val="0"/>
          <c:cat>
            <c:strRef>
              <c:f>'16. Congestiones'!$C$7:$C$13</c:f>
              <c:strCache>
                <c:ptCount val="7"/>
                <c:pt idx="0">
                  <c:v>TRUJILLO NORTE - CHIMBOTE 1</c:v>
                </c:pt>
                <c:pt idx="1">
                  <c:v>SANTA ROSA N. - CHAVARRÍA</c:v>
                </c:pt>
                <c:pt idx="2">
                  <c:v>INDEPENDENCIA</c:v>
                </c:pt>
                <c:pt idx="3">
                  <c:v>SANTA ROSA A. - HUACHIPA</c:v>
                </c:pt>
                <c:pt idx="4">
                  <c:v>SAN JUAN - LOS INDUSTRIALES</c:v>
                </c:pt>
                <c:pt idx="5">
                  <c:v>ICA - MARCONA</c:v>
                </c:pt>
                <c:pt idx="6">
                  <c:v>CHILCA - PLANICIE</c:v>
                </c:pt>
              </c:strCache>
            </c:strRef>
          </c:cat>
          <c:val>
            <c:numRef>
              <c:f>'16. Congestiones'!$E$7:$E$13</c:f>
              <c:numCache>
                <c:formatCode>#,##0.00</c:formatCode>
                <c:ptCount val="7"/>
                <c:pt idx="6">
                  <c:v>29.32</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JULIO
 2021</c:v>
                </c:pt>
              </c:strCache>
            </c:strRef>
          </c:tx>
          <c:spPr>
            <a:solidFill>
              <a:schemeClr val="accent6"/>
            </a:solidFill>
            <a:ln>
              <a:noFill/>
            </a:ln>
            <a:effectLst/>
          </c:spPr>
          <c:invertIfNegative val="0"/>
          <c:val>
            <c:numRef>
              <c:f>'16. Congestiones'!$F$7:$F$13</c:f>
              <c:numCache>
                <c:formatCode>#,##0.00</c:formatCode>
                <c:ptCount val="7"/>
                <c:pt idx="2">
                  <c:v>3.2833333333333337</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7.5753866046249188E-2"/>
                  <c:y val="1.0859005510717981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6.3058843697305869E-2"/>
                  <c:y val="0.14000975465497864"/>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D8FAC4B7-893D-4DF8-B22B-AA996724105F}" type="PERCENTAGE">
                      <a:rPr lang="en-US" sz="700" baseline="0">
                        <a:solidFill>
                          <a:schemeClr val="tx1">
                            <a:lumMod val="75000"/>
                            <a:lumOff val="25000"/>
                          </a:schemeClr>
                        </a:solidFill>
                      </a:rPr>
                      <a:pPr>
                        <a:defRPr sz="700"/>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74331646855"/>
                      <c:h val="5.8675926354164375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3102469203659667E-2"/>
                  <c:y val="5.729337014501773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CFB78BC4-28D5-47C7-B7DB-8191FAC6D7D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137391385913919"/>
                  <c:y val="-1.4740761432505013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95C72DD4-DF0A-4ADB-BF1F-8F6A909549B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5.6681684261767881E-2"/>
                  <c:y val="-3.4109698609031555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27603D00-D9FB-4149-8137-F4436AFFD3A3}"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Eventos'!$B$10:$H$10</c:f>
              <c:numCache>
                <c:formatCode>General</c:formatCode>
                <c:ptCount val="7"/>
                <c:pt idx="0">
                  <c:v>2</c:v>
                </c:pt>
                <c:pt idx="1">
                  <c:v>3</c:v>
                </c:pt>
                <c:pt idx="2">
                  <c:v>2</c:v>
                </c:pt>
                <c:pt idx="3">
                  <c:v>5</c:v>
                </c:pt>
                <c:pt idx="4">
                  <c:v>6</c:v>
                </c:pt>
                <c:pt idx="5">
                  <c:v>1</c:v>
                </c:pt>
                <c:pt idx="6">
                  <c:v>1</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Eventos'!$A$7:$A$9</c:f>
              <c:strCache>
                <c:ptCount val="3"/>
                <c:pt idx="0">
                  <c:v>LÍNEA DE TRANSMISIÓN</c:v>
                </c:pt>
                <c:pt idx="1">
                  <c:v>SUB ESTACIÓN</c:v>
                </c:pt>
                <c:pt idx="2">
                  <c:v>TR  3D</c:v>
                </c:pt>
              </c:strCache>
            </c:strRef>
          </c:cat>
          <c:val>
            <c:numRef>
              <c:f>'17. Eventos'!$J$7:$J$9</c:f>
              <c:numCache>
                <c:formatCode>#,##0.00</c:formatCode>
                <c:ptCount val="3"/>
                <c:pt idx="0">
                  <c:v>166.89</c:v>
                </c:pt>
                <c:pt idx="1">
                  <c:v>11.33</c:v>
                </c:pt>
                <c:pt idx="2">
                  <c:v>29.15</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77651777874101"/>
          <c:h val="0.54111333969026398"/>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Eventos'!$A$7:$A$9</c:f>
              <c:strCache>
                <c:ptCount val="3"/>
                <c:pt idx="0">
                  <c:v>LÍNEA DE TRANSMISIÓN</c:v>
                </c:pt>
                <c:pt idx="1">
                  <c:v>SUB ESTACIÓN</c:v>
                </c:pt>
                <c:pt idx="2">
                  <c:v>TR  3D</c:v>
                </c:pt>
              </c:strCache>
            </c:strRef>
          </c:cat>
          <c:val>
            <c:numRef>
              <c:f>'17. Eventos'!$B$7:$B$9</c:f>
              <c:numCache>
                <c:formatCode>General</c:formatCode>
                <c:ptCount val="3"/>
                <c:pt idx="0">
                  <c:v>2</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Eventos'!$A$7:$A$9</c:f>
              <c:strCache>
                <c:ptCount val="3"/>
                <c:pt idx="0">
                  <c:v>LÍNEA DE TRANSMISIÓN</c:v>
                </c:pt>
                <c:pt idx="1">
                  <c:v>SUB ESTACIÓN</c:v>
                </c:pt>
                <c:pt idx="2">
                  <c:v>TR  3D</c:v>
                </c:pt>
              </c:strCache>
            </c:strRef>
          </c:cat>
          <c:val>
            <c:numRef>
              <c:f>'17. Eventos'!$C$7:$C$9</c:f>
              <c:numCache>
                <c:formatCode>General</c:formatCode>
                <c:ptCount val="3"/>
                <c:pt idx="0">
                  <c:v>3</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Eventos'!$A$7:$A$9</c:f>
              <c:strCache>
                <c:ptCount val="3"/>
                <c:pt idx="0">
                  <c:v>LÍNEA DE TRANSMISIÓN</c:v>
                </c:pt>
                <c:pt idx="1">
                  <c:v>SUB ESTACIÓN</c:v>
                </c:pt>
                <c:pt idx="2">
                  <c:v>TR  3D</c:v>
                </c:pt>
              </c:strCache>
            </c:strRef>
          </c:cat>
          <c:val>
            <c:numRef>
              <c:f>'17. Eventos'!$D$7:$D$9</c:f>
              <c:numCache>
                <c:formatCode>General</c:formatCode>
                <c:ptCount val="3"/>
                <c:pt idx="0">
                  <c:v>2</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Eventos'!$A$7:$A$9</c:f>
              <c:strCache>
                <c:ptCount val="3"/>
                <c:pt idx="0">
                  <c:v>LÍNEA DE TRANSMISIÓN</c:v>
                </c:pt>
                <c:pt idx="1">
                  <c:v>SUB ESTACIÓN</c:v>
                </c:pt>
                <c:pt idx="2">
                  <c:v>TR  3D</c:v>
                </c:pt>
              </c:strCache>
            </c:strRef>
          </c:cat>
          <c:val>
            <c:numRef>
              <c:f>'17. Eventos'!$E$7:$E$9</c:f>
              <c:numCache>
                <c:formatCode>General</c:formatCode>
                <c:ptCount val="3"/>
                <c:pt idx="0">
                  <c:v>5</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Eventos'!$A$7:$A$9</c:f>
              <c:strCache>
                <c:ptCount val="3"/>
                <c:pt idx="0">
                  <c:v>LÍNEA DE TRANSMISIÓN</c:v>
                </c:pt>
                <c:pt idx="1">
                  <c:v>SUB ESTACIÓN</c:v>
                </c:pt>
                <c:pt idx="2">
                  <c:v>TR  3D</c:v>
                </c:pt>
              </c:strCache>
            </c:strRef>
          </c:cat>
          <c:val>
            <c:numRef>
              <c:f>'17. Eventos'!$F$7:$F$9</c:f>
              <c:numCache>
                <c:formatCode>General</c:formatCode>
                <c:ptCount val="3"/>
                <c:pt idx="0">
                  <c:v>6</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Eventos'!$A$7:$A$9</c:f>
              <c:strCache>
                <c:ptCount val="3"/>
                <c:pt idx="0">
                  <c:v>LÍNEA DE TRANSMISIÓN</c:v>
                </c:pt>
                <c:pt idx="1">
                  <c:v>SUB ESTACIÓN</c:v>
                </c:pt>
                <c:pt idx="2">
                  <c:v>TR  3D</c:v>
                </c:pt>
              </c:strCache>
            </c:strRef>
          </c:cat>
          <c:val>
            <c:numRef>
              <c:f>'17. Eventos'!$G$7:$G$9</c:f>
              <c:numCache>
                <c:formatCode>General</c:formatCode>
                <c:ptCount val="3"/>
                <c:pt idx="2">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Eventos'!$A$7:$A$9</c:f>
              <c:strCache>
                <c:ptCount val="3"/>
                <c:pt idx="0">
                  <c:v>LÍNEA DE TRANSMISIÓN</c:v>
                </c:pt>
                <c:pt idx="1">
                  <c:v>SUB ESTACIÓN</c:v>
                </c:pt>
                <c:pt idx="2">
                  <c:v>TR  3D</c:v>
                </c:pt>
              </c:strCache>
            </c:strRef>
          </c:cat>
          <c:val>
            <c:numRef>
              <c:f>'17. Eventos'!$H$7:$H$9</c:f>
              <c:numCache>
                <c:formatCode>General</c:formatCode>
                <c:ptCount val="3"/>
                <c:pt idx="1">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generación'!$B$25:$C$25</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generación'!$D$24:$E$24</c:f>
              <c:strCache>
                <c:ptCount val="2"/>
                <c:pt idx="0">
                  <c:v>JULIO 2023</c:v>
                </c:pt>
                <c:pt idx="1">
                  <c:v>JULIO 2022</c:v>
                </c:pt>
              </c:strCache>
            </c:strRef>
          </c:cat>
          <c:val>
            <c:numRef>
              <c:f>'2. Oferta de generación'!$D$25:$E$25</c:f>
              <c:numCache>
                <c:formatCode>#,##0.0</c:formatCode>
                <c:ptCount val="2"/>
                <c:pt idx="0">
                  <c:v>5134.2882475000006</c:v>
                </c:pt>
                <c:pt idx="1">
                  <c:v>5260.9382475000002</c:v>
                </c:pt>
              </c:numCache>
            </c:numRef>
          </c:val>
          <c:extLst>
            <c:ext xmlns:c16="http://schemas.microsoft.com/office/drawing/2014/chart" uri="{C3380CC4-5D6E-409C-BE32-E72D297353CC}">
              <c16:uniqueId val="{00000004-54B0-402D-913D-0304413B844F}"/>
            </c:ext>
          </c:extLst>
        </c:ser>
        <c:ser>
          <c:idx val="1"/>
          <c:order val="1"/>
          <c:tx>
            <c:strRef>
              <c:f>'2. Oferta de generación'!$B$26:$C$26</c:f>
              <c:strCache>
                <c:ptCount val="2"/>
                <c:pt idx="0">
                  <c:v>TERMOELÉCTRICA</c:v>
                </c:pt>
              </c:strCache>
            </c:strRef>
          </c:tx>
          <c:spPr>
            <a:solidFill>
              <a:schemeClr val="accent2"/>
            </a:solidFill>
          </c:spPr>
          <c:invertIfNegative val="0"/>
          <c:cat>
            <c:strRef>
              <c:f>'2. Oferta de generación'!$D$24:$E$24</c:f>
              <c:strCache>
                <c:ptCount val="2"/>
                <c:pt idx="0">
                  <c:v>JULIO 2023</c:v>
                </c:pt>
                <c:pt idx="1">
                  <c:v>JULIO 2022</c:v>
                </c:pt>
              </c:strCache>
            </c:strRef>
          </c:cat>
          <c:val>
            <c:numRef>
              <c:f>'2. Oferta de generación'!$D$26:$E$26</c:f>
              <c:numCache>
                <c:formatCode>#,##0.0</c:formatCode>
                <c:ptCount val="2"/>
                <c:pt idx="0">
                  <c:v>7528.9944999999998</c:v>
                </c:pt>
                <c:pt idx="1">
                  <c:v>7605.0945000000002</c:v>
                </c:pt>
              </c:numCache>
            </c:numRef>
          </c:val>
          <c:extLst>
            <c:ext xmlns:c16="http://schemas.microsoft.com/office/drawing/2014/chart" uri="{C3380CC4-5D6E-409C-BE32-E72D297353CC}">
              <c16:uniqueId val="{00000005-54B0-402D-913D-0304413B844F}"/>
            </c:ext>
          </c:extLst>
        </c:ser>
        <c:ser>
          <c:idx val="2"/>
          <c:order val="2"/>
          <c:tx>
            <c:strRef>
              <c:f>'2. Oferta de generación'!$B$27:$C$27</c:f>
              <c:strCache>
                <c:ptCount val="2"/>
                <c:pt idx="0">
                  <c:v>EÓLICA</c:v>
                </c:pt>
              </c:strCache>
            </c:strRef>
          </c:tx>
          <c:spPr>
            <a:solidFill>
              <a:srgbClr val="6DA6D9"/>
            </a:solidFill>
          </c:spPr>
          <c:invertIfNegative val="0"/>
          <c:cat>
            <c:strRef>
              <c:f>'2. Oferta de generación'!$D$24:$E$24</c:f>
              <c:strCache>
                <c:ptCount val="2"/>
                <c:pt idx="0">
                  <c:v>JULIO 2023</c:v>
                </c:pt>
                <c:pt idx="1">
                  <c:v>JULIO 2022</c:v>
                </c:pt>
              </c:strCache>
            </c:strRef>
          </c:cat>
          <c:val>
            <c:numRef>
              <c:f>'2. Oferta de generación'!$D$27:$E$27</c:f>
              <c:numCache>
                <c:formatCode>#,##0.0</c:formatCode>
                <c:ptCount val="2"/>
                <c:pt idx="0">
                  <c:v>672.2</c:v>
                </c:pt>
                <c:pt idx="1">
                  <c:v>412.2</c:v>
                </c:pt>
              </c:numCache>
            </c:numRef>
          </c:val>
          <c:extLst>
            <c:ext xmlns:c16="http://schemas.microsoft.com/office/drawing/2014/chart" uri="{C3380CC4-5D6E-409C-BE32-E72D297353CC}">
              <c16:uniqueId val="{00000006-54B0-402D-913D-0304413B844F}"/>
            </c:ext>
          </c:extLst>
        </c:ser>
        <c:ser>
          <c:idx val="3"/>
          <c:order val="3"/>
          <c:tx>
            <c:strRef>
              <c:f>'2. Oferta de generación'!$B$28:$C$28</c:f>
              <c:strCache>
                <c:ptCount val="2"/>
                <c:pt idx="0">
                  <c:v>SOLAR</c:v>
                </c:pt>
              </c:strCache>
            </c:strRef>
          </c:tx>
          <c:invertIfNegative val="0"/>
          <c:cat>
            <c:strRef>
              <c:f>'2. Oferta de generación'!$D$24:$E$24</c:f>
              <c:strCache>
                <c:ptCount val="2"/>
                <c:pt idx="0">
                  <c:v>JULIO 2023</c:v>
                </c:pt>
                <c:pt idx="1">
                  <c:v>JULIO 2022</c:v>
                </c:pt>
              </c:strCache>
            </c:strRef>
          </c:cat>
          <c:val>
            <c:numRef>
              <c:f>'2. Oferta de generación'!$D$28:$E$28</c:f>
              <c:numCache>
                <c:formatCode>#,##0.0</c:formatCode>
                <c:ptCount val="2"/>
                <c:pt idx="0">
                  <c:v>282.27499999999998</c:v>
                </c:pt>
                <c:pt idx="1">
                  <c:v>282.27499999999998</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2021</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19313.845621516499</c:v>
                </c:pt>
                <c:pt idx="1">
                  <c:v>10350.356270102498</c:v>
                </c:pt>
                <c:pt idx="2">
                  <c:v>1011.0537621000001</c:v>
                </c:pt>
                <c:pt idx="3">
                  <c:v>432.84139496</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2022</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18865.300351055001</c:v>
                </c:pt>
                <c:pt idx="1">
                  <c:v>11591.316714197499</c:v>
                </c:pt>
                <c:pt idx="2">
                  <c:v>1095.8716307024999</c:v>
                </c:pt>
                <c:pt idx="3">
                  <c:v>438.77715382250005</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2023</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17322.624357827499</c:v>
                </c:pt>
                <c:pt idx="1">
                  <c:v>14888.116425254999</c:v>
                </c:pt>
                <c:pt idx="2">
                  <c:v>1176.0843021275</c:v>
                </c:pt>
                <c:pt idx="3">
                  <c:v>437.67648156750005</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2023</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Recurso'!$G$6:$G$17</c:f>
              <c:numCache>
                <c:formatCode>_(* #,##0.00_);_(* \(#,##0.00\);_(* "-"??_);_(@_)</c:formatCode>
                <c:ptCount val="12"/>
                <c:pt idx="0">
                  <c:v>17322.624357827499</c:v>
                </c:pt>
                <c:pt idx="1">
                  <c:v>13624.5116361375</c:v>
                </c:pt>
                <c:pt idx="2">
                  <c:v>419.64416775000001</c:v>
                </c:pt>
                <c:pt idx="3">
                  <c:v>194.64647118250002</c:v>
                </c:pt>
                <c:pt idx="4">
                  <c:v>0</c:v>
                </c:pt>
                <c:pt idx="5">
                  <c:v>8.2812955000000006</c:v>
                </c:pt>
                <c:pt idx="6">
                  <c:v>0</c:v>
                </c:pt>
                <c:pt idx="7">
                  <c:v>474.07746745249989</c:v>
                </c:pt>
                <c:pt idx="8">
                  <c:v>127.76609678250001</c:v>
                </c:pt>
                <c:pt idx="9">
                  <c:v>39.189290450000001</c:v>
                </c:pt>
                <c:pt idx="10">
                  <c:v>437.67648156750005</c:v>
                </c:pt>
                <c:pt idx="11">
                  <c:v>1176.0843021275</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2022</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Recurso'!$H$6:$H$17</c:f>
              <c:numCache>
                <c:formatCode>_(* #,##0.00_);_(* \(#,##0.00\);_(* "-"??_);_(@_)</c:formatCode>
                <c:ptCount val="12"/>
                <c:pt idx="0">
                  <c:v>18865.300351055001</c:v>
                </c:pt>
                <c:pt idx="1">
                  <c:v>10910.128194949999</c:v>
                </c:pt>
                <c:pt idx="2">
                  <c:v>348.73379300000005</c:v>
                </c:pt>
                <c:pt idx="3">
                  <c:v>117.7053639575</c:v>
                </c:pt>
                <c:pt idx="4">
                  <c:v>17.829347852500003</c:v>
                </c:pt>
                <c:pt idx="5">
                  <c:v>7.0801048524999999</c:v>
                </c:pt>
                <c:pt idx="6">
                  <c:v>0</c:v>
                </c:pt>
                <c:pt idx="7">
                  <c:v>15.391685090000003</c:v>
                </c:pt>
                <c:pt idx="8">
                  <c:v>131.29786939499999</c:v>
                </c:pt>
                <c:pt idx="9">
                  <c:v>43.150355099999999</c:v>
                </c:pt>
                <c:pt idx="10">
                  <c:v>438.77715382250005</c:v>
                </c:pt>
                <c:pt idx="11">
                  <c:v>1095.8716307024999</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2021</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Recurso'!$J$6:$J$17</c:f>
              <c:numCache>
                <c:formatCode>_(* #,##0.00_);_(* \(#,##0.00\);_(* "-"??_);_(@_)</c:formatCode>
                <c:ptCount val="12"/>
                <c:pt idx="0">
                  <c:v>19313.845621516499</c:v>
                </c:pt>
                <c:pt idx="1">
                  <c:v>9637.7148243749998</c:v>
                </c:pt>
                <c:pt idx="2">
                  <c:v>401.26833578000003</c:v>
                </c:pt>
                <c:pt idx="3">
                  <c:v>89.949641222499991</c:v>
                </c:pt>
                <c:pt idx="4">
                  <c:v>13.02409829</c:v>
                </c:pt>
                <c:pt idx="5">
                  <c:v>4.2980835649999998</c:v>
                </c:pt>
                <c:pt idx="6">
                  <c:v>0</c:v>
                </c:pt>
                <c:pt idx="7">
                  <c:v>11.1534715</c:v>
                </c:pt>
                <c:pt idx="8">
                  <c:v>145.61059141250001</c:v>
                </c:pt>
                <c:pt idx="9">
                  <c:v>47.337223957500008</c:v>
                </c:pt>
                <c:pt idx="10">
                  <c:v>432.84139496</c:v>
                </c:pt>
                <c:pt idx="11">
                  <c:v>1011.0537621000001</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2021</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1490.1805756889948</c:v>
                </c:pt>
                <c:pt idx="1">
                  <c:v>1011.0537621000001</c:v>
                </c:pt>
                <c:pt idx="2">
                  <c:v>432.84139496</c:v>
                </c:pt>
                <c:pt idx="3">
                  <c:v>145.61059141250001</c:v>
                </c:pt>
                <c:pt idx="4">
                  <c:v>47.337223957500008</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2022</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1373.0084291225</c:v>
                </c:pt>
                <c:pt idx="1">
                  <c:v>1095.8716307024999</c:v>
                </c:pt>
                <c:pt idx="2">
                  <c:v>438.77715382250005</c:v>
                </c:pt>
                <c:pt idx="3">
                  <c:v>131.29786939499999</c:v>
                </c:pt>
                <c:pt idx="4">
                  <c:v>43.150355099999999</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2023</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1369.5443439225005</c:v>
                </c:pt>
                <c:pt idx="1">
                  <c:v>1176.0843021275</c:v>
                </c:pt>
                <c:pt idx="2">
                  <c:v>437.67648156750005</c:v>
                </c:pt>
                <c:pt idx="3">
                  <c:v>127.76609678250001</c:v>
                </c:pt>
                <c:pt idx="4">
                  <c:v>39.189290450000001</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explosion val="7"/>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4.7216537970356916E-2"/>
                  <c:y val="-0.1494587434894931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9.8055697149476526E-2"/>
                  <c:y val="7.6708707371404242E-2"/>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8,252</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4409.0677883400003</c:v>
                </c:pt>
                <c:pt idx="1">
                  <c:v>106.27169382249998</c:v>
                </c:pt>
                <c:pt idx="2">
                  <c:v>188.24767344500003</c:v>
                </c:pt>
                <c:pt idx="3">
                  <c:v>69.0593317525</c:v>
                </c:pt>
                <c:pt idx="4">
                  <c:v>27.041169224999997</c:v>
                </c:pt>
                <c:pt idx="5">
                  <c:v>5.9279576</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RER'!$M$6:$M$34</c:f>
              <c:strCache>
                <c:ptCount val="29"/>
                <c:pt idx="0">
                  <c:v>C.H. RENOVANDES H1</c:v>
                </c:pt>
                <c:pt idx="1">
                  <c:v>C.H. YARUCAYA</c:v>
                </c:pt>
                <c:pt idx="2">
                  <c:v>C.H. CHANCAY</c:v>
                </c:pt>
                <c:pt idx="3">
                  <c:v>C.H. CARHUAC</c:v>
                </c:pt>
                <c:pt idx="4">
                  <c:v>C.H. RUCUY</c:v>
                </c:pt>
                <c:pt idx="5">
                  <c:v>C.H. POECHOS II</c:v>
                </c:pt>
                <c:pt idx="6">
                  <c:v>C.H. LA JOYA</c:v>
                </c:pt>
                <c:pt idx="7">
                  <c:v>C.H. ÁNGEL III</c:v>
                </c:pt>
                <c:pt idx="8">
                  <c:v>C.H. CANCHAYLLO</c:v>
                </c:pt>
                <c:pt idx="9">
                  <c:v>C.H. ÁNGEL II</c:v>
                </c:pt>
                <c:pt idx="10">
                  <c:v>C.H. MANTA I</c:v>
                </c:pt>
                <c:pt idx="11">
                  <c:v>C.H. LAS PIZARRAS</c:v>
                </c:pt>
                <c:pt idx="12">
                  <c:v>C.H. 8 DE AGOSTO</c:v>
                </c:pt>
                <c:pt idx="13">
                  <c:v>C.H. RUNATULLO III</c:v>
                </c:pt>
                <c:pt idx="14">
                  <c:v>C.H. IMPERIAL</c:v>
                </c:pt>
                <c:pt idx="15">
                  <c:v>C.H. ÁNGEL I</c:v>
                </c:pt>
                <c:pt idx="16">
                  <c:v>C.H. RUNATULLO II</c:v>
                </c:pt>
                <c:pt idx="17">
                  <c:v>C.H. POTRERO</c:v>
                </c:pt>
                <c:pt idx="18">
                  <c:v>C.H. SANTA CRUZ II</c:v>
                </c:pt>
                <c:pt idx="19">
                  <c:v>C.H. YANAPAMPA</c:v>
                </c:pt>
                <c:pt idx="20">
                  <c:v>C.H. SANTA CRUZ I</c:v>
                </c:pt>
                <c:pt idx="21">
                  <c:v>C.H. EL CARMEN</c:v>
                </c:pt>
                <c:pt idx="22">
                  <c:v>C.H. RONCADOR</c:v>
                </c:pt>
                <c:pt idx="23">
                  <c:v>C.H. HUASAHUASI II</c:v>
                </c:pt>
                <c:pt idx="24">
                  <c:v>C.H. HUASAHUASI I</c:v>
                </c:pt>
                <c:pt idx="25">
                  <c:v>C.H. CAÑA BRAVA</c:v>
                </c:pt>
                <c:pt idx="26">
                  <c:v>C.H. HER 1</c:v>
                </c:pt>
                <c:pt idx="27">
                  <c:v>C.H. PURMACANA</c:v>
                </c:pt>
                <c:pt idx="28">
                  <c:v>C.H. CARHUAQUERO IV</c:v>
                </c:pt>
              </c:strCache>
            </c:strRef>
          </c:cat>
          <c:val>
            <c:numRef>
              <c:f>'6. FP RER'!$P$6:$P$34</c:f>
              <c:numCache>
                <c:formatCode>0.00</c:formatCode>
                <c:ptCount val="29"/>
                <c:pt idx="0">
                  <c:v>14.624096485000001</c:v>
                </c:pt>
                <c:pt idx="1">
                  <c:v>10.116444999999999</c:v>
                </c:pt>
                <c:pt idx="2">
                  <c:v>9.6336858224999986</c:v>
                </c:pt>
                <c:pt idx="3">
                  <c:v>7.9616368949999998</c:v>
                </c:pt>
                <c:pt idx="4">
                  <c:v>7.4611049299999994</c:v>
                </c:pt>
                <c:pt idx="5">
                  <c:v>5.5289283549999997</c:v>
                </c:pt>
                <c:pt idx="6">
                  <c:v>4.0387274099999999</c:v>
                </c:pt>
                <c:pt idx="7">
                  <c:v>3.8006059850000002</c:v>
                </c:pt>
                <c:pt idx="8">
                  <c:v>3.78700715</c:v>
                </c:pt>
                <c:pt idx="9">
                  <c:v>3.6850678549999998</c:v>
                </c:pt>
                <c:pt idx="10">
                  <c:v>3.622056905</c:v>
                </c:pt>
                <c:pt idx="11">
                  <c:v>3.6139667424999997</c:v>
                </c:pt>
                <c:pt idx="12">
                  <c:v>3.2761544675000001</c:v>
                </c:pt>
                <c:pt idx="13">
                  <c:v>3.2059598875000002</c:v>
                </c:pt>
                <c:pt idx="14">
                  <c:v>2.5579999999999998</c:v>
                </c:pt>
                <c:pt idx="15">
                  <c:v>2.52272257</c:v>
                </c:pt>
                <c:pt idx="16">
                  <c:v>2.2234728799999997</c:v>
                </c:pt>
                <c:pt idx="17">
                  <c:v>2.1957373750000002</c:v>
                </c:pt>
                <c:pt idx="18">
                  <c:v>1.9896140025</c:v>
                </c:pt>
                <c:pt idx="19">
                  <c:v>1.79883755</c:v>
                </c:pt>
                <c:pt idx="20">
                  <c:v>1.6539082475</c:v>
                </c:pt>
                <c:pt idx="21">
                  <c:v>1.5404036374999999</c:v>
                </c:pt>
                <c:pt idx="22">
                  <c:v>1.4547262500000002</c:v>
                </c:pt>
                <c:pt idx="23">
                  <c:v>1.3197084075000001</c:v>
                </c:pt>
                <c:pt idx="24">
                  <c:v>1.0567285150000001</c:v>
                </c:pt>
                <c:pt idx="25">
                  <c:v>0.76483272999999996</c:v>
                </c:pt>
                <c:pt idx="26">
                  <c:v>0.35827599999999998</c:v>
                </c:pt>
                <c:pt idx="27">
                  <c:v>0.34193541</c:v>
                </c:pt>
                <c:pt idx="28">
                  <c:v>0.13734635750000002</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RER'!$M$6:$M$34</c:f>
              <c:strCache>
                <c:ptCount val="29"/>
                <c:pt idx="0">
                  <c:v>C.H. RENOVANDES H1</c:v>
                </c:pt>
                <c:pt idx="1">
                  <c:v>C.H. YARUCAYA</c:v>
                </c:pt>
                <c:pt idx="2">
                  <c:v>C.H. CHANCAY</c:v>
                </c:pt>
                <c:pt idx="3">
                  <c:v>C.H. CARHUAC</c:v>
                </c:pt>
                <c:pt idx="4">
                  <c:v>C.H. RUCUY</c:v>
                </c:pt>
                <c:pt idx="5">
                  <c:v>C.H. POECHOS II</c:v>
                </c:pt>
                <c:pt idx="6">
                  <c:v>C.H. LA JOYA</c:v>
                </c:pt>
                <c:pt idx="7">
                  <c:v>C.H. ÁNGEL III</c:v>
                </c:pt>
                <c:pt idx="8">
                  <c:v>C.H. CANCHAYLLO</c:v>
                </c:pt>
                <c:pt idx="9">
                  <c:v>C.H. ÁNGEL II</c:v>
                </c:pt>
                <c:pt idx="10">
                  <c:v>C.H. MANTA I</c:v>
                </c:pt>
                <c:pt idx="11">
                  <c:v>C.H. LAS PIZARRAS</c:v>
                </c:pt>
                <c:pt idx="12">
                  <c:v>C.H. 8 DE AGOSTO</c:v>
                </c:pt>
                <c:pt idx="13">
                  <c:v>C.H. RUNATULLO III</c:v>
                </c:pt>
                <c:pt idx="14">
                  <c:v>C.H. IMPERIAL</c:v>
                </c:pt>
                <c:pt idx="15">
                  <c:v>C.H. ÁNGEL I</c:v>
                </c:pt>
                <c:pt idx="16">
                  <c:v>C.H. RUNATULLO II</c:v>
                </c:pt>
                <c:pt idx="17">
                  <c:v>C.H. POTRERO</c:v>
                </c:pt>
                <c:pt idx="18">
                  <c:v>C.H. SANTA CRUZ II</c:v>
                </c:pt>
                <c:pt idx="19">
                  <c:v>C.H. YANAPAMPA</c:v>
                </c:pt>
                <c:pt idx="20">
                  <c:v>C.H. SANTA CRUZ I</c:v>
                </c:pt>
                <c:pt idx="21">
                  <c:v>C.H. EL CARMEN</c:v>
                </c:pt>
                <c:pt idx="22">
                  <c:v>C.H. RONCADOR</c:v>
                </c:pt>
                <c:pt idx="23">
                  <c:v>C.H. HUASAHUASI II</c:v>
                </c:pt>
                <c:pt idx="24">
                  <c:v>C.H. HUASAHUASI I</c:v>
                </c:pt>
                <c:pt idx="25">
                  <c:v>C.H. CAÑA BRAVA</c:v>
                </c:pt>
                <c:pt idx="26">
                  <c:v>C.H. HER 1</c:v>
                </c:pt>
                <c:pt idx="27">
                  <c:v>C.H. PURMACANA</c:v>
                </c:pt>
                <c:pt idx="28">
                  <c:v>C.H. CARHUAQUERO IV</c:v>
                </c:pt>
              </c:strCache>
            </c:strRef>
          </c:cat>
          <c:val>
            <c:numRef>
              <c:f>'6. FP RER'!$Q$6:$Q$34</c:f>
              <c:numCache>
                <c:formatCode>0.00</c:formatCode>
                <c:ptCount val="29"/>
                <c:pt idx="0">
                  <c:v>0.94219363736144235</c:v>
                </c:pt>
                <c:pt idx="1">
                  <c:v>0.74924908044015626</c:v>
                </c:pt>
                <c:pt idx="2">
                  <c:v>0.63798297445786223</c:v>
                </c:pt>
                <c:pt idx="3">
                  <c:v>0.52544145252452823</c:v>
                </c:pt>
                <c:pt idx="4">
                  <c:v>0.4947393607004365</c:v>
                </c:pt>
                <c:pt idx="5">
                  <c:v>0.77685085886057026</c:v>
                </c:pt>
                <c:pt idx="6">
                  <c:v>0.5978496450336418</c:v>
                </c:pt>
                <c:pt idx="7">
                  <c:v>0.25434804405524442</c:v>
                </c:pt>
                <c:pt idx="8">
                  <c:v>0.98093339249487643</c:v>
                </c:pt>
                <c:pt idx="9">
                  <c:v>0.24781138061087693</c:v>
                </c:pt>
                <c:pt idx="10">
                  <c:v>0.23446860503827546</c:v>
                </c:pt>
                <c:pt idx="11">
                  <c:v>0.25300045213571026</c:v>
                </c:pt>
                <c:pt idx="12">
                  <c:v>0.21396663868120214</c:v>
                </c:pt>
                <c:pt idx="13">
                  <c:v>0.21582118953699783</c:v>
                </c:pt>
                <c:pt idx="14">
                  <c:v>0.86538435514995027</c:v>
                </c:pt>
                <c:pt idx="15">
                  <c:v>0.16910751305668317</c:v>
                </c:pt>
                <c:pt idx="16">
                  <c:v>0.14967390279983478</c:v>
                </c:pt>
                <c:pt idx="17">
                  <c:v>0.14608751176291498</c:v>
                </c:pt>
                <c:pt idx="18">
                  <c:v>0.41129073653516035</c:v>
                </c:pt>
                <c:pt idx="19">
                  <c:v>0.61738068334281826</c:v>
                </c:pt>
                <c:pt idx="20">
                  <c:v>0.33499019836003679</c:v>
                </c:pt>
                <c:pt idx="21">
                  <c:v>0.24130944016780706</c:v>
                </c:pt>
                <c:pt idx="22">
                  <c:v>0.59058437445954415</c:v>
                </c:pt>
                <c:pt idx="23">
                  <c:v>0.17801514231101048</c:v>
                </c:pt>
                <c:pt idx="24">
                  <c:v>0.14419634777031823</c:v>
                </c:pt>
                <c:pt idx="25">
                  <c:v>0.1813052876865601</c:v>
                </c:pt>
                <c:pt idx="26">
                  <c:v>0.70958333533368834</c:v>
                </c:pt>
                <c:pt idx="27">
                  <c:v>0.25980249001622935</c:v>
                </c:pt>
                <c:pt idx="28">
                  <c:v>1.8491968268098777E-2</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octubre 2022
INFSGI-MES-10-2022
10/11/2022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RER'!$M$35:$M$41</c:f>
              <c:strCache>
                <c:ptCount val="7"/>
                <c:pt idx="0">
                  <c:v>C.E. WAYRA I</c:v>
                </c:pt>
                <c:pt idx="1">
                  <c:v>C.E. TRES HERMANAS</c:v>
                </c:pt>
                <c:pt idx="2">
                  <c:v>C.E. CUPISNIQUE</c:v>
                </c:pt>
                <c:pt idx="3">
                  <c:v>C.E. TALARA</c:v>
                </c:pt>
                <c:pt idx="4">
                  <c:v>C.E. MARCONA</c:v>
                </c:pt>
                <c:pt idx="5">
                  <c:v>C.E. DUNA</c:v>
                </c:pt>
                <c:pt idx="6">
                  <c:v>C.E. HUAMBOS</c:v>
                </c:pt>
              </c:strCache>
            </c:strRef>
          </c:cat>
          <c:val>
            <c:numRef>
              <c:f>'6. FP RER'!$P$35:$P$41</c:f>
              <c:numCache>
                <c:formatCode>0.00</c:formatCode>
                <c:ptCount val="7"/>
                <c:pt idx="0">
                  <c:v>41.140110500000006</c:v>
                </c:pt>
                <c:pt idx="1">
                  <c:v>31.322070052499999</c:v>
                </c:pt>
                <c:pt idx="2">
                  <c:v>18.620082547499997</c:v>
                </c:pt>
                <c:pt idx="3">
                  <c:v>12.78597182</c:v>
                </c:pt>
                <c:pt idx="4">
                  <c:v>10.331136975</c:v>
                </c:pt>
                <c:pt idx="5">
                  <c:v>9.9918544349999987</c:v>
                </c:pt>
                <c:pt idx="6">
                  <c:v>8.3628390424999992</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RER'!$M$35:$M$41</c:f>
              <c:strCache>
                <c:ptCount val="7"/>
                <c:pt idx="0">
                  <c:v>C.E. WAYRA I</c:v>
                </c:pt>
                <c:pt idx="1">
                  <c:v>C.E. TRES HERMANAS</c:v>
                </c:pt>
                <c:pt idx="2">
                  <c:v>C.E. CUPISNIQUE</c:v>
                </c:pt>
                <c:pt idx="3">
                  <c:v>C.E. TALARA</c:v>
                </c:pt>
                <c:pt idx="4">
                  <c:v>C.E. MARCONA</c:v>
                </c:pt>
                <c:pt idx="5">
                  <c:v>C.E. DUNA</c:v>
                </c:pt>
                <c:pt idx="6">
                  <c:v>C.E. HUAMBOS</c:v>
                </c:pt>
              </c:strCache>
            </c:strRef>
          </c:cat>
          <c:val>
            <c:numRef>
              <c:f>'6. FP RER'!$Q$35:$Q$41</c:f>
              <c:numCache>
                <c:formatCode>0.00</c:formatCode>
                <c:ptCount val="7"/>
                <c:pt idx="0">
                  <c:v>0.4179580305837986</c:v>
                </c:pt>
                <c:pt idx="1">
                  <c:v>0.43334592405741035</c:v>
                </c:pt>
                <c:pt idx="2">
                  <c:v>0.3009860814356099</c:v>
                </c:pt>
                <c:pt idx="3">
                  <c:v>0.55688418647516713</c:v>
                </c:pt>
                <c:pt idx="4">
                  <c:v>0.43393552482358866</c:v>
                </c:pt>
                <c:pt idx="5">
                  <c:v>0.73107849074578113</c:v>
                </c:pt>
                <c:pt idx="6">
                  <c:v>0.61188759156906125</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55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6627</xdr:rowOff>
    </xdr:from>
    <xdr:to>
      <xdr:col>9</xdr:col>
      <xdr:colOff>59635</xdr:colOff>
      <xdr:row>64</xdr:row>
      <xdr:rowOff>46384</xdr:rowOff>
    </xdr:to>
    <xdr:pic>
      <xdr:nvPicPr>
        <xdr:cNvPr id="5" name="Imagen 4" descr="Imagen de la pantalla de un video juego&#10;&#10;Descripción generada automáticamente con confianza baja">
          <a:extLst>
            <a:ext uri="{FF2B5EF4-FFF2-40B4-BE49-F238E27FC236}">
              <a16:creationId xmlns:a16="http://schemas.microsoft.com/office/drawing/2014/main" id="{47BB63B1-D9E6-6CDF-89BE-605C03A408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27"/>
          <a:ext cx="5857461" cy="8521148"/>
        </a:xfrm>
        <a:prstGeom prst="rect">
          <a:avLst/>
        </a:prstGeom>
        <a:noFill/>
        <a:ln>
          <a:noFill/>
        </a:ln>
      </xdr:spPr>
    </xdr:pic>
    <xdr:clientData/>
  </xdr:twoCellAnchor>
  <xdr:twoCellAnchor editAs="oneCell">
    <xdr:from>
      <xdr:col>0</xdr:col>
      <xdr:colOff>171450</xdr:colOff>
      <xdr:row>53</xdr:row>
      <xdr:rowOff>35935</xdr:rowOff>
    </xdr:from>
    <xdr:to>
      <xdr:col>3</xdr:col>
      <xdr:colOff>260957</xdr:colOff>
      <xdr:row>61</xdr:row>
      <xdr:rowOff>19087</xdr:rowOff>
    </xdr:to>
    <xdr:pic>
      <xdr:nvPicPr>
        <xdr:cNvPr id="3" name="Imagen 2">
          <a:extLst>
            <a:ext uri="{FF2B5EF4-FFF2-40B4-BE49-F238E27FC236}">
              <a16:creationId xmlns:a16="http://schemas.microsoft.com/office/drawing/2014/main" id="{671B7641-67D5-49C8-A0B9-1F9601E3EBC9}"/>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7608310"/>
          <a:ext cx="2118332" cy="1126152"/>
        </a:xfrm>
        <a:prstGeom prst="rect">
          <a:avLst/>
        </a:prstGeom>
      </xdr:spPr>
    </xdr:pic>
    <xdr:clientData/>
  </xdr:twoCellAnchor>
  <xdr:twoCellAnchor>
    <xdr:from>
      <xdr:col>2</xdr:col>
      <xdr:colOff>102430</xdr:colOff>
      <xdr:row>36</xdr:row>
      <xdr:rowOff>50007</xdr:rowOff>
    </xdr:from>
    <xdr:to>
      <xdr:col>9</xdr:col>
      <xdr:colOff>452257</xdr:colOff>
      <xdr:row>42</xdr:row>
      <xdr:rowOff>109696</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21630" y="4820790"/>
          <a:ext cx="4928453" cy="8548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14 de agosto de 2023</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0</xdr:row>
      <xdr:rowOff>74957</xdr:rowOff>
    </xdr:from>
    <xdr:to>
      <xdr:col>7</xdr:col>
      <xdr:colOff>59635</xdr:colOff>
      <xdr:row>9</xdr:row>
      <xdr:rowOff>95680</xdr:rowOff>
    </xdr:to>
    <xdr:sp macro="" textlink="">
      <xdr:nvSpPr>
        <xdr:cNvPr id="6" name="Cuadro de texto 152">
          <a:extLst>
            <a:ext uri="{FF2B5EF4-FFF2-40B4-BE49-F238E27FC236}">
              <a16:creationId xmlns:a16="http://schemas.microsoft.com/office/drawing/2014/main" id="{37BA3E87-AE56-41DE-91F2-980A8F665712}"/>
            </a:ext>
          </a:extLst>
        </xdr:cNvPr>
        <xdr:cNvSpPr txBox="1"/>
      </xdr:nvSpPr>
      <xdr:spPr>
        <a:xfrm>
          <a:off x="0" y="74957"/>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pPr algn="l"/>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l"/>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l"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l" fontAlgn="auto"/>
          <a:r>
            <a:rPr lang="es-PE" sz="1100" b="1">
              <a:solidFill>
                <a:schemeClr val="dk1"/>
              </a:solidFill>
              <a:effectLst/>
              <a:latin typeface="+mn-lt"/>
              <a:ea typeface="+mn-ea"/>
              <a:cs typeface="+mn-cs"/>
            </a:rPr>
            <a:t>INFSGI-MES-07-2023</a:t>
          </a:r>
        </a:p>
        <a:p>
          <a:pPr algn="l" fontAlgn="auto"/>
          <a:r>
            <a:rPr lang="es-PE" sz="1100" b="1">
              <a:solidFill>
                <a:schemeClr val="dk1"/>
              </a:solidFill>
              <a:effectLst/>
              <a:latin typeface="+mn-lt"/>
              <a:ea typeface="+mn-ea"/>
              <a:cs typeface="+mn-cs"/>
            </a:rPr>
            <a:t>Versión:01</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139148</xdr:colOff>
      <xdr:row>17</xdr:row>
      <xdr:rowOff>46383</xdr:rowOff>
    </xdr:from>
    <xdr:to>
      <xdr:col>9</xdr:col>
      <xdr:colOff>310183</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8" y="2299253"/>
          <a:ext cx="5968861" cy="26257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a:solidFill>
                <a:srgbClr val="1F2532"/>
              </a:solidFill>
              <a:effectLst/>
              <a:latin typeface="Calibri" panose="020F0502020204030204" pitchFamily="34" charset="0"/>
              <a:ea typeface="Arial" panose="020B0604020202020204" pitchFamily="34" charset="0"/>
            </a:rPr>
            <a:t>julio</a:t>
          </a:r>
          <a:r>
            <a:rPr lang="es-PE" sz="1800" baseline="0">
              <a:solidFill>
                <a:srgbClr val="1F2532"/>
              </a:solidFill>
              <a:effectLst/>
              <a:latin typeface="Calibri" panose="020F0502020204030204" pitchFamily="34" charset="0"/>
              <a:ea typeface="Arial" panose="020B0604020202020204" pitchFamily="34" charset="0"/>
            </a:rPr>
            <a:t> 2023</a:t>
          </a:r>
          <a:r>
            <a:rPr lang="es-PE" sz="1800">
              <a:solidFill>
                <a:srgbClr val="1F2532"/>
              </a:solidFill>
              <a:effectLst/>
              <a:latin typeface="Calibri" panose="020F050202020403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3</xdr:row>
      <xdr:rowOff>134047</xdr:rowOff>
    </xdr:from>
    <xdr:to>
      <xdr:col>10</xdr:col>
      <xdr:colOff>541020</xdr:colOff>
      <xdr:row>68</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89534</xdr:colOff>
      <xdr:row>32</xdr:row>
      <xdr:rowOff>99060</xdr:rowOff>
    </xdr:from>
    <xdr:to>
      <xdr:col>8</xdr:col>
      <xdr:colOff>449579</xdr:colOff>
      <xdr:row>56</xdr:row>
      <xdr:rowOff>56322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97970</xdr:colOff>
      <xdr:row>2</xdr:row>
      <xdr:rowOff>103887</xdr:rowOff>
    </xdr:from>
    <xdr:to>
      <xdr:col>11</xdr:col>
      <xdr:colOff>914399</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159642</xdr:colOff>
      <xdr:row>28</xdr:row>
      <xdr:rowOff>78936</xdr:rowOff>
    </xdr:from>
    <xdr:to>
      <xdr:col>11</xdr:col>
      <xdr:colOff>952500</xdr:colOff>
      <xdr:row>60</xdr:row>
      <xdr:rowOff>109018</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73881</xdr:colOff>
      <xdr:row>35</xdr:row>
      <xdr:rowOff>51837</xdr:rowOff>
    </xdr:from>
    <xdr:to>
      <xdr:col>8</xdr:col>
      <xdr:colOff>293370</xdr:colOff>
      <xdr:row>59</xdr:row>
      <xdr:rowOff>62865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(162,88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(164,7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(159,13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(166,17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(159,81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(163,72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(161,44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(167,82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(152,82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(164,11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(166,3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(153,84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(150,5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(150,35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(170,42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(150,26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(148,07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(149,25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(163,42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321838</xdr:colOff>
      <xdr:row>16</xdr:row>
      <xdr:rowOff>19878</xdr:rowOff>
    </xdr:from>
    <xdr:to>
      <xdr:col>7</xdr:col>
      <xdr:colOff>557419</xdr:colOff>
      <xdr:row>45</xdr:row>
      <xdr:rowOff>119269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38627</xdr:colOff>
      <xdr:row>14</xdr:row>
      <xdr:rowOff>66954</xdr:rowOff>
    </xdr:from>
    <xdr:to>
      <xdr:col>3</xdr:col>
      <xdr:colOff>325008</xdr:colOff>
      <xdr:row>31</xdr:row>
      <xdr:rowOff>40678</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35</xdr:row>
      <xdr:rowOff>5953</xdr:rowOff>
    </xdr:from>
    <xdr:to>
      <xdr:col>9</xdr:col>
      <xdr:colOff>246184</xdr:colOff>
      <xdr:row>49</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14</xdr:row>
      <xdr:rowOff>38663</xdr:rowOff>
    </xdr:from>
    <xdr:to>
      <xdr:col>9</xdr:col>
      <xdr:colOff>582009</xdr:colOff>
      <xdr:row>31</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152400</xdr:colOff>
      <xdr:row>53</xdr:row>
      <xdr:rowOff>7620</xdr:rowOff>
    </xdr:from>
    <xdr:to>
      <xdr:col>8</xdr:col>
      <xdr:colOff>127082</xdr:colOff>
      <xdr:row>61</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9740" y="6911340"/>
          <a:ext cx="2603582" cy="1135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33</xdr:row>
      <xdr:rowOff>78442</xdr:rowOff>
    </xdr:from>
    <xdr:to>
      <xdr:col>9</xdr:col>
      <xdr:colOff>581525</xdr:colOff>
      <xdr:row>56</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26</xdr:row>
      <xdr:rowOff>38099</xdr:rowOff>
    </xdr:from>
    <xdr:to>
      <xdr:col>10</xdr:col>
      <xdr:colOff>365760</xdr:colOff>
      <xdr:row>60</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41</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11</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11</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68</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115" zoomScaleNormal="100" zoomScaleSheetLayoutView="115" workbookViewId="0">
      <selection activeCell="L41" sqref="L41"/>
    </sheetView>
  </sheetViews>
  <sheetFormatPr baseColWidth="10" defaultColWidth="11.42578125" defaultRowHeight="10.199999999999999"/>
  <cols>
    <col min="9" max="9" width="17.28515625" customWidth="1"/>
  </cols>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zoomScalePageLayoutView="115" workbookViewId="0">
      <selection activeCell="G13" sqref="G13"/>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2" ht="11.25" customHeight="1"/>
    <row r="2" spans="1:12" ht="18.75" customHeight="1">
      <c r="A2" s="882" t="s">
        <v>239</v>
      </c>
      <c r="B2" s="882"/>
      <c r="C2" s="882"/>
      <c r="D2" s="882"/>
      <c r="E2" s="882"/>
      <c r="F2" s="882"/>
      <c r="G2" s="882"/>
      <c r="H2" s="882"/>
      <c r="I2" s="882"/>
      <c r="J2" s="882"/>
      <c r="K2" s="882"/>
    </row>
    <row r="3" spans="1:12" ht="11.25" customHeight="1">
      <c r="A3" s="17"/>
      <c r="B3" s="17"/>
      <c r="C3" s="17"/>
      <c r="D3" s="17"/>
      <c r="E3" s="17"/>
      <c r="F3" s="17"/>
      <c r="G3" s="17"/>
      <c r="H3" s="17"/>
      <c r="I3" s="17"/>
      <c r="J3" s="17"/>
      <c r="K3" s="17"/>
      <c r="L3" s="36"/>
    </row>
    <row r="4" spans="1:12" ht="11.25" customHeight="1">
      <c r="A4" s="883" t="s">
        <v>363</v>
      </c>
      <c r="B4" s="883"/>
      <c r="C4" s="883"/>
      <c r="D4" s="883"/>
      <c r="E4" s="883"/>
      <c r="F4" s="883"/>
      <c r="G4" s="883"/>
      <c r="H4" s="883"/>
      <c r="I4" s="883"/>
      <c r="J4" s="883"/>
      <c r="K4" s="883"/>
      <c r="L4" s="36"/>
    </row>
    <row r="5" spans="1:12" ht="11.25" customHeight="1">
      <c r="A5" s="17"/>
      <c r="B5" s="67"/>
      <c r="C5" s="68"/>
      <c r="D5" s="69"/>
      <c r="E5" s="69"/>
      <c r="F5" s="69"/>
      <c r="G5" s="69"/>
      <c r="H5" s="70"/>
      <c r="I5" s="66"/>
      <c r="J5" s="66"/>
      <c r="K5" s="71"/>
      <c r="L5" s="8"/>
    </row>
    <row r="6" spans="1:12" ht="12.75" customHeight="1">
      <c r="A6" s="889" t="s">
        <v>207</v>
      </c>
      <c r="B6" s="884" t="s">
        <v>242</v>
      </c>
      <c r="C6" s="885"/>
      <c r="D6" s="885"/>
      <c r="E6" s="885" t="s">
        <v>33</v>
      </c>
      <c r="F6" s="885"/>
      <c r="G6" s="886" t="s">
        <v>241</v>
      </c>
      <c r="H6" s="886"/>
      <c r="I6" s="886"/>
      <c r="J6" s="886"/>
      <c r="K6" s="886"/>
      <c r="L6" s="15"/>
    </row>
    <row r="7" spans="1:12" ht="12.75" customHeight="1">
      <c r="A7" s="889"/>
      <c r="B7" s="440">
        <v>45057.78125</v>
      </c>
      <c r="C7" s="440">
        <v>45105.78125</v>
      </c>
      <c r="D7" s="440">
        <v>45118.84375</v>
      </c>
      <c r="E7" s="440">
        <v>44761.802083333336</v>
      </c>
      <c r="F7" s="887" t="s">
        <v>118</v>
      </c>
      <c r="G7" s="576">
        <v>2023</v>
      </c>
      <c r="H7" s="576">
        <v>2022</v>
      </c>
      <c r="I7" s="887" t="s">
        <v>539</v>
      </c>
      <c r="J7" s="576">
        <v>2021</v>
      </c>
      <c r="K7" s="887" t="s">
        <v>520</v>
      </c>
      <c r="L7" s="13"/>
    </row>
    <row r="8" spans="1:12" ht="12.75" customHeight="1">
      <c r="A8" s="889"/>
      <c r="B8" s="441">
        <v>45057.78125</v>
      </c>
      <c r="C8" s="441">
        <v>45105.78125</v>
      </c>
      <c r="D8" s="441">
        <v>45118.84375</v>
      </c>
      <c r="E8" s="441">
        <v>44761.802083333336</v>
      </c>
      <c r="F8" s="888"/>
      <c r="G8" s="442">
        <v>45027.791666666664</v>
      </c>
      <c r="H8" s="442">
        <v>44614.822916666664</v>
      </c>
      <c r="I8" s="888"/>
      <c r="J8" s="442">
        <v>44204.822916666664</v>
      </c>
      <c r="K8" s="888"/>
      <c r="L8" s="14"/>
    </row>
    <row r="9" spans="1:12" ht="12.75" customHeight="1">
      <c r="A9" s="889"/>
      <c r="B9" s="443">
        <v>45057.78125</v>
      </c>
      <c r="C9" s="443">
        <v>45105.78125</v>
      </c>
      <c r="D9" s="443">
        <v>45118.84375</v>
      </c>
      <c r="E9" s="443">
        <v>44761.802083333336</v>
      </c>
      <c r="F9" s="888"/>
      <c r="G9" s="444">
        <v>45027.791666666664</v>
      </c>
      <c r="H9" s="444">
        <v>44614.822916666664</v>
      </c>
      <c r="I9" s="888"/>
      <c r="J9" s="444">
        <v>44204.822916666664</v>
      </c>
      <c r="K9" s="888"/>
      <c r="L9" s="14"/>
    </row>
    <row r="10" spans="1:12" ht="12.75" customHeight="1">
      <c r="A10" s="445" t="s">
        <v>35</v>
      </c>
      <c r="B10" s="446">
        <v>4267.4472800000003</v>
      </c>
      <c r="C10" s="447">
        <v>2661.1003299999993</v>
      </c>
      <c r="D10" s="448">
        <v>2316.2952700000005</v>
      </c>
      <c r="E10" s="446">
        <v>3280.6296299999995</v>
      </c>
      <c r="F10" s="449">
        <f>+IF(E10=0,"",D10/E10-1)</f>
        <v>-0.29394795169243138</v>
      </c>
      <c r="G10" s="446">
        <v>4362.1793299999999</v>
      </c>
      <c r="H10" s="447">
        <v>4553.9270599999991</v>
      </c>
      <c r="I10" s="449">
        <f>+IF(H10=0,"",G10/H10-1)</f>
        <v>-4.2106016954957415E-2</v>
      </c>
      <c r="J10" s="446">
        <v>4594.55105</v>
      </c>
      <c r="K10" s="449">
        <f t="shared" ref="K10:K18" si="0">+IF(J10=0,"",H10/J10-1)</f>
        <v>-8.8417757378059791E-3</v>
      </c>
      <c r="L10" s="14"/>
    </row>
    <row r="11" spans="1:12" ht="12.75" customHeight="1">
      <c r="A11" s="450" t="s">
        <v>36</v>
      </c>
      <c r="B11" s="451">
        <v>2783.1111100000003</v>
      </c>
      <c r="C11" s="452">
        <v>4191.2780600000006</v>
      </c>
      <c r="D11" s="453">
        <v>4477.8661700000002</v>
      </c>
      <c r="E11" s="451">
        <v>3527.5865200000003</v>
      </c>
      <c r="F11" s="454">
        <f>+IF(E11=0,"",D11/E11-1)</f>
        <v>0.26938521411517358</v>
      </c>
      <c r="G11" s="451">
        <v>2953.9779799999992</v>
      </c>
      <c r="H11" s="452">
        <v>2455.9372199999998</v>
      </c>
      <c r="I11" s="454">
        <f>+IF(H11=0,"",G11/H11-1)</f>
        <v>0.20279050944144217</v>
      </c>
      <c r="J11" s="451">
        <v>2012.4400399999995</v>
      </c>
      <c r="K11" s="454">
        <f>+IF(J11=0,"",H11/J11-1)</f>
        <v>0.22037783545590783</v>
      </c>
      <c r="L11" s="14"/>
    </row>
    <row r="12" spans="1:12" ht="12.75" customHeight="1">
      <c r="A12" s="455" t="s">
        <v>37</v>
      </c>
      <c r="B12" s="456">
        <v>292.13808</v>
      </c>
      <c r="C12" s="457">
        <v>462.22640999999999</v>
      </c>
      <c r="D12" s="458">
        <v>486.05047999999999</v>
      </c>
      <c r="E12" s="456">
        <v>259.42183999999997</v>
      </c>
      <c r="F12" s="459">
        <f>+IF(E12=0,"",D12/E12-1)</f>
        <v>0.87359121344602308</v>
      </c>
      <c r="G12" s="456">
        <v>289.34881000000001</v>
      </c>
      <c r="H12" s="457">
        <v>136.90030000000002</v>
      </c>
      <c r="I12" s="459">
        <f>+IF(H12=0,"",G12/H12-1)</f>
        <v>1.1135732354129244</v>
      </c>
      <c r="J12" s="456">
        <v>302.64609999999999</v>
      </c>
      <c r="K12" s="459">
        <f>+IF(J12=0,"",H12/J12-1)</f>
        <v>-0.54765549597368013</v>
      </c>
      <c r="L12" s="13"/>
    </row>
    <row r="13" spans="1:12" ht="12.75" customHeight="1">
      <c r="A13" s="460" t="s">
        <v>29</v>
      </c>
      <c r="B13" s="461">
        <v>0</v>
      </c>
      <c r="C13" s="462">
        <v>0</v>
      </c>
      <c r="D13" s="463">
        <v>0</v>
      </c>
      <c r="E13" s="461">
        <v>0</v>
      </c>
      <c r="F13" s="464" t="str">
        <f>+IF(E13=0,"",D13/E13-1)</f>
        <v/>
      </c>
      <c r="G13" s="461">
        <v>0</v>
      </c>
      <c r="H13" s="462">
        <v>0</v>
      </c>
      <c r="I13" s="464" t="str">
        <f>+IF(H13=0,"",G13/H13-1)</f>
        <v/>
      </c>
      <c r="J13" s="461">
        <v>0</v>
      </c>
      <c r="K13" s="464" t="str">
        <f t="shared" si="0"/>
        <v/>
      </c>
      <c r="L13" s="14"/>
    </row>
    <row r="14" spans="1:12" ht="12.75" customHeight="1">
      <c r="A14" s="465" t="s">
        <v>41</v>
      </c>
      <c r="B14" s="436">
        <f>+SUM(B10:B13)</f>
        <v>7342.6964699999999</v>
      </c>
      <c r="C14" s="437">
        <f t="shared" ref="C14:J14" si="1">+SUM(C10:C13)</f>
        <v>7314.6048000000001</v>
      </c>
      <c r="D14" s="438">
        <f t="shared" si="1"/>
        <v>7280.2119200000006</v>
      </c>
      <c r="E14" s="436">
        <f t="shared" si="1"/>
        <v>7067.6379900000002</v>
      </c>
      <c r="F14" s="492">
        <f>+IF(E14=0,"",D14/E14-1)</f>
        <v>3.0077082371900099E-2</v>
      </c>
      <c r="G14" s="489">
        <f t="shared" si="1"/>
        <v>7605.5061199999991</v>
      </c>
      <c r="H14" s="437">
        <f t="shared" si="1"/>
        <v>7146.7645799999991</v>
      </c>
      <c r="I14" s="492">
        <f>+IF(H14=0,"",G14/H14-1)</f>
        <v>6.4188701735576226E-2</v>
      </c>
      <c r="J14" s="437">
        <f t="shared" si="1"/>
        <v>6909.6371899999995</v>
      </c>
      <c r="K14" s="492">
        <f>+IF(J14=0,"",H14/J14-1)</f>
        <v>3.4318356156699981E-2</v>
      </c>
      <c r="L14" s="14"/>
    </row>
    <row r="15" spans="1:12" ht="6.75" customHeight="1">
      <c r="A15" s="466"/>
      <c r="B15" s="466"/>
      <c r="C15" s="466"/>
      <c r="D15" s="466"/>
      <c r="E15" s="466"/>
      <c r="F15" s="467"/>
      <c r="G15" s="466"/>
      <c r="H15" s="466"/>
      <c r="I15" s="467"/>
      <c r="J15" s="466"/>
      <c r="K15" s="467"/>
      <c r="L15" s="14"/>
    </row>
    <row r="16" spans="1:12" ht="12.75" customHeight="1">
      <c r="A16" s="468" t="s">
        <v>38</v>
      </c>
      <c r="B16" s="469">
        <v>0</v>
      </c>
      <c r="C16" s="470">
        <v>0</v>
      </c>
      <c r="D16" s="471">
        <v>0</v>
      </c>
      <c r="E16" s="469">
        <v>46.12</v>
      </c>
      <c r="F16" s="471">
        <v>0</v>
      </c>
      <c r="G16" s="469">
        <v>0</v>
      </c>
      <c r="H16" s="470">
        <v>0</v>
      </c>
      <c r="I16" s="471">
        <v>0</v>
      </c>
      <c r="J16" s="469">
        <v>0</v>
      </c>
      <c r="K16" s="472" t="str">
        <f t="shared" si="0"/>
        <v/>
      </c>
      <c r="L16" s="15"/>
    </row>
    <row r="17" spans="1:12" ht="12.75" customHeight="1">
      <c r="A17" s="473" t="s">
        <v>39</v>
      </c>
      <c r="B17" s="474">
        <v>0</v>
      </c>
      <c r="C17" s="475">
        <v>0</v>
      </c>
      <c r="D17" s="476">
        <v>0</v>
      </c>
      <c r="E17" s="474">
        <v>0</v>
      </c>
      <c r="F17" s="476">
        <v>0</v>
      </c>
      <c r="G17" s="474">
        <v>0</v>
      </c>
      <c r="H17" s="475">
        <v>0</v>
      </c>
      <c r="I17" s="476">
        <v>0</v>
      </c>
      <c r="J17" s="474">
        <v>0</v>
      </c>
      <c r="K17" s="477" t="str">
        <f t="shared" si="0"/>
        <v/>
      </c>
      <c r="L17" s="15"/>
    </row>
    <row r="18" spans="1:12" ht="24" customHeight="1">
      <c r="A18" s="478" t="s">
        <v>40</v>
      </c>
      <c r="B18" s="479">
        <f t="shared" ref="B18:I18" si="2">+B17-B16</f>
        <v>0</v>
      </c>
      <c r="C18" s="480">
        <f t="shared" si="2"/>
        <v>0</v>
      </c>
      <c r="D18" s="481">
        <f t="shared" si="2"/>
        <v>0</v>
      </c>
      <c r="E18" s="479">
        <f t="shared" si="2"/>
        <v>-46.12</v>
      </c>
      <c r="F18" s="481">
        <f t="shared" si="2"/>
        <v>0</v>
      </c>
      <c r="G18" s="479">
        <f t="shared" si="2"/>
        <v>0</v>
      </c>
      <c r="H18" s="480">
        <f t="shared" si="2"/>
        <v>0</v>
      </c>
      <c r="I18" s="481">
        <f t="shared" si="2"/>
        <v>0</v>
      </c>
      <c r="J18" s="479">
        <v>0</v>
      </c>
      <c r="K18" s="482" t="str">
        <f t="shared" si="0"/>
        <v/>
      </c>
      <c r="L18" s="15"/>
    </row>
    <row r="19" spans="1:12" ht="6" customHeight="1">
      <c r="A19" s="483"/>
      <c r="B19" s="483"/>
      <c r="C19" s="483"/>
      <c r="D19" s="483"/>
      <c r="E19" s="483"/>
      <c r="F19" s="484"/>
      <c r="G19" s="483"/>
      <c r="H19" s="483"/>
      <c r="I19" s="484"/>
      <c r="J19" s="483"/>
      <c r="K19" s="484"/>
      <c r="L19" s="15"/>
    </row>
    <row r="20" spans="1:12" ht="24" customHeight="1">
      <c r="A20" s="485" t="s">
        <v>240</v>
      </c>
      <c r="B20" s="486">
        <f>+B14-B18</f>
        <v>7342.6964699999999</v>
      </c>
      <c r="C20" s="487">
        <f t="shared" ref="C20" si="3">+C14-C18</f>
        <v>7314.6048000000001</v>
      </c>
      <c r="D20" s="488">
        <f>+D14-D18</f>
        <v>7280.2119200000006</v>
      </c>
      <c r="E20" s="486">
        <f>+E14-E18</f>
        <v>7113.7579900000001</v>
      </c>
      <c r="F20" s="439">
        <f>+IF(E20=0,"",D20/E20-1)</f>
        <v>2.3398874439359618E-2</v>
      </c>
      <c r="G20" s="486">
        <f>+G14-G18</f>
        <v>7605.5061199999991</v>
      </c>
      <c r="H20" s="486">
        <f>+H14-H18</f>
        <v>7146.7645799999991</v>
      </c>
      <c r="I20" s="439">
        <f>+IF(H20=0,"",G20/H20-1)</f>
        <v>6.4188701735576226E-2</v>
      </c>
      <c r="J20" s="486">
        <f>+J14-J18</f>
        <v>6909.6371899999995</v>
      </c>
      <c r="K20" s="439">
        <f>+IF(J20=0,"",H20/J20-1)</f>
        <v>3.4318356156699981E-2</v>
      </c>
      <c r="L20" s="15"/>
    </row>
    <row r="21" spans="1:12" ht="11.25" customHeight="1">
      <c r="A21" s="260" t="s">
        <v>385</v>
      </c>
      <c r="B21" s="138"/>
      <c r="C21" s="138"/>
      <c r="D21" s="138"/>
      <c r="E21" s="138"/>
      <c r="F21" s="138"/>
      <c r="G21" s="138"/>
      <c r="H21" s="138"/>
      <c r="I21" s="138"/>
      <c r="J21" s="138"/>
      <c r="K21" s="138"/>
      <c r="L21" s="16"/>
    </row>
    <row r="22" spans="1:12" ht="17.25" customHeight="1">
      <c r="A22" s="880"/>
      <c r="B22" s="880"/>
      <c r="C22" s="880"/>
      <c r="D22" s="880"/>
      <c r="E22" s="880"/>
      <c r="F22" s="880"/>
      <c r="G22" s="880"/>
      <c r="H22" s="880"/>
      <c r="I22" s="880"/>
      <c r="J22" s="880"/>
      <c r="K22" s="880"/>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881" t="str">
        <f>"Gráfico N° 11: Comparación de la máxima potencia coincidente (MW) anual por tipo de generación en el SEIN."</f>
        <v>Gráfico N° 11: Comparación de la máxima potencia coincidente (MW) anual por tipo de generación en el SEIN.</v>
      </c>
      <c r="B58" s="881"/>
      <c r="C58" s="881"/>
      <c r="D58" s="881"/>
      <c r="E58" s="881"/>
      <c r="F58" s="881"/>
      <c r="G58" s="881"/>
      <c r="H58" s="881"/>
      <c r="I58" s="881"/>
      <c r="J58" s="881"/>
      <c r="K58" s="881"/>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R73"/>
  <sheetViews>
    <sheetView showGridLines="0" view="pageBreakPreview" zoomScaleNormal="100" zoomScaleSheetLayoutView="100" zoomScalePageLayoutView="115" workbookViewId="0">
      <selection activeCell="C14" sqref="C14"/>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548" customWidth="1"/>
    <col min="14" max="15" width="9.28515625" style="277"/>
    <col min="16" max="18" width="9.28515625" style="662"/>
  </cols>
  <sheetData>
    <row r="1" spans="1:16" ht="25.5" customHeight="1">
      <c r="A1" s="892" t="s">
        <v>244</v>
      </c>
      <c r="B1" s="892"/>
      <c r="C1" s="892"/>
      <c r="D1" s="892"/>
      <c r="E1" s="892"/>
      <c r="F1" s="892"/>
      <c r="G1" s="892"/>
      <c r="H1" s="892"/>
      <c r="I1" s="892"/>
      <c r="J1" s="892"/>
      <c r="K1" s="892"/>
    </row>
    <row r="2" spans="1:16" ht="7.5" customHeight="1">
      <c r="A2" s="74"/>
      <c r="B2" s="73"/>
      <c r="C2" s="73"/>
      <c r="D2" s="73"/>
      <c r="E2" s="73"/>
      <c r="F2" s="73"/>
      <c r="G2" s="73"/>
      <c r="H2" s="73"/>
      <c r="I2" s="73"/>
      <c r="J2" s="73"/>
      <c r="K2" s="73"/>
      <c r="L2" s="298"/>
      <c r="M2" s="649"/>
    </row>
    <row r="3" spans="1:16" ht="11.25" customHeight="1">
      <c r="A3" s="893" t="s">
        <v>119</v>
      </c>
      <c r="B3" s="895" t="str">
        <f>+'1. Resumen'!Q4</f>
        <v>julio</v>
      </c>
      <c r="C3" s="896"/>
      <c r="D3" s="897"/>
      <c r="E3" s="138"/>
      <c r="F3" s="138"/>
      <c r="G3" s="138"/>
      <c r="H3" s="898" t="s">
        <v>554</v>
      </c>
      <c r="I3" s="898"/>
      <c r="J3" s="898"/>
      <c r="K3" s="138"/>
      <c r="L3" s="692"/>
      <c r="M3" s="649"/>
    </row>
    <row r="4" spans="1:16" ht="11.25" customHeight="1">
      <c r="A4" s="893"/>
      <c r="B4" s="369">
        <v>2023</v>
      </c>
      <c r="C4" s="370">
        <v>2022</v>
      </c>
      <c r="D4" s="897" t="s">
        <v>34</v>
      </c>
      <c r="E4" s="138"/>
      <c r="F4" s="138"/>
      <c r="G4" s="138"/>
      <c r="H4" s="138"/>
      <c r="I4" s="138"/>
      <c r="J4" s="138"/>
      <c r="K4" s="138"/>
      <c r="L4" s="513"/>
      <c r="M4" s="650"/>
    </row>
    <row r="5" spans="1:16" ht="11.25" customHeight="1">
      <c r="A5" s="893"/>
      <c r="B5" s="371">
        <f>+'8. Max Potencia'!D8</f>
        <v>45118.84375</v>
      </c>
      <c r="C5" s="371">
        <f>+'8. Max Potencia'!E8</f>
        <v>44761.802083333336</v>
      </c>
      <c r="D5" s="897"/>
      <c r="E5" s="138"/>
      <c r="F5" s="138"/>
      <c r="G5" s="138"/>
      <c r="H5" s="138"/>
      <c r="I5" s="138"/>
      <c r="J5" s="138"/>
      <c r="K5" s="138"/>
      <c r="L5" s="513"/>
      <c r="M5" s="651"/>
    </row>
    <row r="6" spans="1:16" ht="11.25" customHeight="1" thickBot="1">
      <c r="A6" s="894"/>
      <c r="B6" s="372">
        <f>+'8. Max Potencia'!D9</f>
        <v>45118.84375</v>
      </c>
      <c r="C6" s="372">
        <f>+'8. Max Potencia'!E9</f>
        <v>44761.802083333336</v>
      </c>
      <c r="D6" s="899"/>
      <c r="E6" s="138"/>
      <c r="F6" s="138"/>
      <c r="G6" s="138"/>
      <c r="H6" s="138"/>
      <c r="I6" s="138"/>
      <c r="J6" s="138"/>
      <c r="K6" s="138"/>
      <c r="M6" s="650" t="s">
        <v>243</v>
      </c>
      <c r="N6" s="548">
        <v>2023</v>
      </c>
      <c r="O6" s="548">
        <v>2022</v>
      </c>
    </row>
    <row r="7" spans="1:16" ht="9.75" customHeight="1">
      <c r="A7" s="599" t="s">
        <v>85</v>
      </c>
      <c r="B7" s="739">
        <v>1424.0338199999999</v>
      </c>
      <c r="C7" s="739">
        <v>1085.86877</v>
      </c>
      <c r="D7" s="600">
        <f>IF(C7=0,"",B7/C7-1)</f>
        <v>0.31142349733476515</v>
      </c>
      <c r="E7" s="138"/>
      <c r="F7" s="138"/>
      <c r="G7" s="138"/>
      <c r="H7" s="138"/>
      <c r="I7" s="138"/>
      <c r="J7" s="138"/>
      <c r="K7" s="138"/>
      <c r="L7" s="688"/>
      <c r="M7" s="652" t="s">
        <v>517</v>
      </c>
      <c r="N7" s="653">
        <v>0</v>
      </c>
      <c r="O7" s="653">
        <v>0</v>
      </c>
      <c r="P7" s="718"/>
    </row>
    <row r="8" spans="1:16" ht="9.75" customHeight="1">
      <c r="A8" s="601" t="s">
        <v>390</v>
      </c>
      <c r="B8" s="740">
        <v>1293.6069299999999</v>
      </c>
      <c r="C8" s="740">
        <v>1651.866</v>
      </c>
      <c r="D8" s="602">
        <f t="shared" ref="D8:D68" si="0">IF(C8=0,"",B8/C8-1)</f>
        <v>-0.21688143590339659</v>
      </c>
      <c r="E8" s="138"/>
      <c r="F8" s="138"/>
      <c r="G8" s="138"/>
      <c r="H8" s="138"/>
      <c r="I8" s="138"/>
      <c r="J8" s="138"/>
      <c r="K8" s="138"/>
      <c r="L8" s="689"/>
      <c r="M8" s="652" t="s">
        <v>443</v>
      </c>
      <c r="N8" s="651">
        <v>0</v>
      </c>
      <c r="O8" s="651">
        <v>0</v>
      </c>
      <c r="P8" s="718"/>
    </row>
    <row r="9" spans="1:16" ht="9.75" customHeight="1">
      <c r="A9" s="603" t="s">
        <v>86</v>
      </c>
      <c r="B9" s="741">
        <v>1070.491</v>
      </c>
      <c r="C9" s="741">
        <v>577.83800000000008</v>
      </c>
      <c r="D9" s="604">
        <f t="shared" si="0"/>
        <v>0.85257978879893637</v>
      </c>
      <c r="E9" s="322"/>
      <c r="F9" s="138"/>
      <c r="G9" s="138"/>
      <c r="H9" s="138"/>
      <c r="I9" s="138"/>
      <c r="J9" s="138"/>
      <c r="K9" s="138"/>
      <c r="M9" s="652" t="s">
        <v>442</v>
      </c>
      <c r="N9" s="653">
        <v>0</v>
      </c>
      <c r="O9" s="653">
        <v>0</v>
      </c>
      <c r="P9" s="718"/>
    </row>
    <row r="10" spans="1:16" ht="9.75" customHeight="1">
      <c r="A10" s="601" t="s">
        <v>87</v>
      </c>
      <c r="B10" s="740">
        <v>607.24415999999997</v>
      </c>
      <c r="C10" s="740">
        <v>848.26944000000015</v>
      </c>
      <c r="D10" s="602">
        <f t="shared" si="0"/>
        <v>-0.28413764381279627</v>
      </c>
      <c r="E10" s="138"/>
      <c r="F10" s="138"/>
      <c r="G10" s="138"/>
      <c r="H10" s="138"/>
      <c r="I10" s="138"/>
      <c r="J10" s="138"/>
      <c r="K10" s="138"/>
      <c r="M10" s="652" t="s">
        <v>406</v>
      </c>
      <c r="N10" s="651">
        <v>0</v>
      </c>
      <c r="O10" s="651">
        <v>7.4503399999999997</v>
      </c>
      <c r="P10" s="718"/>
    </row>
    <row r="11" spans="1:16" ht="9.75" customHeight="1">
      <c r="A11" s="603" t="s">
        <v>232</v>
      </c>
      <c r="B11" s="741">
        <v>568.06960000000004</v>
      </c>
      <c r="C11" s="741">
        <v>548.15437999999995</v>
      </c>
      <c r="D11" s="604">
        <f t="shared" si="0"/>
        <v>3.6331407221447565E-2</v>
      </c>
      <c r="E11" s="138"/>
      <c r="F11" s="138"/>
      <c r="G11" s="138"/>
      <c r="H11" s="138"/>
      <c r="I11" s="138"/>
      <c r="J11" s="138"/>
      <c r="K11" s="138"/>
      <c r="M11" s="652" t="s">
        <v>103</v>
      </c>
      <c r="N11" s="651">
        <v>0</v>
      </c>
      <c r="O11" s="651">
        <v>86.482849999999999</v>
      </c>
      <c r="P11" s="718"/>
    </row>
    <row r="12" spans="1:16" ht="9.75" customHeight="1">
      <c r="A12" s="601" t="s">
        <v>237</v>
      </c>
      <c r="B12" s="740">
        <v>353.98025000000001</v>
      </c>
      <c r="C12" s="740">
        <v>0</v>
      </c>
      <c r="D12" s="602" t="str">
        <f t="shared" si="0"/>
        <v/>
      </c>
      <c r="E12" s="138"/>
      <c r="F12" s="138"/>
      <c r="G12" s="138"/>
      <c r="H12" s="138"/>
      <c r="I12" s="138"/>
      <c r="J12" s="138"/>
      <c r="K12" s="138"/>
      <c r="L12" s="688"/>
      <c r="M12" s="652" t="s">
        <v>107</v>
      </c>
      <c r="N12" s="651">
        <v>0</v>
      </c>
      <c r="O12" s="651">
        <v>0</v>
      </c>
      <c r="P12" s="718"/>
    </row>
    <row r="13" spans="1:16" ht="9.75" customHeight="1">
      <c r="A13" s="603" t="s">
        <v>98</v>
      </c>
      <c r="B13" s="741">
        <v>291.74199999999996</v>
      </c>
      <c r="C13" s="741">
        <v>289.13090999999997</v>
      </c>
      <c r="D13" s="604">
        <f t="shared" si="0"/>
        <v>9.0308227508431038E-3</v>
      </c>
      <c r="E13" s="138"/>
      <c r="F13" s="138"/>
      <c r="G13" s="138"/>
      <c r="H13" s="138"/>
      <c r="I13" s="138"/>
      <c r="J13" s="138"/>
      <c r="K13" s="138"/>
      <c r="L13" s="689"/>
      <c r="M13" s="652" t="s">
        <v>115</v>
      </c>
      <c r="N13" s="651">
        <v>0</v>
      </c>
      <c r="O13" s="651">
        <v>0</v>
      </c>
      <c r="P13" s="718"/>
    </row>
    <row r="14" spans="1:16" ht="9.75" customHeight="1">
      <c r="A14" s="601" t="s">
        <v>88</v>
      </c>
      <c r="B14" s="740">
        <v>155.95462999999998</v>
      </c>
      <c r="C14" s="740">
        <v>257.72505999999998</v>
      </c>
      <c r="D14" s="602">
        <f t="shared" si="0"/>
        <v>-0.39487983822760586</v>
      </c>
      <c r="E14" s="138"/>
      <c r="F14" s="138"/>
      <c r="G14" s="138"/>
      <c r="H14" s="138"/>
      <c r="I14" s="138"/>
      <c r="J14" s="138"/>
      <c r="K14" s="138"/>
      <c r="L14" s="689"/>
      <c r="M14" s="652" t="s">
        <v>236</v>
      </c>
      <c r="N14" s="653">
        <v>0</v>
      </c>
      <c r="O14" s="653">
        <v>0</v>
      </c>
      <c r="P14" s="718"/>
    </row>
    <row r="15" spans="1:16" ht="9.75" customHeight="1">
      <c r="A15" s="603" t="s">
        <v>230</v>
      </c>
      <c r="B15" s="741">
        <v>143.12947</v>
      </c>
      <c r="C15" s="741">
        <v>238.53051000000002</v>
      </c>
      <c r="D15" s="604">
        <f t="shared" si="0"/>
        <v>-0.39995319676296337</v>
      </c>
      <c r="E15" s="138"/>
      <c r="F15" s="138"/>
      <c r="G15" s="138"/>
      <c r="H15" s="138"/>
      <c r="I15" s="138"/>
      <c r="J15" s="138"/>
      <c r="K15" s="138"/>
      <c r="L15" s="689"/>
      <c r="M15" s="652" t="s">
        <v>105</v>
      </c>
      <c r="N15" s="651">
        <v>0</v>
      </c>
      <c r="O15" s="651">
        <v>0</v>
      </c>
      <c r="P15" s="718"/>
    </row>
    <row r="16" spans="1:16" ht="9.75" customHeight="1">
      <c r="A16" s="601" t="s">
        <v>96</v>
      </c>
      <c r="B16" s="740">
        <v>126.18300000000001</v>
      </c>
      <c r="C16" s="740">
        <v>106.501</v>
      </c>
      <c r="D16" s="602">
        <f t="shared" si="0"/>
        <v>0.18480577647158247</v>
      </c>
      <c r="E16" s="138"/>
      <c r="F16" s="138"/>
      <c r="G16" s="138"/>
      <c r="H16" s="138"/>
      <c r="I16" s="138"/>
      <c r="J16" s="138"/>
      <c r="K16" s="138"/>
      <c r="L16" s="689"/>
      <c r="M16" s="652" t="s">
        <v>108</v>
      </c>
      <c r="N16" s="651">
        <v>0</v>
      </c>
      <c r="O16" s="651">
        <v>0</v>
      </c>
      <c r="P16" s="718"/>
    </row>
    <row r="17" spans="1:16" ht="9.75" customHeight="1">
      <c r="A17" s="603" t="s">
        <v>234</v>
      </c>
      <c r="B17" s="741">
        <v>124.43092999999999</v>
      </c>
      <c r="C17" s="741">
        <v>171.99599999999998</v>
      </c>
      <c r="D17" s="604">
        <f t="shared" si="0"/>
        <v>-0.276547535989209</v>
      </c>
      <c r="E17" s="138"/>
      <c r="F17" s="138"/>
      <c r="G17" s="138"/>
      <c r="H17" s="138"/>
      <c r="I17" s="138"/>
      <c r="J17" s="138"/>
      <c r="K17" s="138"/>
      <c r="L17" s="689"/>
      <c r="M17" s="652" t="s">
        <v>114</v>
      </c>
      <c r="N17" s="651">
        <v>0</v>
      </c>
      <c r="O17" s="651">
        <v>0</v>
      </c>
      <c r="P17" s="718"/>
    </row>
    <row r="18" spans="1:16" ht="9.75" customHeight="1">
      <c r="A18" s="601" t="s">
        <v>89</v>
      </c>
      <c r="B18" s="740">
        <v>123.08839999999998</v>
      </c>
      <c r="C18" s="740">
        <v>139.39379999999997</v>
      </c>
      <c r="D18" s="602">
        <f t="shared" si="0"/>
        <v>-0.11697363871276911</v>
      </c>
      <c r="E18" s="138"/>
      <c r="F18" s="138"/>
      <c r="G18" s="138"/>
      <c r="H18" s="138"/>
      <c r="I18" s="138"/>
      <c r="J18" s="138"/>
      <c r="K18" s="138"/>
      <c r="L18" s="689"/>
      <c r="M18" s="652" t="s">
        <v>229</v>
      </c>
      <c r="N18" s="653">
        <v>0</v>
      </c>
      <c r="O18" s="653">
        <v>0</v>
      </c>
      <c r="P18" s="718"/>
    </row>
    <row r="19" spans="1:16" ht="9.75" customHeight="1">
      <c r="A19" s="603" t="s">
        <v>92</v>
      </c>
      <c r="B19" s="741">
        <v>99.417339999999996</v>
      </c>
      <c r="C19" s="741">
        <v>118.20270000000001</v>
      </c>
      <c r="D19" s="604">
        <f t="shared" si="0"/>
        <v>-0.15892496533497125</v>
      </c>
      <c r="E19" s="138"/>
      <c r="F19" s="138"/>
      <c r="G19" s="138"/>
      <c r="H19" s="138"/>
      <c r="I19" s="138"/>
      <c r="J19" s="138"/>
      <c r="K19" s="138"/>
      <c r="L19" s="689"/>
      <c r="M19" s="652" t="s">
        <v>446</v>
      </c>
      <c r="N19" s="653">
        <v>0.88183</v>
      </c>
      <c r="O19" s="653">
        <v>0</v>
      </c>
      <c r="P19" s="718"/>
    </row>
    <row r="20" spans="1:16" ht="9.75" customHeight="1">
      <c r="A20" s="601" t="s">
        <v>90</v>
      </c>
      <c r="B20" s="740">
        <v>91.65</v>
      </c>
      <c r="C20" s="740">
        <v>81.986000000000004</v>
      </c>
      <c r="D20" s="602">
        <f t="shared" si="0"/>
        <v>0.117873783328861</v>
      </c>
      <c r="E20" s="138"/>
      <c r="F20" s="138"/>
      <c r="G20" s="138"/>
      <c r="H20" s="138"/>
      <c r="I20" s="138"/>
      <c r="J20" s="138"/>
      <c r="K20" s="138"/>
      <c r="L20" s="690"/>
      <c r="M20" s="652" t="s">
        <v>113</v>
      </c>
      <c r="N20" s="651">
        <v>1.619</v>
      </c>
      <c r="O20" s="651">
        <v>1.7350000000000001</v>
      </c>
      <c r="P20" s="718"/>
    </row>
    <row r="21" spans="1:16" ht="9.75" customHeight="1">
      <c r="A21" s="603" t="s">
        <v>94</v>
      </c>
      <c r="B21" s="741">
        <v>90.2</v>
      </c>
      <c r="C21" s="741">
        <v>92.156000000000006</v>
      </c>
      <c r="D21" s="604">
        <f t="shared" si="0"/>
        <v>-2.1224879552063869E-2</v>
      </c>
      <c r="E21" s="138"/>
      <c r="F21" s="138"/>
      <c r="G21" s="138"/>
      <c r="H21" s="138"/>
      <c r="I21" s="138"/>
      <c r="J21" s="138"/>
      <c r="K21" s="138"/>
      <c r="L21" s="689"/>
      <c r="M21" s="652" t="s">
        <v>516</v>
      </c>
      <c r="N21" s="651">
        <v>1.7482500000000001</v>
      </c>
      <c r="O21" s="651">
        <v>1.58704</v>
      </c>
      <c r="P21" s="718"/>
    </row>
    <row r="22" spans="1:16" ht="9.75" customHeight="1">
      <c r="A22" s="601" t="s">
        <v>97</v>
      </c>
      <c r="B22" s="740">
        <v>88.990700000000004</v>
      </c>
      <c r="C22" s="740">
        <v>55.854419999999998</v>
      </c>
      <c r="D22" s="602">
        <f t="shared" si="0"/>
        <v>0.59326155387523505</v>
      </c>
      <c r="E22" s="138"/>
      <c r="F22" s="138"/>
      <c r="G22" s="138"/>
      <c r="H22" s="138"/>
      <c r="I22" s="138"/>
      <c r="J22" s="138"/>
      <c r="K22" s="138"/>
      <c r="L22" s="689"/>
      <c r="M22" s="652" t="s">
        <v>111</v>
      </c>
      <c r="N22" s="653">
        <v>2.2850000000000001</v>
      </c>
      <c r="O22" s="653">
        <v>1.752</v>
      </c>
      <c r="P22" s="718"/>
    </row>
    <row r="23" spans="1:16" ht="9.75" customHeight="1">
      <c r="A23" s="603" t="s">
        <v>95</v>
      </c>
      <c r="B23" s="741">
        <v>74.996110000000002</v>
      </c>
      <c r="C23" s="741">
        <v>45.701500000000003</v>
      </c>
      <c r="D23" s="604">
        <f t="shared" si="0"/>
        <v>0.6409988731223264</v>
      </c>
      <c r="E23" s="138"/>
      <c r="F23" s="138"/>
      <c r="G23" s="138"/>
      <c r="H23" s="138"/>
      <c r="I23" s="138"/>
      <c r="J23" s="138"/>
      <c r="K23" s="138"/>
      <c r="L23" s="689"/>
      <c r="M23" s="652" t="s">
        <v>116</v>
      </c>
      <c r="N23" s="651">
        <v>3.1196700000000002</v>
      </c>
      <c r="O23" s="651">
        <v>4.9308300000000003</v>
      </c>
      <c r="P23" s="718"/>
    </row>
    <row r="24" spans="1:16" ht="9.75" customHeight="1">
      <c r="A24" s="601" t="s">
        <v>91</v>
      </c>
      <c r="B24" s="740">
        <v>64.978999999999999</v>
      </c>
      <c r="C24" s="740">
        <v>83.739000000000004</v>
      </c>
      <c r="D24" s="602">
        <f t="shared" si="0"/>
        <v>-0.2240294247602671</v>
      </c>
      <c r="E24" s="138"/>
      <c r="F24" s="138"/>
      <c r="G24" s="138"/>
      <c r="H24" s="138"/>
      <c r="I24" s="138"/>
      <c r="J24" s="138"/>
      <c r="K24" s="138"/>
      <c r="L24" s="690"/>
      <c r="M24" s="652" t="s">
        <v>444</v>
      </c>
      <c r="N24" s="651">
        <v>3.5539200000000002</v>
      </c>
      <c r="O24" s="651">
        <v>15.51671</v>
      </c>
      <c r="P24" s="718"/>
    </row>
    <row r="25" spans="1:16" ht="9.75" customHeight="1">
      <c r="A25" s="603" t="s">
        <v>93</v>
      </c>
      <c r="B25" s="741">
        <v>55.273090000000003</v>
      </c>
      <c r="C25" s="741">
        <v>102.28372999999999</v>
      </c>
      <c r="D25" s="604">
        <f t="shared" si="0"/>
        <v>-0.45961014523033128</v>
      </c>
      <c r="E25" s="138"/>
      <c r="F25" s="138"/>
      <c r="G25" s="138"/>
      <c r="H25" s="138"/>
      <c r="I25" s="138"/>
      <c r="J25" s="138"/>
      <c r="K25" s="138"/>
      <c r="L25" s="689"/>
      <c r="M25" s="652" t="s">
        <v>112</v>
      </c>
      <c r="N25" s="651">
        <v>3.6</v>
      </c>
      <c r="O25" s="651">
        <v>3.6</v>
      </c>
      <c r="P25" s="718"/>
    </row>
    <row r="26" spans="1:16" ht="9.75" customHeight="1">
      <c r="A26" s="601" t="s">
        <v>231</v>
      </c>
      <c r="B26" s="740">
        <v>50.04907</v>
      </c>
      <c r="C26" s="740">
        <v>47.938209999999998</v>
      </c>
      <c r="D26" s="602">
        <f t="shared" si="0"/>
        <v>4.403293322800339E-2</v>
      </c>
      <c r="E26" s="138"/>
      <c r="F26" s="138"/>
      <c r="G26" s="138"/>
      <c r="H26" s="138"/>
      <c r="I26" s="138"/>
      <c r="J26" s="138"/>
      <c r="K26" s="138"/>
      <c r="L26" s="689"/>
      <c r="M26" s="652" t="s">
        <v>110</v>
      </c>
      <c r="N26" s="651">
        <v>4.9641400000000004</v>
      </c>
      <c r="O26" s="651">
        <v>0</v>
      </c>
      <c r="P26" s="718"/>
    </row>
    <row r="27" spans="1:16" ht="9.75" customHeight="1">
      <c r="A27" s="603" t="s">
        <v>405</v>
      </c>
      <c r="B27" s="741">
        <v>47.954279999999997</v>
      </c>
      <c r="C27" s="741">
        <v>49.560549999999999</v>
      </c>
      <c r="D27" s="604">
        <f t="shared" si="0"/>
        <v>-3.2410253719944659E-2</v>
      </c>
      <c r="E27" s="138"/>
      <c r="F27" s="138"/>
      <c r="G27" s="138"/>
      <c r="H27" s="138"/>
      <c r="I27" s="138"/>
      <c r="J27" s="138"/>
      <c r="K27" s="138"/>
      <c r="L27" s="689"/>
      <c r="M27" s="652" t="s">
        <v>436</v>
      </c>
      <c r="N27" s="651">
        <v>5.4351399999999996</v>
      </c>
      <c r="O27" s="651">
        <v>0</v>
      </c>
      <c r="P27" s="718"/>
    </row>
    <row r="28" spans="1:16" ht="9.75" customHeight="1">
      <c r="A28" s="601" t="s">
        <v>100</v>
      </c>
      <c r="B28" s="740">
        <v>32.21658</v>
      </c>
      <c r="C28" s="740">
        <v>29.557569999999998</v>
      </c>
      <c r="D28" s="602">
        <f t="shared" si="0"/>
        <v>8.9960372249816345E-2</v>
      </c>
      <c r="E28" s="138"/>
      <c r="F28" s="138"/>
      <c r="G28" s="138"/>
      <c r="H28" s="138"/>
      <c r="I28" s="138"/>
      <c r="J28" s="138"/>
      <c r="K28" s="138"/>
      <c r="L28" s="689"/>
      <c r="M28" s="652" t="s">
        <v>102</v>
      </c>
      <c r="N28" s="651">
        <v>5.9790400000000004</v>
      </c>
      <c r="O28" s="651">
        <v>8.0266199999999994</v>
      </c>
      <c r="P28" s="718"/>
    </row>
    <row r="29" spans="1:16" ht="9.75" customHeight="1">
      <c r="A29" s="605" t="s">
        <v>99</v>
      </c>
      <c r="B29" s="742">
        <v>28.825599999999998</v>
      </c>
      <c r="C29" s="742">
        <v>48.655499999999996</v>
      </c>
      <c r="D29" s="606">
        <f t="shared" si="0"/>
        <v>-0.40755721347021401</v>
      </c>
      <c r="E29" s="138"/>
      <c r="F29" s="138"/>
      <c r="G29" s="138"/>
      <c r="H29" s="138"/>
      <c r="I29" s="138"/>
      <c r="J29" s="138"/>
      <c r="K29" s="138"/>
      <c r="L29" s="689"/>
      <c r="M29" s="652" t="s">
        <v>445</v>
      </c>
      <c r="N29" s="651">
        <v>6.4422199999999998</v>
      </c>
      <c r="O29" s="651">
        <v>17.630199999999999</v>
      </c>
      <c r="P29" s="718"/>
    </row>
    <row r="30" spans="1:16" ht="9.75" customHeight="1">
      <c r="A30" s="607" t="s">
        <v>235</v>
      </c>
      <c r="B30" s="743">
        <v>28.39837</v>
      </c>
      <c r="C30" s="743">
        <v>18.21801</v>
      </c>
      <c r="D30" s="608">
        <f t="shared" si="0"/>
        <v>0.55880746579895391</v>
      </c>
      <c r="E30" s="138"/>
      <c r="F30" s="138"/>
      <c r="G30" s="138"/>
      <c r="H30" s="138"/>
      <c r="I30" s="138"/>
      <c r="J30" s="138"/>
      <c r="K30" s="138"/>
      <c r="L30" s="689"/>
      <c r="M30" s="652" t="s">
        <v>428</v>
      </c>
      <c r="N30" s="651">
        <v>7.2689500000000002</v>
      </c>
      <c r="O30" s="651">
        <v>11.809569999999999</v>
      </c>
      <c r="P30" s="718"/>
    </row>
    <row r="31" spans="1:16" ht="9.75" customHeight="1">
      <c r="A31" s="609" t="s">
        <v>382</v>
      </c>
      <c r="B31" s="744">
        <v>20.158660000000001</v>
      </c>
      <c r="C31" s="744">
        <v>20.127410000000001</v>
      </c>
      <c r="D31" s="610">
        <f t="shared" si="0"/>
        <v>1.5526091037048051E-3</v>
      </c>
      <c r="E31" s="138"/>
      <c r="F31" s="138"/>
      <c r="G31" s="138"/>
      <c r="H31" s="138"/>
      <c r="I31" s="138"/>
      <c r="J31" s="138"/>
      <c r="K31" s="138"/>
      <c r="L31" s="689"/>
      <c r="M31" s="652" t="s">
        <v>391</v>
      </c>
      <c r="N31" s="651">
        <v>8.0193999999999992</v>
      </c>
      <c r="O31" s="651">
        <v>7.6578999999999997</v>
      </c>
      <c r="P31" s="718"/>
    </row>
    <row r="32" spans="1:16" ht="9.75" customHeight="1">
      <c r="A32" s="607" t="s">
        <v>106</v>
      </c>
      <c r="B32" s="743">
        <v>18.1571</v>
      </c>
      <c r="C32" s="743">
        <v>22.337439999999997</v>
      </c>
      <c r="D32" s="608">
        <f t="shared" si="0"/>
        <v>-0.18714499065246504</v>
      </c>
      <c r="E32" s="138"/>
      <c r="F32" s="138"/>
      <c r="G32" s="138"/>
      <c r="H32" s="138"/>
      <c r="I32" s="138"/>
      <c r="J32" s="138"/>
      <c r="K32" s="138"/>
      <c r="L32" s="689"/>
      <c r="M32" s="652" t="s">
        <v>419</v>
      </c>
      <c r="N32" s="651">
        <v>8.6705299999999994</v>
      </c>
      <c r="O32" s="651">
        <v>9.9739299999999993</v>
      </c>
      <c r="P32" s="718"/>
    </row>
    <row r="33" spans="1:16" ht="13.5" customHeight="1">
      <c r="A33" s="611" t="s">
        <v>101</v>
      </c>
      <c r="B33" s="744">
        <v>17.93732</v>
      </c>
      <c r="C33" s="744">
        <v>17.705939999999998</v>
      </c>
      <c r="D33" s="610">
        <f t="shared" si="0"/>
        <v>1.3067930875175326E-2</v>
      </c>
      <c r="E33" s="138"/>
      <c r="F33" s="138"/>
      <c r="G33" s="138"/>
      <c r="H33" s="138"/>
      <c r="I33" s="138"/>
      <c r="J33" s="138"/>
      <c r="K33" s="138"/>
      <c r="L33" s="689"/>
      <c r="M33" s="652" t="s">
        <v>117</v>
      </c>
      <c r="N33" s="651">
        <v>9.2228100000000008</v>
      </c>
      <c r="O33" s="651">
        <v>18.298210000000001</v>
      </c>
      <c r="P33" s="718"/>
    </row>
    <row r="34" spans="1:16" ht="13.5" customHeight="1">
      <c r="A34" s="607" t="s">
        <v>104</v>
      </c>
      <c r="B34" s="743">
        <v>17.541370000000001</v>
      </c>
      <c r="C34" s="743">
        <v>15.35294</v>
      </c>
      <c r="D34" s="608">
        <f t="shared" si="0"/>
        <v>0.14254142854723595</v>
      </c>
      <c r="E34" s="138"/>
      <c r="F34" s="138"/>
      <c r="G34" s="138"/>
      <c r="H34" s="138"/>
      <c r="I34" s="138"/>
      <c r="J34" s="138"/>
      <c r="K34" s="138"/>
      <c r="L34" s="689"/>
      <c r="M34" s="652" t="s">
        <v>427</v>
      </c>
      <c r="N34" s="651">
        <v>9.75</v>
      </c>
      <c r="O34" s="651">
        <v>9.6138999999999992</v>
      </c>
      <c r="P34" s="718"/>
    </row>
    <row r="35" spans="1:16" ht="13.5" customHeight="1">
      <c r="A35" s="611" t="s">
        <v>109</v>
      </c>
      <c r="B35" s="744">
        <v>17.050980000000003</v>
      </c>
      <c r="C35" s="744">
        <v>14.07869</v>
      </c>
      <c r="D35" s="610">
        <f t="shared" si="0"/>
        <v>0.21111978458223057</v>
      </c>
      <c r="E35" s="138"/>
      <c r="F35" s="138"/>
      <c r="G35" s="138"/>
      <c r="H35" s="138"/>
      <c r="I35" s="138"/>
      <c r="J35" s="138"/>
      <c r="K35" s="138"/>
      <c r="L35" s="689"/>
      <c r="M35" s="652" t="s">
        <v>397</v>
      </c>
      <c r="N35" s="651">
        <v>12.51919</v>
      </c>
      <c r="O35" s="651">
        <v>11.636089999999999</v>
      </c>
      <c r="P35" s="718"/>
    </row>
    <row r="36" spans="1:16" ht="10.199999999999999" customHeight="1">
      <c r="A36" s="612" t="s">
        <v>452</v>
      </c>
      <c r="B36" s="743">
        <v>17.006</v>
      </c>
      <c r="C36" s="743">
        <v>27.012170000000001</v>
      </c>
      <c r="D36" s="608">
        <f t="shared" si="0"/>
        <v>-0.37043192013081516</v>
      </c>
      <c r="E36" s="138"/>
      <c r="F36" s="138"/>
      <c r="G36" s="138"/>
      <c r="H36" s="138"/>
      <c r="I36" s="138"/>
      <c r="J36" s="138"/>
      <c r="K36" s="138"/>
      <c r="L36" s="689"/>
      <c r="M36" s="652" t="s">
        <v>448</v>
      </c>
      <c r="N36" s="653">
        <v>13.02576</v>
      </c>
      <c r="O36" s="653">
        <v>13.12749</v>
      </c>
      <c r="P36" s="718"/>
    </row>
    <row r="37" spans="1:16" ht="13.5" customHeight="1">
      <c r="A37" s="611" t="s">
        <v>447</v>
      </c>
      <c r="B37" s="744">
        <v>15.737309999999999</v>
      </c>
      <c r="C37" s="744">
        <v>16.988659999999999</v>
      </c>
      <c r="D37" s="610">
        <f t="shared" si="0"/>
        <v>-7.3657957720032141E-2</v>
      </c>
      <c r="E37" s="138"/>
      <c r="F37" s="138"/>
      <c r="G37" s="138"/>
      <c r="H37" s="138"/>
      <c r="I37" s="138"/>
      <c r="J37" s="138"/>
      <c r="K37" s="138"/>
      <c r="L37" s="689"/>
      <c r="M37" s="652" t="s">
        <v>233</v>
      </c>
      <c r="N37" s="651">
        <v>13.614000000000001</v>
      </c>
      <c r="O37" s="651">
        <v>14.079000000000001</v>
      </c>
      <c r="P37" s="718"/>
    </row>
    <row r="38" spans="1:16" ht="11.25" customHeight="1">
      <c r="A38" s="607" t="s">
        <v>233</v>
      </c>
      <c r="B38" s="743">
        <v>13.614000000000001</v>
      </c>
      <c r="C38" s="743">
        <v>14.079000000000001</v>
      </c>
      <c r="D38" s="608">
        <f t="shared" si="0"/>
        <v>-3.3027913914340457E-2</v>
      </c>
      <c r="E38" s="138"/>
      <c r="F38" s="138"/>
      <c r="G38" s="138"/>
      <c r="H38" s="138"/>
      <c r="I38" s="138"/>
      <c r="J38" s="138"/>
      <c r="K38" s="138"/>
      <c r="L38" s="691"/>
      <c r="M38" s="652" t="s">
        <v>447</v>
      </c>
      <c r="N38" s="651">
        <v>15.737309999999999</v>
      </c>
      <c r="O38" s="651">
        <v>16.988659999999999</v>
      </c>
      <c r="P38" s="718"/>
    </row>
    <row r="39" spans="1:16" ht="11.25" customHeight="1">
      <c r="A39" s="611" t="s">
        <v>448</v>
      </c>
      <c r="B39" s="744">
        <v>13.02576</v>
      </c>
      <c r="C39" s="744">
        <v>13.12749</v>
      </c>
      <c r="D39" s="610">
        <f t="shared" si="0"/>
        <v>-7.7493869734427401E-3</v>
      </c>
      <c r="E39" s="138"/>
      <c r="F39" s="138"/>
      <c r="G39" s="138"/>
      <c r="H39" s="138"/>
      <c r="I39" s="138"/>
      <c r="J39" s="138"/>
      <c r="K39" s="138"/>
      <c r="L39" s="691"/>
      <c r="M39" s="652" t="s">
        <v>452</v>
      </c>
      <c r="N39" s="651">
        <v>17.006</v>
      </c>
      <c r="O39" s="651">
        <v>27.012170000000001</v>
      </c>
      <c r="P39" s="718"/>
    </row>
    <row r="40" spans="1:16" ht="11.4" customHeight="1">
      <c r="A40" s="612" t="s">
        <v>397</v>
      </c>
      <c r="B40" s="743">
        <v>12.51919</v>
      </c>
      <c r="C40" s="743">
        <v>11.636089999999999</v>
      </c>
      <c r="D40" s="608">
        <f t="shared" si="0"/>
        <v>7.5893190925818033E-2</v>
      </c>
      <c r="E40" s="138"/>
      <c r="F40" s="138"/>
      <c r="G40" s="138"/>
      <c r="H40" s="138"/>
      <c r="I40" s="138"/>
      <c r="J40" s="138"/>
      <c r="K40" s="138"/>
      <c r="L40" s="690"/>
      <c r="M40" s="652" t="s">
        <v>109</v>
      </c>
      <c r="N40" s="651">
        <v>17.050980000000003</v>
      </c>
      <c r="O40" s="651">
        <v>14.07869</v>
      </c>
      <c r="P40" s="718"/>
    </row>
    <row r="41" spans="1:16" ht="11.25" customHeight="1">
      <c r="A41" s="611" t="s">
        <v>427</v>
      </c>
      <c r="B41" s="744">
        <v>9.75</v>
      </c>
      <c r="C41" s="744">
        <v>9.6138999999999992</v>
      </c>
      <c r="D41" s="610">
        <f t="shared" si="0"/>
        <v>1.4156585776843977E-2</v>
      </c>
      <c r="E41" s="138"/>
      <c r="F41" s="138"/>
      <c r="G41" s="138"/>
      <c r="H41" s="138"/>
      <c r="I41" s="138"/>
      <c r="J41" s="138"/>
      <c r="K41" s="138"/>
      <c r="L41" s="690"/>
      <c r="M41" s="652" t="s">
        <v>104</v>
      </c>
      <c r="N41" s="651">
        <v>17.541370000000001</v>
      </c>
      <c r="O41" s="651">
        <v>15.35294</v>
      </c>
      <c r="P41" s="718"/>
    </row>
    <row r="42" spans="1:16" ht="11.25" customHeight="1">
      <c r="A42" s="613" t="s">
        <v>117</v>
      </c>
      <c r="B42" s="743">
        <v>9.2228100000000008</v>
      </c>
      <c r="C42" s="743">
        <v>18.298210000000001</v>
      </c>
      <c r="D42" s="608">
        <f t="shared" si="0"/>
        <v>-0.49597201037697125</v>
      </c>
      <c r="E42" s="138"/>
      <c r="F42" s="138"/>
      <c r="G42" s="138"/>
      <c r="H42" s="138"/>
      <c r="I42" s="138"/>
      <c r="J42" s="138"/>
      <c r="K42" s="138"/>
      <c r="L42" s="690"/>
      <c r="M42" s="652" t="s">
        <v>101</v>
      </c>
      <c r="N42" s="651">
        <v>17.93732</v>
      </c>
      <c r="O42" s="651">
        <v>17.705939999999998</v>
      </c>
      <c r="P42" s="718"/>
    </row>
    <row r="43" spans="1:16" ht="9.75" customHeight="1">
      <c r="A43" s="609" t="s">
        <v>419</v>
      </c>
      <c r="B43" s="744">
        <v>8.6705299999999994</v>
      </c>
      <c r="C43" s="744">
        <v>9.9739299999999993</v>
      </c>
      <c r="D43" s="610">
        <f t="shared" si="0"/>
        <v>-0.13068068454460779</v>
      </c>
      <c r="E43" s="138"/>
      <c r="F43" s="138"/>
      <c r="G43" s="138"/>
      <c r="H43" s="138"/>
      <c r="I43" s="138"/>
      <c r="J43" s="138"/>
      <c r="K43" s="138"/>
      <c r="L43" s="691"/>
      <c r="M43" s="652" t="s">
        <v>106</v>
      </c>
      <c r="N43" s="651">
        <v>18.1571</v>
      </c>
      <c r="O43" s="651">
        <v>22.337439999999997</v>
      </c>
      <c r="P43" s="718"/>
    </row>
    <row r="44" spans="1:16" ht="9.75" customHeight="1">
      <c r="A44" s="607" t="s">
        <v>391</v>
      </c>
      <c r="B44" s="743">
        <v>8.0193999999999992</v>
      </c>
      <c r="C44" s="743">
        <v>7.6578999999999997</v>
      </c>
      <c r="D44" s="608">
        <f t="shared" si="0"/>
        <v>4.7206153122918648E-2</v>
      </c>
      <c r="E44" s="138"/>
      <c r="F44" s="138"/>
      <c r="G44" s="138"/>
      <c r="H44" s="138"/>
      <c r="I44" s="138"/>
      <c r="J44" s="138"/>
      <c r="K44" s="138"/>
      <c r="L44" s="691"/>
      <c r="M44" s="652" t="s">
        <v>382</v>
      </c>
      <c r="N44" s="651">
        <v>20.158660000000001</v>
      </c>
      <c r="O44" s="651">
        <v>20.127410000000001</v>
      </c>
      <c r="P44" s="718"/>
    </row>
    <row r="45" spans="1:16" ht="9.75" customHeight="1">
      <c r="A45" s="609" t="s">
        <v>428</v>
      </c>
      <c r="B45" s="744">
        <v>7.2689500000000002</v>
      </c>
      <c r="C45" s="744">
        <v>11.809569999999999</v>
      </c>
      <c r="D45" s="610">
        <f t="shared" si="0"/>
        <v>-0.38448648003271912</v>
      </c>
      <c r="E45" s="138"/>
      <c r="F45" s="138"/>
      <c r="G45" s="138"/>
      <c r="H45" s="138"/>
      <c r="I45" s="138"/>
      <c r="J45" s="138"/>
      <c r="K45" s="138"/>
      <c r="L45" s="691"/>
      <c r="M45" s="652" t="s">
        <v>235</v>
      </c>
      <c r="N45" s="651">
        <v>28.39837</v>
      </c>
      <c r="O45" s="651">
        <v>18.21801</v>
      </c>
      <c r="P45" s="718"/>
    </row>
    <row r="46" spans="1:16" ht="9.75" customHeight="1">
      <c r="A46" s="607" t="s">
        <v>445</v>
      </c>
      <c r="B46" s="743">
        <v>6.4422199999999998</v>
      </c>
      <c r="C46" s="743">
        <v>17.630199999999999</v>
      </c>
      <c r="D46" s="608">
        <f t="shared" si="0"/>
        <v>-0.63459178001383987</v>
      </c>
      <c r="E46" s="138"/>
      <c r="F46" s="138"/>
      <c r="G46" s="138"/>
      <c r="H46" s="138"/>
      <c r="I46" s="138"/>
      <c r="J46" s="138"/>
      <c r="K46" s="138"/>
      <c r="M46" s="652" t="s">
        <v>99</v>
      </c>
      <c r="N46" s="651">
        <v>28.825599999999998</v>
      </c>
      <c r="O46" s="651">
        <v>48.655499999999996</v>
      </c>
      <c r="P46" s="718"/>
    </row>
    <row r="47" spans="1:16" ht="9.75" customHeight="1">
      <c r="A47" s="609" t="s">
        <v>102</v>
      </c>
      <c r="B47" s="744">
        <v>5.9790400000000004</v>
      </c>
      <c r="C47" s="744">
        <v>8.0266199999999994</v>
      </c>
      <c r="D47" s="610"/>
      <c r="E47" s="138"/>
      <c r="F47" s="138"/>
      <c r="G47" s="138"/>
      <c r="H47" s="138"/>
      <c r="I47" s="138"/>
      <c r="J47" s="138"/>
      <c r="K47" s="138"/>
      <c r="M47" s="652" t="s">
        <v>100</v>
      </c>
      <c r="N47" s="651">
        <v>32.21658</v>
      </c>
      <c r="O47" s="651">
        <v>29.557569999999998</v>
      </c>
      <c r="P47" s="718"/>
    </row>
    <row r="48" spans="1:16" ht="9.6" customHeight="1">
      <c r="A48" s="612" t="s">
        <v>436</v>
      </c>
      <c r="B48" s="743">
        <v>5.4351399999999996</v>
      </c>
      <c r="C48" s="743">
        <v>0</v>
      </c>
      <c r="D48" s="608"/>
      <c r="E48" s="138"/>
      <c r="F48" s="138"/>
      <c r="G48" s="138"/>
      <c r="H48" s="138"/>
      <c r="I48" s="138"/>
      <c r="J48" s="138"/>
      <c r="K48" s="138"/>
      <c r="M48" s="652" t="s">
        <v>405</v>
      </c>
      <c r="N48" s="651">
        <v>47.954279999999997</v>
      </c>
      <c r="O48" s="651">
        <v>49.560549999999999</v>
      </c>
      <c r="P48" s="718"/>
    </row>
    <row r="49" spans="1:16" ht="9.75" customHeight="1">
      <c r="A49" s="609" t="s">
        <v>110</v>
      </c>
      <c r="B49" s="744">
        <v>4.9641400000000004</v>
      </c>
      <c r="C49" s="744">
        <v>0</v>
      </c>
      <c r="D49" s="610" t="str">
        <f t="shared" si="0"/>
        <v/>
      </c>
      <c r="E49" s="138"/>
      <c r="F49" s="138"/>
      <c r="G49" s="138"/>
      <c r="H49" s="138"/>
      <c r="I49" s="138"/>
      <c r="J49" s="138"/>
      <c r="K49" s="138"/>
      <c r="M49" s="652" t="s">
        <v>231</v>
      </c>
      <c r="N49" s="651">
        <v>50.04907</v>
      </c>
      <c r="O49" s="651">
        <v>47.938209999999998</v>
      </c>
      <c r="P49" s="718"/>
    </row>
    <row r="50" spans="1:16" ht="10.95" customHeight="1">
      <c r="A50" s="612" t="s">
        <v>112</v>
      </c>
      <c r="B50" s="743">
        <v>3.6</v>
      </c>
      <c r="C50" s="743">
        <v>3.6</v>
      </c>
      <c r="D50" s="608">
        <f t="shared" si="0"/>
        <v>0</v>
      </c>
      <c r="E50" s="138"/>
      <c r="F50" s="138"/>
      <c r="G50" s="138"/>
      <c r="H50" s="138"/>
      <c r="I50" s="138"/>
      <c r="J50" s="138"/>
      <c r="K50" s="138"/>
      <c r="M50" s="652" t="s">
        <v>93</v>
      </c>
      <c r="N50" s="651">
        <v>55.273090000000003</v>
      </c>
      <c r="O50" s="651">
        <v>102.28372999999999</v>
      </c>
      <c r="P50" s="718"/>
    </row>
    <row r="51" spans="1:16" ht="11.25" customHeight="1">
      <c r="A51" s="611" t="s">
        <v>444</v>
      </c>
      <c r="B51" s="744">
        <v>3.5539200000000002</v>
      </c>
      <c r="C51" s="744">
        <v>15.51671</v>
      </c>
      <c r="D51" s="610">
        <f t="shared" si="0"/>
        <v>-0.77096175671260214</v>
      </c>
      <c r="E51" s="138"/>
      <c r="F51" s="138"/>
      <c r="G51" s="138"/>
      <c r="H51" s="138"/>
      <c r="I51" s="138"/>
      <c r="J51" s="138"/>
      <c r="K51" s="138"/>
      <c r="M51" s="652" t="s">
        <v>91</v>
      </c>
      <c r="N51" s="651">
        <v>64.978999999999999</v>
      </c>
      <c r="O51" s="651">
        <v>83.739000000000004</v>
      </c>
      <c r="P51" s="718"/>
    </row>
    <row r="52" spans="1:16" ht="12" customHeight="1">
      <c r="A52" s="612" t="s">
        <v>116</v>
      </c>
      <c r="B52" s="743">
        <v>3.1196700000000002</v>
      </c>
      <c r="C52" s="743">
        <v>4.9308300000000003</v>
      </c>
      <c r="D52" s="608">
        <f t="shared" si="0"/>
        <v>-0.36731341376603943</v>
      </c>
      <c r="E52" s="138"/>
      <c r="F52" s="138"/>
      <c r="G52" s="138"/>
      <c r="H52" s="138"/>
      <c r="I52" s="138"/>
      <c r="J52" s="138"/>
      <c r="K52" s="138"/>
      <c r="M52" s="652" t="s">
        <v>95</v>
      </c>
      <c r="N52" s="651">
        <v>74.996110000000002</v>
      </c>
      <c r="O52" s="651">
        <v>45.701500000000003</v>
      </c>
      <c r="P52" s="718"/>
    </row>
    <row r="53" spans="1:16" ht="9.75" customHeight="1">
      <c r="A53" s="611" t="s">
        <v>111</v>
      </c>
      <c r="B53" s="744">
        <v>2.2850000000000001</v>
      </c>
      <c r="C53" s="744">
        <v>1.752</v>
      </c>
      <c r="D53" s="610">
        <f t="shared" si="0"/>
        <v>0.30422374429223753</v>
      </c>
      <c r="E53" s="138"/>
      <c r="F53" s="138"/>
      <c r="G53" s="138"/>
      <c r="H53" s="138"/>
      <c r="I53" s="138"/>
      <c r="J53" s="138"/>
      <c r="K53" s="138"/>
      <c r="M53" s="652" t="s">
        <v>97</v>
      </c>
      <c r="N53" s="651">
        <v>88.990700000000004</v>
      </c>
      <c r="O53" s="651">
        <v>55.854419999999998</v>
      </c>
      <c r="P53" s="718"/>
    </row>
    <row r="54" spans="1:16" ht="9.75" customHeight="1">
      <c r="A54" s="607" t="s">
        <v>516</v>
      </c>
      <c r="B54" s="743">
        <v>1.7482500000000001</v>
      </c>
      <c r="C54" s="743">
        <v>1.58704</v>
      </c>
      <c r="D54" s="608">
        <f t="shared" si="0"/>
        <v>0.1015790402258292</v>
      </c>
      <c r="E54" s="138"/>
      <c r="F54" s="138"/>
      <c r="G54" s="138"/>
      <c r="H54" s="138"/>
      <c r="I54" s="138"/>
      <c r="J54" s="138"/>
      <c r="K54" s="138"/>
      <c r="M54" s="652" t="s">
        <v>94</v>
      </c>
      <c r="N54" s="651">
        <v>90.2</v>
      </c>
      <c r="O54" s="651">
        <v>92.156000000000006</v>
      </c>
      <c r="P54" s="718"/>
    </row>
    <row r="55" spans="1:16" ht="9.75" customHeight="1">
      <c r="A55" s="609" t="s">
        <v>113</v>
      </c>
      <c r="B55" s="744">
        <v>1.619</v>
      </c>
      <c r="C55" s="744">
        <v>1.7350000000000001</v>
      </c>
      <c r="D55" s="610">
        <f t="shared" si="0"/>
        <v>-6.6858789625360293E-2</v>
      </c>
      <c r="E55" s="138"/>
      <c r="F55" s="138"/>
      <c r="G55" s="138"/>
      <c r="H55" s="138"/>
      <c r="I55" s="138"/>
      <c r="J55" s="138"/>
      <c r="K55" s="138"/>
      <c r="M55" s="652" t="s">
        <v>90</v>
      </c>
      <c r="N55" s="651">
        <v>91.65</v>
      </c>
      <c r="O55" s="651">
        <v>81.986000000000004</v>
      </c>
      <c r="P55" s="718"/>
    </row>
    <row r="56" spans="1:16" ht="9.75" customHeight="1">
      <c r="A56" s="607" t="s">
        <v>446</v>
      </c>
      <c r="B56" s="743">
        <v>0.88183</v>
      </c>
      <c r="C56" s="743">
        <v>0</v>
      </c>
      <c r="D56" s="608" t="str">
        <f t="shared" si="0"/>
        <v/>
      </c>
      <c r="E56" s="138"/>
      <c r="F56" s="138"/>
      <c r="G56" s="138"/>
      <c r="H56" s="138"/>
      <c r="I56" s="138"/>
      <c r="J56" s="138"/>
      <c r="K56" s="138"/>
      <c r="M56" s="652" t="s">
        <v>92</v>
      </c>
      <c r="N56" s="651">
        <v>99.417339999999996</v>
      </c>
      <c r="O56" s="651">
        <v>118.20270000000001</v>
      </c>
      <c r="P56" s="718"/>
    </row>
    <row r="57" spans="1:16" ht="9.75" customHeight="1">
      <c r="A57" s="609" t="s">
        <v>229</v>
      </c>
      <c r="B57" s="744">
        <v>0</v>
      </c>
      <c r="C57" s="744">
        <v>0</v>
      </c>
      <c r="D57" s="610" t="str">
        <f t="shared" si="0"/>
        <v/>
      </c>
      <c r="E57" s="138"/>
      <c r="F57" s="138"/>
      <c r="G57" s="138"/>
      <c r="H57" s="138"/>
      <c r="I57" s="138"/>
      <c r="J57" s="138"/>
      <c r="K57" s="138"/>
      <c r="M57" s="652" t="s">
        <v>89</v>
      </c>
      <c r="N57" s="651">
        <v>123.08839999999998</v>
      </c>
      <c r="O57" s="651">
        <v>139.39379999999997</v>
      </c>
      <c r="P57" s="718"/>
    </row>
    <row r="58" spans="1:16" ht="9.75" customHeight="1">
      <c r="A58" s="607" t="s">
        <v>114</v>
      </c>
      <c r="B58" s="743">
        <v>0</v>
      </c>
      <c r="C58" s="743">
        <v>0</v>
      </c>
      <c r="D58" s="608" t="str">
        <f t="shared" si="0"/>
        <v/>
      </c>
      <c r="E58" s="138"/>
      <c r="F58" s="138"/>
      <c r="G58" s="138"/>
      <c r="H58" s="138"/>
      <c r="I58" s="138"/>
      <c r="J58" s="138"/>
      <c r="K58" s="138"/>
      <c r="M58" s="652" t="s">
        <v>234</v>
      </c>
      <c r="N58" s="651">
        <v>124.43092999999999</v>
      </c>
      <c r="O58" s="651">
        <v>171.99599999999998</v>
      </c>
      <c r="P58" s="718"/>
    </row>
    <row r="59" spans="1:16" ht="9.75" customHeight="1">
      <c r="A59" s="609" t="s">
        <v>108</v>
      </c>
      <c r="B59" s="744">
        <v>0</v>
      </c>
      <c r="C59" s="744">
        <v>0</v>
      </c>
      <c r="D59" s="610" t="str">
        <f t="shared" si="0"/>
        <v/>
      </c>
      <c r="E59" s="138"/>
      <c r="F59" s="138"/>
      <c r="G59" s="138"/>
      <c r="H59" s="138"/>
      <c r="I59" s="138"/>
      <c r="J59" s="138"/>
      <c r="K59" s="138"/>
      <c r="M59" s="652" t="s">
        <v>96</v>
      </c>
      <c r="N59" s="651">
        <v>126.18300000000001</v>
      </c>
      <c r="O59" s="651">
        <v>106.501</v>
      </c>
      <c r="P59" s="718"/>
    </row>
    <row r="60" spans="1:16" ht="9.75" customHeight="1">
      <c r="A60" s="607" t="s">
        <v>105</v>
      </c>
      <c r="B60" s="743">
        <v>0</v>
      </c>
      <c r="C60" s="743">
        <v>0</v>
      </c>
      <c r="D60" s="608" t="str">
        <f t="shared" si="0"/>
        <v/>
      </c>
      <c r="E60" s="138"/>
      <c r="F60" s="138"/>
      <c r="G60" s="138"/>
      <c r="H60" s="138"/>
      <c r="I60" s="138"/>
      <c r="J60" s="138"/>
      <c r="K60" s="138"/>
      <c r="M60" s="652" t="s">
        <v>230</v>
      </c>
      <c r="N60" s="651">
        <v>143.12947</v>
      </c>
      <c r="O60" s="651">
        <v>238.53051000000002</v>
      </c>
      <c r="P60" s="718"/>
    </row>
    <row r="61" spans="1:16" ht="9.75" customHeight="1">
      <c r="A61" s="614" t="s">
        <v>236</v>
      </c>
      <c r="B61" s="745">
        <v>0</v>
      </c>
      <c r="C61" s="745">
        <v>0</v>
      </c>
      <c r="D61" s="610" t="str">
        <f t="shared" si="0"/>
        <v/>
      </c>
      <c r="E61" s="138"/>
      <c r="F61" s="138"/>
      <c r="G61" s="138"/>
      <c r="H61" s="138"/>
      <c r="I61" s="138"/>
      <c r="J61" s="138"/>
      <c r="K61" s="138"/>
      <c r="M61" s="652" t="s">
        <v>88</v>
      </c>
      <c r="N61" s="651">
        <v>155.95462999999998</v>
      </c>
      <c r="O61" s="651">
        <v>257.72505999999998</v>
      </c>
      <c r="P61" s="718"/>
    </row>
    <row r="62" spans="1:16" ht="9.75" customHeight="1">
      <c r="A62" s="615" t="s">
        <v>115</v>
      </c>
      <c r="B62" s="746">
        <v>0</v>
      </c>
      <c r="C62" s="746">
        <v>0</v>
      </c>
      <c r="D62" s="616" t="str">
        <f t="shared" si="0"/>
        <v/>
      </c>
      <c r="E62" s="138"/>
      <c r="F62" s="138"/>
      <c r="G62" s="138"/>
      <c r="H62" s="138"/>
      <c r="I62" s="138"/>
      <c r="J62" s="138"/>
      <c r="K62" s="138"/>
      <c r="M62" s="652" t="s">
        <v>98</v>
      </c>
      <c r="N62" s="651">
        <v>291.74199999999996</v>
      </c>
      <c r="O62" s="651">
        <v>289.13090999999997</v>
      </c>
      <c r="P62" s="718"/>
    </row>
    <row r="63" spans="1:16" ht="9.75" customHeight="1">
      <c r="A63" s="614" t="s">
        <v>107</v>
      </c>
      <c r="B63" s="745">
        <v>0</v>
      </c>
      <c r="C63" s="745">
        <v>0</v>
      </c>
      <c r="D63" s="604" t="str">
        <f t="shared" si="0"/>
        <v/>
      </c>
      <c r="E63" s="138"/>
      <c r="F63" s="138"/>
      <c r="G63" s="138"/>
      <c r="H63" s="138"/>
      <c r="I63" s="138"/>
      <c r="J63" s="138"/>
      <c r="K63" s="138"/>
      <c r="M63" s="652" t="s">
        <v>237</v>
      </c>
      <c r="N63" s="651">
        <v>353.98025000000001</v>
      </c>
      <c r="O63" s="651">
        <v>0</v>
      </c>
      <c r="P63" s="718"/>
    </row>
    <row r="64" spans="1:16" ht="9.75" customHeight="1">
      <c r="A64" s="615" t="s">
        <v>103</v>
      </c>
      <c r="B64" s="746">
        <v>0</v>
      </c>
      <c r="C64" s="746">
        <v>86.482849999999999</v>
      </c>
      <c r="D64" s="616">
        <f t="shared" si="0"/>
        <v>-1</v>
      </c>
      <c r="E64" s="138"/>
      <c r="F64" s="138"/>
      <c r="G64" s="138"/>
      <c r="H64" s="138"/>
      <c r="I64" s="138"/>
      <c r="J64" s="138"/>
      <c r="K64" s="138"/>
      <c r="M64" s="652" t="s">
        <v>232</v>
      </c>
      <c r="N64" s="651">
        <v>568.06960000000004</v>
      </c>
      <c r="O64" s="651">
        <v>548.15437999999995</v>
      </c>
      <c r="P64" s="718"/>
    </row>
    <row r="65" spans="1:16" ht="9.75" customHeight="1">
      <c r="A65" s="614" t="s">
        <v>406</v>
      </c>
      <c r="B65" s="745">
        <v>0</v>
      </c>
      <c r="C65" s="745">
        <v>7.4503399999999997</v>
      </c>
      <c r="D65" s="604">
        <f t="shared" si="0"/>
        <v>-1</v>
      </c>
      <c r="E65" s="138"/>
      <c r="F65" s="138"/>
      <c r="G65" s="138"/>
      <c r="H65" s="138"/>
      <c r="I65" s="138"/>
      <c r="J65" s="138"/>
      <c r="K65" s="138"/>
      <c r="M65" s="652" t="s">
        <v>87</v>
      </c>
      <c r="N65" s="651">
        <v>607.24415999999997</v>
      </c>
      <c r="O65" s="651">
        <v>848.26944000000015</v>
      </c>
      <c r="P65" s="718"/>
    </row>
    <row r="66" spans="1:16" ht="9.75" customHeight="1">
      <c r="A66" s="615" t="s">
        <v>442</v>
      </c>
      <c r="B66" s="746">
        <v>0</v>
      </c>
      <c r="C66" s="746">
        <v>0</v>
      </c>
      <c r="D66" s="616" t="str">
        <f t="shared" si="0"/>
        <v/>
      </c>
      <c r="E66" s="138"/>
      <c r="F66" s="138"/>
      <c r="G66" s="138"/>
      <c r="H66" s="138"/>
      <c r="I66" s="138"/>
      <c r="J66" s="138"/>
      <c r="K66" s="138"/>
      <c r="M66" s="652" t="s">
        <v>86</v>
      </c>
      <c r="N66" s="654">
        <v>1070.491</v>
      </c>
      <c r="O66" s="654">
        <v>577.83800000000008</v>
      </c>
      <c r="P66" s="718"/>
    </row>
    <row r="67" spans="1:16" ht="9.75" customHeight="1">
      <c r="A67" s="614" t="s">
        <v>443</v>
      </c>
      <c r="B67" s="745">
        <v>0</v>
      </c>
      <c r="C67" s="745">
        <v>0</v>
      </c>
      <c r="D67" s="604" t="str">
        <f t="shared" si="0"/>
        <v/>
      </c>
      <c r="E67" s="138"/>
      <c r="F67" s="138"/>
      <c r="G67" s="138"/>
      <c r="H67" s="138"/>
      <c r="I67" s="138"/>
      <c r="J67" s="138"/>
      <c r="K67" s="138"/>
      <c r="M67" s="652" t="s">
        <v>390</v>
      </c>
      <c r="N67" s="654">
        <v>1293.6069299999999</v>
      </c>
      <c r="O67" s="654">
        <v>1651.866</v>
      </c>
      <c r="P67" s="718"/>
    </row>
    <row r="68" spans="1:16" ht="9.75" customHeight="1">
      <c r="A68" s="615" t="s">
        <v>517</v>
      </c>
      <c r="B68" s="746">
        <v>0</v>
      </c>
      <c r="C68" s="746">
        <v>0</v>
      </c>
      <c r="D68" s="616" t="str">
        <f t="shared" si="0"/>
        <v/>
      </c>
      <c r="E68" s="138"/>
      <c r="F68" s="138"/>
      <c r="G68" s="138"/>
      <c r="H68" s="138"/>
      <c r="I68" s="138"/>
      <c r="J68" s="138"/>
      <c r="K68" s="138"/>
      <c r="M68" s="652" t="s">
        <v>85</v>
      </c>
      <c r="N68" s="654">
        <v>1424.0338199999999</v>
      </c>
      <c r="O68" s="654">
        <v>1085.86877</v>
      </c>
      <c r="P68" s="718"/>
    </row>
    <row r="69" spans="1:16" ht="9.75" customHeight="1">
      <c r="A69" s="617" t="s">
        <v>41</v>
      </c>
      <c r="B69" s="618">
        <f>+SUM(B7:B68)</f>
        <v>7280.2119200000006</v>
      </c>
      <c r="C69" s="618">
        <f>+SUM(C7:C68)</f>
        <v>7067.6379900000002</v>
      </c>
      <c r="D69" s="619">
        <f>IF(C69=0,"",B69/C69-1)</f>
        <v>3.0077082371900099E-2</v>
      </c>
      <c r="E69" s="138"/>
      <c r="F69" s="138"/>
      <c r="G69" s="138"/>
      <c r="H69" s="138"/>
      <c r="I69" s="138"/>
      <c r="J69" s="138"/>
      <c r="K69" s="138"/>
      <c r="P69" s="718"/>
    </row>
    <row r="70" spans="1:16" ht="9.75" customHeight="1">
      <c r="E70" s="138"/>
      <c r="F70" s="138"/>
      <c r="G70" s="138"/>
      <c r="H70" s="138"/>
      <c r="I70" s="138"/>
      <c r="J70" s="138"/>
      <c r="K70" s="138"/>
      <c r="P70" s="718"/>
    </row>
    <row r="71" spans="1:16" ht="31.2" customHeight="1">
      <c r="A71" s="878" t="str">
        <f>"Cuadro N° 8: Participación de las empresas generadoras del COES en la máxima potencia coincidente (MW) en "&amp;'1. Resumen'!Q4&amp;"."</f>
        <v>Cuadro N° 8: Participación de las empresas generadoras del COES en la máxima potencia coincidente (MW) en julio.</v>
      </c>
      <c r="B71" s="878"/>
      <c r="C71" s="878"/>
      <c r="D71" s="878"/>
      <c r="E71" s="132"/>
      <c r="F71" s="878" t="str">
        <f>"Gráfico N° 12: Comparación de la máxima potencia coincidente  (MW) de las empresas generadoras del COES en "&amp;'1. Resumen'!Q4&amp;"."</f>
        <v>Gráfico N° 12: Comparación de la máxima potencia coincidente  (MW) de las empresas generadoras del COES en julio.</v>
      </c>
      <c r="G71" s="878"/>
      <c r="H71" s="878"/>
      <c r="I71" s="878"/>
      <c r="J71" s="878"/>
      <c r="K71" s="878"/>
    </row>
    <row r="72" spans="1:16">
      <c r="A72" s="891"/>
      <c r="B72" s="891"/>
      <c r="C72" s="891"/>
      <c r="D72" s="891"/>
      <c r="E72" s="891"/>
      <c r="F72" s="891"/>
      <c r="G72" s="891"/>
      <c r="H72" s="891"/>
      <c r="I72" s="891"/>
      <c r="J72" s="891"/>
      <c r="K72" s="891"/>
    </row>
    <row r="73" spans="1:16">
      <c r="A73" s="890"/>
      <c r="B73" s="890"/>
      <c r="C73" s="890"/>
      <c r="D73" s="890"/>
      <c r="E73" s="890"/>
      <c r="F73" s="890"/>
      <c r="G73" s="890"/>
      <c r="H73" s="890"/>
      <c r="I73" s="890"/>
      <c r="J73" s="890"/>
      <c r="K73" s="890"/>
    </row>
  </sheetData>
  <mergeCells count="9">
    <mergeCell ref="A73:K73"/>
    <mergeCell ref="A72:K72"/>
    <mergeCell ref="A71:D71"/>
    <mergeCell ref="F71:K71"/>
    <mergeCell ref="A1:K1"/>
    <mergeCell ref="A3:A6"/>
    <mergeCell ref="B3:D3"/>
    <mergeCell ref="H3:J3"/>
    <mergeCell ref="D4:D6"/>
  </mergeCells>
  <pageMargins left="0.35186274509803922" right="0.32333333333333331" top="0.97950980392156861" bottom="0.31630434782608696"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M15" sqref="M15"/>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0" width="9.28515625" style="665" customWidth="1"/>
    <col min="11" max="11" width="9.28515625" style="46" customWidth="1"/>
    <col min="12" max="12" width="9.28515625" style="46"/>
    <col min="13" max="18" width="9.28515625" style="276"/>
    <col min="19" max="21" width="9.28515625" style="46"/>
    <col min="22" max="25" width="9.28515625" style="665"/>
    <col min="26" max="31" width="9.28515625" style="296"/>
    <col min="32" max="16384" width="9.28515625" style="46"/>
  </cols>
  <sheetData>
    <row r="1" spans="1:38" ht="11.25" customHeight="1"/>
    <row r="2" spans="1:38" ht="17.25" customHeight="1">
      <c r="A2" s="882" t="s">
        <v>245</v>
      </c>
      <c r="B2" s="882"/>
      <c r="C2" s="882"/>
      <c r="D2" s="882"/>
      <c r="E2" s="882"/>
      <c r="F2" s="882"/>
      <c r="G2" s="882"/>
      <c r="H2" s="882"/>
    </row>
    <row r="3" spans="1:38" ht="11.25" customHeight="1">
      <c r="A3" s="77"/>
      <c r="B3" s="77"/>
      <c r="C3" s="77"/>
      <c r="D3" s="77"/>
      <c r="E3" s="77"/>
      <c r="F3" s="82"/>
      <c r="G3" s="82"/>
      <c r="H3" s="82"/>
      <c r="I3" s="36"/>
      <c r="J3" s="664"/>
    </row>
    <row r="4" spans="1:38" ht="15.75" customHeight="1">
      <c r="A4" s="900" t="s">
        <v>414</v>
      </c>
      <c r="B4" s="900"/>
      <c r="C4" s="900"/>
      <c r="D4" s="900"/>
      <c r="E4" s="900"/>
      <c r="F4" s="900"/>
      <c r="G4" s="900"/>
      <c r="H4" s="900"/>
      <c r="I4" s="36"/>
      <c r="J4" s="664"/>
    </row>
    <row r="5" spans="1:38" ht="11.25" customHeight="1">
      <c r="A5" s="77"/>
      <c r="B5" s="164"/>
      <c r="C5" s="79"/>
      <c r="D5" s="79"/>
      <c r="E5" s="80"/>
      <c r="F5" s="76"/>
      <c r="G5" s="76"/>
      <c r="H5" s="81"/>
      <c r="I5" s="165"/>
      <c r="J5" s="693"/>
    </row>
    <row r="6" spans="1:38" ht="39" customHeight="1">
      <c r="A6" s="77"/>
      <c r="C6" s="373" t="s">
        <v>120</v>
      </c>
      <c r="D6" s="374" t="s">
        <v>736</v>
      </c>
      <c r="E6" s="374" t="s">
        <v>737</v>
      </c>
      <c r="F6" s="375" t="s">
        <v>121</v>
      </c>
      <c r="G6" s="169"/>
      <c r="H6" s="170"/>
    </row>
    <row r="7" spans="1:38" ht="11.25" customHeight="1">
      <c r="A7" s="77"/>
      <c r="C7" s="751" t="s">
        <v>122</v>
      </c>
      <c r="D7" s="752">
        <v>25.104000091552699</v>
      </c>
      <c r="E7" s="545">
        <v>22.083000183105401</v>
      </c>
      <c r="F7" s="413">
        <f>IF(E7=0,"",(D7-E7)/E7)</f>
        <v>0.13680205965666356</v>
      </c>
      <c r="G7" s="137"/>
      <c r="H7" s="264"/>
    </row>
    <row r="8" spans="1:38" ht="11.25" customHeight="1">
      <c r="A8" s="77"/>
      <c r="C8" s="753" t="s">
        <v>123</v>
      </c>
      <c r="D8" s="754">
        <v>68.653999328613196</v>
      </c>
      <c r="E8" s="414">
        <v>98.072998046875</v>
      </c>
      <c r="F8" s="415">
        <f t="shared" ref="F8:F20" si="0">IF(E8=0,"",(D8-E8)/E8)</f>
        <v>-0.29997042309444533</v>
      </c>
      <c r="G8" s="137"/>
      <c r="H8" s="264"/>
    </row>
    <row r="9" spans="1:38" ht="11.25" customHeight="1">
      <c r="A9" s="77"/>
      <c r="C9" s="755" t="s">
        <v>124</v>
      </c>
      <c r="D9" s="756">
        <v>66.870002746582003</v>
      </c>
      <c r="E9" s="416">
        <v>81.072998046875</v>
      </c>
      <c r="F9" s="417">
        <f t="shared" si="0"/>
        <v>-0.175187739968381</v>
      </c>
      <c r="G9" s="137"/>
      <c r="H9" s="264"/>
      <c r="M9" s="622" t="s">
        <v>251</v>
      </c>
      <c r="N9" s="277"/>
      <c r="O9" s="277"/>
      <c r="P9" s="277"/>
      <c r="Q9" s="277"/>
      <c r="R9" s="277"/>
      <c r="S9"/>
      <c r="T9"/>
      <c r="U9"/>
      <c r="V9" s="662"/>
      <c r="W9" s="662"/>
      <c r="X9" s="662"/>
      <c r="Y9" s="662"/>
      <c r="Z9" s="297"/>
      <c r="AA9" s="297"/>
      <c r="AB9" s="297"/>
      <c r="AC9" s="297"/>
      <c r="AD9" s="297"/>
      <c r="AE9" s="297"/>
      <c r="AF9" s="215"/>
      <c r="AG9" s="215"/>
      <c r="AH9" s="215"/>
      <c r="AI9" s="215"/>
      <c r="AJ9" s="215"/>
      <c r="AK9" s="215"/>
      <c r="AL9" s="215"/>
    </row>
    <row r="10" spans="1:38" ht="11.25" customHeight="1">
      <c r="A10" s="77"/>
      <c r="C10" s="753" t="s">
        <v>125</v>
      </c>
      <c r="D10" s="754">
        <v>37.777000427246001</v>
      </c>
      <c r="E10" s="414">
        <v>75.815002441406193</v>
      </c>
      <c r="F10" s="415">
        <f t="shared" si="0"/>
        <v>-0.50172130566846518</v>
      </c>
      <c r="G10" s="137"/>
      <c r="H10" s="264"/>
      <c r="M10" s="622" t="s">
        <v>252</v>
      </c>
      <c r="N10" s="277"/>
      <c r="O10" s="277"/>
      <c r="P10" s="277"/>
      <c r="Q10" s="277"/>
      <c r="R10" s="277"/>
      <c r="S10"/>
      <c r="T10"/>
      <c r="AD10" s="297"/>
      <c r="AE10" s="297"/>
      <c r="AF10" s="215"/>
      <c r="AG10" s="215"/>
      <c r="AH10" s="215"/>
      <c r="AI10" s="215"/>
      <c r="AJ10" s="215"/>
      <c r="AK10" s="215"/>
      <c r="AL10" s="215"/>
    </row>
    <row r="11" spans="1:38" ht="11.25" customHeight="1">
      <c r="A11" s="77"/>
      <c r="C11" s="755" t="s">
        <v>126</v>
      </c>
      <c r="D11" s="756">
        <v>21.899000167846602</v>
      </c>
      <c r="E11" s="416">
        <v>28.274000167846602</v>
      </c>
      <c r="F11" s="417">
        <f>IF(E11=0,"",(D11-E11)/E11)</f>
        <v>-0.2254721639016504</v>
      </c>
      <c r="G11" s="137"/>
      <c r="H11" s="264"/>
      <c r="M11" s="277"/>
      <c r="N11" s="623">
        <v>2020</v>
      </c>
      <c r="O11" s="623">
        <v>2021</v>
      </c>
      <c r="P11" s="623">
        <v>2022</v>
      </c>
      <c r="Q11" s="623">
        <v>2023</v>
      </c>
      <c r="R11" s="277"/>
      <c r="S11"/>
      <c r="T11"/>
      <c r="AD11" s="297"/>
      <c r="AE11" s="297"/>
      <c r="AF11" s="215"/>
      <c r="AG11" s="215"/>
      <c r="AH11" s="215"/>
      <c r="AI11" s="215"/>
      <c r="AJ11" s="215"/>
      <c r="AK11" s="215"/>
      <c r="AL11" s="215"/>
    </row>
    <row r="12" spans="1:38" ht="11.25" customHeight="1">
      <c r="A12" s="77"/>
      <c r="C12" s="753" t="s">
        <v>127</v>
      </c>
      <c r="D12" s="754">
        <v>23.271999359130799</v>
      </c>
      <c r="E12" s="414">
        <v>1.19700002670288</v>
      </c>
      <c r="F12" s="415">
        <f t="shared" si="0"/>
        <v>18.441937209670076</v>
      </c>
      <c r="G12" s="137"/>
      <c r="H12" s="264"/>
      <c r="M12" s="624">
        <v>1</v>
      </c>
      <c r="N12" s="625">
        <v>117.290000915527</v>
      </c>
      <c r="O12" s="625">
        <v>129.00799559999999</v>
      </c>
      <c r="P12" s="625">
        <v>126.9000015</v>
      </c>
      <c r="Q12" s="701">
        <v>80.403999330000005</v>
      </c>
      <c r="R12" s="277"/>
      <c r="S12"/>
      <c r="T12"/>
      <c r="AD12" s="297"/>
      <c r="AE12" s="297"/>
      <c r="AF12" s="215"/>
      <c r="AG12" s="215"/>
      <c r="AH12" s="215"/>
      <c r="AI12" s="215"/>
      <c r="AJ12" s="215"/>
      <c r="AK12" s="215"/>
      <c r="AL12" s="215"/>
    </row>
    <row r="13" spans="1:38" ht="11.25" customHeight="1">
      <c r="A13" s="77"/>
      <c r="C13" s="755" t="s">
        <v>128</v>
      </c>
      <c r="D13" s="756">
        <v>46.569999694824197</v>
      </c>
      <c r="E13" s="416">
        <v>91.400001525878906</v>
      </c>
      <c r="F13" s="417">
        <f t="shared" si="0"/>
        <v>-0.49048141228270753</v>
      </c>
      <c r="G13" s="137"/>
      <c r="H13" s="264"/>
      <c r="M13" s="624">
        <v>2</v>
      </c>
      <c r="N13" s="625">
        <v>146.93600459999999</v>
      </c>
      <c r="O13" s="625">
        <v>140.9219971</v>
      </c>
      <c r="P13" s="625">
        <v>126.61000060000001</v>
      </c>
      <c r="Q13" s="701">
        <v>84.577003480000002</v>
      </c>
      <c r="R13" s="277"/>
      <c r="S13"/>
      <c r="T13"/>
      <c r="AD13" s="297"/>
      <c r="AE13" s="297"/>
      <c r="AF13" s="215"/>
      <c r="AG13" s="215"/>
      <c r="AH13" s="215"/>
      <c r="AI13" s="215"/>
      <c r="AJ13" s="215"/>
      <c r="AK13" s="215"/>
      <c r="AL13" s="215"/>
    </row>
    <row r="14" spans="1:38" ht="11.25" customHeight="1">
      <c r="A14" s="77"/>
      <c r="C14" s="753" t="s">
        <v>129</v>
      </c>
      <c r="D14" s="754">
        <v>230.80799865722599</v>
      </c>
      <c r="E14" s="414">
        <v>234.53700256347599</v>
      </c>
      <c r="F14" s="415">
        <f t="shared" si="0"/>
        <v>-1.5899426808956375E-2</v>
      </c>
      <c r="G14" s="137"/>
      <c r="H14" s="264"/>
      <c r="M14" s="624">
        <v>3</v>
      </c>
      <c r="N14" s="625">
        <v>149.93200680000001</v>
      </c>
      <c r="O14" s="625">
        <v>146.8099976</v>
      </c>
      <c r="P14" s="625">
        <v>130.51999660000001</v>
      </c>
      <c r="Q14" s="701">
        <v>84.956001281738196</v>
      </c>
      <c r="R14" s="277"/>
      <c r="S14"/>
      <c r="T14"/>
      <c r="AD14" s="297"/>
      <c r="AE14" s="297"/>
      <c r="AF14" s="215"/>
      <c r="AG14" s="215"/>
      <c r="AH14" s="215"/>
      <c r="AI14" s="215"/>
      <c r="AJ14" s="215"/>
      <c r="AK14" s="215"/>
      <c r="AL14" s="215"/>
    </row>
    <row r="15" spans="1:38" ht="11.25" customHeight="1">
      <c r="A15" s="77"/>
      <c r="C15" s="755" t="s">
        <v>130</v>
      </c>
      <c r="D15" s="756">
        <v>15.3909997940063</v>
      </c>
      <c r="E15" s="416">
        <v>47.880001068115199</v>
      </c>
      <c r="F15" s="417">
        <f t="shared" si="0"/>
        <v>-0.67855055449746748</v>
      </c>
      <c r="G15" s="137"/>
      <c r="H15" s="264"/>
      <c r="M15" s="624">
        <v>4</v>
      </c>
      <c r="N15" s="625">
        <v>152.6190033</v>
      </c>
      <c r="O15" s="625">
        <v>159.0500031</v>
      </c>
      <c r="P15" s="625">
        <v>137.43000029999999</v>
      </c>
      <c r="Q15" s="701">
        <v>88.667999269999996</v>
      </c>
      <c r="R15" s="277"/>
      <c r="S15"/>
      <c r="T15"/>
      <c r="AD15" s="297"/>
      <c r="AE15" s="297"/>
      <c r="AF15" s="215"/>
      <c r="AG15" s="215"/>
      <c r="AH15" s="215"/>
      <c r="AI15" s="215"/>
      <c r="AJ15" s="215"/>
      <c r="AK15" s="215"/>
      <c r="AL15" s="215"/>
    </row>
    <row r="16" spans="1:38" ht="11.25" customHeight="1">
      <c r="A16" s="77"/>
      <c r="C16" s="753" t="s">
        <v>131</v>
      </c>
      <c r="D16" s="754">
        <v>195.774002075195</v>
      </c>
      <c r="E16" s="414">
        <v>216.95199584960901</v>
      </c>
      <c r="F16" s="415">
        <f t="shared" si="0"/>
        <v>-9.7616035710934773E-2</v>
      </c>
      <c r="G16" s="137"/>
      <c r="H16" s="264"/>
      <c r="M16" s="624">
        <v>5</v>
      </c>
      <c r="N16" s="625">
        <v>162.19599909999999</v>
      </c>
      <c r="O16" s="625">
        <v>174.75</v>
      </c>
      <c r="P16" s="625">
        <v>153.3059998</v>
      </c>
      <c r="Q16" s="701">
        <v>92.379997258261795</v>
      </c>
      <c r="R16" s="277"/>
      <c r="S16"/>
      <c r="T16"/>
      <c r="AD16" s="297"/>
      <c r="AE16" s="297"/>
      <c r="AF16" s="215"/>
      <c r="AG16" s="215"/>
      <c r="AH16" s="215"/>
      <c r="AI16" s="215"/>
      <c r="AJ16" s="215"/>
      <c r="AK16" s="215"/>
      <c r="AL16" s="215"/>
    </row>
    <row r="17" spans="1:38" ht="11.25" customHeight="1">
      <c r="A17" s="77"/>
      <c r="C17" s="755" t="s">
        <v>132</v>
      </c>
      <c r="D17" s="756">
        <v>126.209999084472</v>
      </c>
      <c r="E17" s="416">
        <v>177.75</v>
      </c>
      <c r="F17" s="417">
        <f t="shared" si="0"/>
        <v>-0.28995781105782276</v>
      </c>
      <c r="G17" s="137"/>
      <c r="H17" s="264"/>
      <c r="M17" s="624">
        <v>6</v>
      </c>
      <c r="N17" s="625">
        <v>168.51100158691401</v>
      </c>
      <c r="O17" s="625">
        <v>179.64900209999999</v>
      </c>
      <c r="P17" s="625">
        <v>137.3439941</v>
      </c>
      <c r="Q17" s="701">
        <v>102.379997253418</v>
      </c>
      <c r="R17" s="277"/>
      <c r="S17"/>
      <c r="T17"/>
      <c r="AD17" s="297"/>
      <c r="AE17" s="297"/>
      <c r="AF17" s="215"/>
      <c r="AG17" s="215"/>
      <c r="AH17" s="215"/>
      <c r="AI17" s="215"/>
      <c r="AJ17" s="215"/>
      <c r="AK17" s="215"/>
      <c r="AL17" s="215"/>
    </row>
    <row r="18" spans="1:38" ht="11.25" customHeight="1">
      <c r="A18" s="77"/>
      <c r="C18" s="753" t="s">
        <v>133</v>
      </c>
      <c r="D18" s="754">
        <v>13.720999717712401</v>
      </c>
      <c r="E18" s="414">
        <v>24.038999557495099</v>
      </c>
      <c r="F18" s="415">
        <f t="shared" si="0"/>
        <v>-0.42921918672633191</v>
      </c>
      <c r="G18" s="137"/>
      <c r="H18" s="264"/>
      <c r="M18" s="624">
        <v>7</v>
      </c>
      <c r="N18" s="625">
        <v>175.46800229999999</v>
      </c>
      <c r="O18" s="625">
        <v>184.3</v>
      </c>
      <c r="P18" s="625">
        <v>148.73699569999999</v>
      </c>
      <c r="Q18" s="701">
        <v>108.6900024</v>
      </c>
      <c r="R18" s="277"/>
      <c r="S18"/>
      <c r="T18"/>
      <c r="AD18" s="297"/>
      <c r="AE18" s="297"/>
      <c r="AF18" s="215"/>
      <c r="AG18" s="215"/>
      <c r="AH18" s="215"/>
      <c r="AI18" s="215"/>
      <c r="AJ18" s="215"/>
      <c r="AK18" s="215"/>
      <c r="AL18" s="215"/>
    </row>
    <row r="19" spans="1:38" ht="12.75" customHeight="1">
      <c r="A19" s="77"/>
      <c r="C19" s="755" t="s">
        <v>134</v>
      </c>
      <c r="D19" s="756">
        <v>28.929079055786101</v>
      </c>
      <c r="E19" s="416">
        <v>42.161350250244098</v>
      </c>
      <c r="F19" s="417">
        <f t="shared" si="0"/>
        <v>-0.31384837335425203</v>
      </c>
      <c r="G19" s="137"/>
      <c r="H19" s="264"/>
      <c r="M19" s="624">
        <v>8</v>
      </c>
      <c r="N19" s="625">
        <v>188.82800292968699</v>
      </c>
      <c r="O19" s="625">
        <v>186.76999999999998</v>
      </c>
      <c r="P19" s="625">
        <v>152.691</v>
      </c>
      <c r="Q19" s="701">
        <v>120.7900009</v>
      </c>
      <c r="R19" s="277"/>
      <c r="S19"/>
      <c r="T19"/>
      <c r="AD19" s="297"/>
      <c r="AE19" s="297"/>
      <c r="AF19" s="215"/>
      <c r="AG19" s="215"/>
      <c r="AH19" s="215"/>
      <c r="AI19" s="215"/>
      <c r="AJ19" s="215"/>
      <c r="AK19" s="215"/>
      <c r="AL19" s="215"/>
    </row>
    <row r="20" spans="1:38" ht="13.5" customHeight="1">
      <c r="A20" s="77"/>
      <c r="C20" s="753" t="s">
        <v>135</v>
      </c>
      <c r="D20" s="754">
        <v>18.5879802703857</v>
      </c>
      <c r="E20" s="414">
        <v>17.4876804351806</v>
      </c>
      <c r="F20" s="415">
        <f t="shared" si="0"/>
        <v>6.2918569405670657E-2</v>
      </c>
      <c r="G20" s="137"/>
      <c r="H20" s="264"/>
      <c r="M20" s="624">
        <v>9</v>
      </c>
      <c r="N20" s="625">
        <v>196.47700499999999</v>
      </c>
      <c r="O20" s="625">
        <v>193.21000671386699</v>
      </c>
      <c r="P20" s="625">
        <v>167.3399963</v>
      </c>
      <c r="Q20" s="701">
        <v>135.97399902343699</v>
      </c>
      <c r="R20" s="277"/>
      <c r="S20"/>
      <c r="T20"/>
      <c r="AD20" s="297"/>
      <c r="AE20" s="297"/>
      <c r="AF20" s="215"/>
      <c r="AG20" s="215"/>
      <c r="AH20" s="215"/>
      <c r="AI20" s="215"/>
      <c r="AJ20" s="215"/>
      <c r="AK20" s="215"/>
      <c r="AL20" s="215"/>
    </row>
    <row r="21" spans="1:38" ht="11.25" customHeight="1">
      <c r="A21" s="77"/>
      <c r="C21" s="755" t="s">
        <v>136</v>
      </c>
      <c r="D21" s="756">
        <v>5.9499998092651296</v>
      </c>
      <c r="E21" s="416">
        <v>6.4079999923706001</v>
      </c>
      <c r="F21" s="417">
        <f t="shared" ref="F21:F27" si="1">IF(E21=0,"",(D21-E21)/E21)</f>
        <v>-7.1473187211418238E-2</v>
      </c>
      <c r="M21" s="624">
        <v>10</v>
      </c>
      <c r="N21" s="625">
        <v>199.98199460000001</v>
      </c>
      <c r="O21" s="625">
        <v>196.71000670000001</v>
      </c>
      <c r="P21" s="625">
        <v>164.90809684999999</v>
      </c>
      <c r="Q21" s="701">
        <v>139.5839996</v>
      </c>
      <c r="R21" s="277"/>
      <c r="S21"/>
      <c r="T21"/>
      <c r="AD21" s="297"/>
      <c r="AE21" s="297"/>
      <c r="AF21" s="215"/>
      <c r="AG21" s="215"/>
      <c r="AH21" s="215"/>
      <c r="AI21" s="215"/>
      <c r="AJ21" s="215"/>
      <c r="AK21" s="215"/>
      <c r="AL21" s="215"/>
    </row>
    <row r="22" spans="1:38" ht="11.25" customHeight="1">
      <c r="A22" s="77"/>
      <c r="C22" s="753" t="s">
        <v>137</v>
      </c>
      <c r="D22" s="754">
        <v>4.53200006484985</v>
      </c>
      <c r="E22" s="414">
        <v>5.375</v>
      </c>
      <c r="F22" s="415">
        <f t="shared" si="1"/>
        <v>-0.15683719723723721</v>
      </c>
      <c r="G22" s="137"/>
      <c r="H22" s="264"/>
      <c r="M22" s="624">
        <v>11</v>
      </c>
      <c r="N22" s="625">
        <v>200.89500430000001</v>
      </c>
      <c r="O22" s="625">
        <v>203.61799619999999</v>
      </c>
      <c r="P22" s="625">
        <v>184.82999999999998</v>
      </c>
      <c r="Q22" s="626">
        <v>149.71299743652301</v>
      </c>
      <c r="AF22" s="265"/>
      <c r="AG22" s="265"/>
      <c r="AH22" s="265"/>
      <c r="AI22" s="265"/>
      <c r="AJ22" s="265"/>
      <c r="AK22" s="265"/>
      <c r="AL22" s="265"/>
    </row>
    <row r="23" spans="1:38" ht="11.25" customHeight="1">
      <c r="A23" s="77"/>
      <c r="C23" s="755" t="s">
        <v>396</v>
      </c>
      <c r="D23" s="756">
        <v>6.69600009918212</v>
      </c>
      <c r="E23" s="416">
        <v>3.58500003814697</v>
      </c>
      <c r="F23" s="417">
        <f t="shared" si="1"/>
        <v>0.86778243456956194</v>
      </c>
      <c r="G23" s="137"/>
      <c r="H23" s="264"/>
      <c r="M23" s="624">
        <v>12</v>
      </c>
      <c r="N23" s="625">
        <v>210.61200000000002</v>
      </c>
      <c r="O23" s="625">
        <v>209.9909973</v>
      </c>
      <c r="P23" s="625">
        <v>191.4409943</v>
      </c>
      <c r="Q23" s="626">
        <v>157.25100710000001</v>
      </c>
      <c r="AF23" s="265"/>
      <c r="AG23" s="265"/>
      <c r="AH23" s="265"/>
      <c r="AI23" s="265"/>
      <c r="AJ23" s="265"/>
      <c r="AK23" s="265"/>
      <c r="AL23" s="265"/>
    </row>
    <row r="24" spans="1:38" ht="11.25" customHeight="1">
      <c r="A24" s="77"/>
      <c r="C24" s="753" t="s">
        <v>138</v>
      </c>
      <c r="D24" s="754">
        <v>163.072998046875</v>
      </c>
      <c r="E24" s="414">
        <v>195.11000061035099</v>
      </c>
      <c r="F24" s="415">
        <f t="shared" si="1"/>
        <v>-0.16419969485549971</v>
      </c>
      <c r="G24" s="137"/>
      <c r="H24" s="264"/>
      <c r="M24" s="624">
        <v>13</v>
      </c>
      <c r="N24" s="625">
        <v>221.91900634765599</v>
      </c>
      <c r="O24" s="625">
        <v>219.56300350000001</v>
      </c>
      <c r="P24" s="625">
        <v>207.84</v>
      </c>
      <c r="Q24" s="626">
        <v>170.20199579999999</v>
      </c>
      <c r="AF24" s="265"/>
      <c r="AG24" s="265"/>
      <c r="AH24" s="265"/>
      <c r="AI24" s="265"/>
      <c r="AJ24" s="265"/>
      <c r="AK24" s="265"/>
      <c r="AL24" s="265"/>
    </row>
    <row r="25" spans="1:38" ht="11.25" customHeight="1">
      <c r="A25" s="77"/>
      <c r="C25" s="755" t="s">
        <v>139</v>
      </c>
      <c r="D25" s="756">
        <v>31.554000854492099</v>
      </c>
      <c r="E25" s="416">
        <v>31</v>
      </c>
      <c r="F25" s="417">
        <f>IF(E25=0,"",(D25-E25)/E25)</f>
        <v>1.7870995306196732E-2</v>
      </c>
      <c r="G25" s="137"/>
      <c r="H25" s="264"/>
      <c r="M25" s="624">
        <v>14</v>
      </c>
      <c r="N25" s="625">
        <v>223.19599909999999</v>
      </c>
      <c r="O25" s="625">
        <v>225.1629944</v>
      </c>
      <c r="P25" s="625">
        <v>216.294998168945</v>
      </c>
      <c r="Q25" s="626">
        <v>174.29499820000001</v>
      </c>
      <c r="AF25" s="265"/>
      <c r="AG25" s="265"/>
      <c r="AH25" s="265"/>
      <c r="AI25" s="265"/>
      <c r="AJ25" s="265"/>
      <c r="AK25" s="265"/>
      <c r="AL25" s="265"/>
    </row>
    <row r="26" spans="1:38" ht="11.25" customHeight="1">
      <c r="A26" s="77"/>
      <c r="C26" s="753" t="s">
        <v>140</v>
      </c>
      <c r="D26" s="754">
        <v>47.856999999999999</v>
      </c>
      <c r="E26" s="414">
        <v>58.627000000000002</v>
      </c>
      <c r="F26" s="415">
        <f>IF(E26=0,"",(D26-E26)/E26)</f>
        <v>-0.18370375424292565</v>
      </c>
      <c r="G26" s="137"/>
      <c r="H26" s="137"/>
      <c r="M26" s="624">
        <v>15</v>
      </c>
      <c r="N26" s="625">
        <v>225.0500031</v>
      </c>
      <c r="O26" s="625">
        <v>224.9100037</v>
      </c>
      <c r="P26" s="625">
        <v>220.08099369999999</v>
      </c>
      <c r="Q26" s="626">
        <v>177.919998168945</v>
      </c>
      <c r="AF26" s="265"/>
      <c r="AG26" s="265"/>
      <c r="AH26" s="265"/>
      <c r="AI26" s="265"/>
      <c r="AJ26" s="265"/>
      <c r="AK26" s="265"/>
      <c r="AL26" s="265"/>
    </row>
    <row r="27" spans="1:38" ht="11.25" customHeight="1">
      <c r="A27" s="77"/>
      <c r="C27" s="757" t="s">
        <v>141</v>
      </c>
      <c r="D27" s="758">
        <v>353.64300537109301</v>
      </c>
      <c r="E27" s="416">
        <v>354.46301269531199</v>
      </c>
      <c r="F27" s="417">
        <f t="shared" si="1"/>
        <v>-2.31337909697178E-3</v>
      </c>
      <c r="G27" s="137"/>
      <c r="H27" s="137"/>
      <c r="M27" s="624">
        <v>16</v>
      </c>
      <c r="N27" s="625">
        <v>224.84800720000001</v>
      </c>
      <c r="O27" s="625">
        <v>224.5</v>
      </c>
      <c r="P27" s="625">
        <v>221.83999633789</v>
      </c>
      <c r="Q27" s="626">
        <v>181.85699975859299</v>
      </c>
      <c r="AF27" s="265"/>
      <c r="AG27" s="265"/>
      <c r="AH27" s="265"/>
      <c r="AI27" s="265"/>
      <c r="AJ27" s="265"/>
      <c r="AK27" s="265"/>
      <c r="AL27" s="265"/>
    </row>
    <row r="28" spans="1:38" ht="26.25" customHeight="1">
      <c r="A28" s="77"/>
      <c r="C28" s="901" t="str">
        <f>"Cuadro N°9: Volumen útil de los principales embalses y lagunas del SEIN al término del periodo mensual ("&amp;'1. Resumen'!Q7&amp;" de "&amp;'1. Resumen'!Q4&amp;") "</f>
        <v xml:space="preserve">Cuadro N°9: Volumen útil de los principales embalses y lagunas del SEIN al término del periodo mensual (31 de julio) </v>
      </c>
      <c r="D28" s="901"/>
      <c r="E28" s="901"/>
      <c r="F28" s="901"/>
      <c r="G28" s="137"/>
      <c r="H28" s="137"/>
      <c r="M28" s="624">
        <v>17</v>
      </c>
      <c r="N28" s="625">
        <v>225.27900695800699</v>
      </c>
      <c r="O28" s="625">
        <v>225.58500670000001</v>
      </c>
      <c r="P28" s="625">
        <v>220.96049318788999</v>
      </c>
      <c r="Q28" s="626">
        <v>182.93699649999999</v>
      </c>
      <c r="AF28" s="265"/>
      <c r="AG28" s="265"/>
      <c r="AH28" s="265"/>
      <c r="AI28" s="265"/>
      <c r="AJ28" s="265"/>
      <c r="AK28" s="265"/>
      <c r="AL28" s="265"/>
    </row>
    <row r="29" spans="1:38" ht="12" customHeight="1">
      <c r="A29" s="75"/>
      <c r="G29" s="137"/>
      <c r="H29" s="137"/>
      <c r="I29" s="167"/>
      <c r="J29" s="694"/>
      <c r="M29" s="624">
        <v>18</v>
      </c>
      <c r="N29" s="625">
        <v>226.44200129999999</v>
      </c>
      <c r="O29" s="625">
        <v>225.2599945</v>
      </c>
      <c r="P29" s="625">
        <v>221.41</v>
      </c>
      <c r="Q29" s="626">
        <v>183.77600097656199</v>
      </c>
      <c r="AF29" s="265"/>
      <c r="AG29" s="265"/>
      <c r="AH29" s="265"/>
      <c r="AI29" s="265"/>
      <c r="AJ29" s="265"/>
      <c r="AK29" s="265"/>
      <c r="AL29" s="265"/>
    </row>
    <row r="30" spans="1:38" ht="11.25" customHeight="1">
      <c r="A30" s="75"/>
      <c r="B30" s="173"/>
      <c r="C30" s="173"/>
      <c r="D30" s="173"/>
      <c r="E30" s="173"/>
      <c r="F30" s="171"/>
      <c r="G30" s="137"/>
      <c r="H30" s="137"/>
      <c r="M30" s="624">
        <v>19</v>
      </c>
      <c r="N30" s="625">
        <v>227.14199830000001</v>
      </c>
      <c r="O30" s="625">
        <v>225.3280029</v>
      </c>
      <c r="P30" s="625">
        <v>222.52999877929599</v>
      </c>
      <c r="Q30" s="626">
        <v>184.95100400000001</v>
      </c>
      <c r="AF30" s="265"/>
      <c r="AG30" s="265"/>
      <c r="AH30" s="265"/>
      <c r="AI30" s="265"/>
      <c r="AJ30" s="265"/>
      <c r="AK30" s="265"/>
      <c r="AL30" s="265"/>
    </row>
    <row r="31" spans="1:38" ht="3.6" customHeight="1">
      <c r="A31" s="75"/>
      <c r="B31" s="173"/>
      <c r="C31" s="173"/>
      <c r="D31" s="173"/>
      <c r="E31" s="173"/>
      <c r="F31" s="171"/>
      <c r="G31" s="171"/>
      <c r="H31" s="171"/>
      <c r="I31" s="167"/>
      <c r="J31" s="694"/>
      <c r="M31" s="624">
        <v>20</v>
      </c>
      <c r="N31" s="625">
        <v>227.625</v>
      </c>
      <c r="O31" s="625">
        <v>225.2279968</v>
      </c>
      <c r="P31" s="625">
        <v>222.47799682617099</v>
      </c>
      <c r="Q31" s="626">
        <v>185.51499938964801</v>
      </c>
      <c r="AF31" s="265"/>
      <c r="AG31" s="265"/>
      <c r="AH31" s="265"/>
      <c r="AI31" s="265"/>
      <c r="AJ31" s="265"/>
      <c r="AK31" s="265"/>
      <c r="AL31" s="265"/>
    </row>
    <row r="32" spans="1:38" ht="13.5" customHeight="1">
      <c r="A32" s="900" t="s">
        <v>413</v>
      </c>
      <c r="B32" s="900"/>
      <c r="C32" s="900"/>
      <c r="D32" s="900"/>
      <c r="E32" s="900"/>
      <c r="F32" s="900"/>
      <c r="G32" s="900"/>
      <c r="H32" s="900"/>
      <c r="I32" s="56"/>
      <c r="J32" s="694"/>
      <c r="M32" s="624">
        <v>21</v>
      </c>
      <c r="N32" s="625">
        <v>227.75800000000001</v>
      </c>
      <c r="O32" s="625">
        <v>225.25399780000001</v>
      </c>
      <c r="P32" s="625">
        <v>221.33000183105401</v>
      </c>
      <c r="Q32" s="626">
        <v>186.48633320182299</v>
      </c>
      <c r="AF32" s="265"/>
      <c r="AG32" s="265"/>
      <c r="AH32" s="265"/>
      <c r="AI32" s="265"/>
      <c r="AJ32" s="265"/>
      <c r="AK32" s="265"/>
      <c r="AL32" s="265"/>
    </row>
    <row r="33" spans="1:38" ht="11.25" customHeight="1">
      <c r="A33" s="75"/>
      <c r="B33" s="82"/>
      <c r="C33" s="82"/>
      <c r="D33" s="82"/>
      <c r="E33" s="82"/>
      <c r="F33" s="82"/>
      <c r="G33" s="82"/>
      <c r="H33" s="82"/>
      <c r="I33" s="56"/>
      <c r="J33" s="694"/>
      <c r="M33" s="624">
        <v>22</v>
      </c>
      <c r="N33" s="625">
        <v>226.41700739999999</v>
      </c>
      <c r="O33" s="625">
        <v>223.9129944</v>
      </c>
      <c r="P33" s="625">
        <v>221.8000031</v>
      </c>
      <c r="Q33" s="626">
        <v>184.79299929999999</v>
      </c>
      <c r="AF33" s="265"/>
      <c r="AG33" s="265"/>
      <c r="AH33" s="265"/>
      <c r="AI33" s="265"/>
      <c r="AJ33" s="265"/>
      <c r="AK33" s="265"/>
      <c r="AL33" s="265"/>
    </row>
    <row r="34" spans="1:38" ht="11.25" customHeight="1">
      <c r="A34" s="75"/>
      <c r="B34" s="82"/>
      <c r="C34" s="82"/>
      <c r="D34" s="82"/>
      <c r="E34" s="82"/>
      <c r="F34" s="82"/>
      <c r="G34" s="82"/>
      <c r="H34" s="82"/>
      <c r="I34" s="56"/>
      <c r="J34" s="694"/>
      <c r="M34" s="624">
        <v>23</v>
      </c>
      <c r="N34" s="625">
        <v>224.4589996</v>
      </c>
      <c r="O34" s="625">
        <v>221.64599609999999</v>
      </c>
      <c r="P34" s="625">
        <v>218.83000183105401</v>
      </c>
      <c r="Q34" s="626">
        <v>182.11000061035099</v>
      </c>
      <c r="AF34" s="265"/>
      <c r="AG34" s="265"/>
      <c r="AH34" s="265"/>
      <c r="AI34" s="265"/>
      <c r="AJ34" s="265"/>
      <c r="AK34" s="265"/>
      <c r="AL34" s="265"/>
    </row>
    <row r="35" spans="1:38" ht="11.25" customHeight="1">
      <c r="A35" s="75"/>
      <c r="B35" s="82"/>
      <c r="C35" s="82"/>
      <c r="D35" s="82"/>
      <c r="E35" s="82"/>
      <c r="F35" s="82"/>
      <c r="G35" s="82"/>
      <c r="H35" s="82"/>
      <c r="I35" s="168"/>
      <c r="J35" s="694"/>
      <c r="M35" s="624">
        <v>24</v>
      </c>
      <c r="N35" s="625">
        <v>220.634994506835</v>
      </c>
      <c r="O35" s="625">
        <v>218.4100037</v>
      </c>
      <c r="P35" s="625">
        <v>217.02000430000001</v>
      </c>
      <c r="Q35" s="626">
        <v>180.75</v>
      </c>
      <c r="AF35" s="265"/>
      <c r="AG35" s="265"/>
      <c r="AH35" s="265"/>
      <c r="AI35" s="265"/>
      <c r="AJ35" s="265"/>
      <c r="AK35" s="265"/>
      <c r="AL35" s="265"/>
    </row>
    <row r="36" spans="1:38" ht="11.25" customHeight="1">
      <c r="A36" s="75"/>
      <c r="B36" s="82"/>
      <c r="C36" s="82"/>
      <c r="D36" s="82"/>
      <c r="E36" s="82"/>
      <c r="F36" s="82"/>
      <c r="G36" s="82"/>
      <c r="H36" s="82"/>
      <c r="I36" s="56"/>
      <c r="J36" s="694"/>
      <c r="M36" s="624">
        <v>25</v>
      </c>
      <c r="N36" s="625">
        <v>218.28599550000001</v>
      </c>
      <c r="O36" s="625">
        <v>215.33500670000001</v>
      </c>
      <c r="P36" s="625">
        <v>214.76800539999999</v>
      </c>
      <c r="Q36" s="626">
        <v>177.78900150000001</v>
      </c>
      <c r="AF36" s="265"/>
      <c r="AG36" s="265"/>
      <c r="AH36" s="265"/>
      <c r="AI36" s="265"/>
      <c r="AJ36" s="265"/>
      <c r="AK36" s="265"/>
      <c r="AL36" s="265"/>
    </row>
    <row r="37" spans="1:38" ht="11.25" customHeight="1">
      <c r="A37" s="75"/>
      <c r="B37" s="82"/>
      <c r="C37" s="82"/>
      <c r="D37" s="82"/>
      <c r="E37" s="82"/>
      <c r="F37" s="82"/>
      <c r="G37" s="82"/>
      <c r="H37" s="82"/>
      <c r="I37" s="56"/>
      <c r="J37" s="695"/>
      <c r="M37" s="624">
        <v>26</v>
      </c>
      <c r="N37" s="625">
        <v>214.90499879999999</v>
      </c>
      <c r="O37" s="625">
        <v>212.2720032</v>
      </c>
      <c r="P37" s="625">
        <v>212.9750061</v>
      </c>
      <c r="Q37" s="626">
        <v>172.08099369999999</v>
      </c>
      <c r="AF37" s="265"/>
      <c r="AG37" s="265"/>
      <c r="AH37" s="265"/>
      <c r="AI37" s="265"/>
      <c r="AJ37" s="265"/>
      <c r="AK37" s="265"/>
      <c r="AL37" s="265"/>
    </row>
    <row r="38" spans="1:38" ht="11.25" customHeight="1">
      <c r="A38" s="75"/>
      <c r="B38" s="82"/>
      <c r="C38" s="82"/>
      <c r="D38" s="82"/>
      <c r="E38" s="82"/>
      <c r="F38" s="82"/>
      <c r="G38" s="82"/>
      <c r="H38" s="82"/>
      <c r="I38" s="56"/>
      <c r="J38" s="695"/>
      <c r="M38" s="624">
        <v>27</v>
      </c>
      <c r="N38" s="625">
        <v>210.91799926757801</v>
      </c>
      <c r="O38" s="625">
        <v>209.19900509999999</v>
      </c>
      <c r="P38" s="625">
        <v>210.75</v>
      </c>
      <c r="Q38" s="626">
        <v>170.27600097656199</v>
      </c>
      <c r="AF38" s="265"/>
      <c r="AG38" s="265"/>
      <c r="AH38" s="265"/>
      <c r="AI38" s="265"/>
      <c r="AJ38" s="265"/>
      <c r="AK38" s="265"/>
      <c r="AL38" s="265"/>
    </row>
    <row r="39" spans="1:38" ht="11.25" customHeight="1">
      <c r="A39" s="75"/>
      <c r="B39" s="82"/>
      <c r="C39" s="82"/>
      <c r="D39" s="82"/>
      <c r="E39" s="82"/>
      <c r="F39" s="82"/>
      <c r="G39" s="82"/>
      <c r="H39" s="82"/>
      <c r="I39" s="56"/>
      <c r="J39" s="696"/>
      <c r="M39" s="624">
        <v>28</v>
      </c>
      <c r="N39" s="625">
        <v>207.96099849999999</v>
      </c>
      <c r="O39" s="627">
        <v>207.8560028</v>
      </c>
      <c r="P39" s="627">
        <v>207.5500031</v>
      </c>
      <c r="Q39" s="626">
        <v>166.8529968</v>
      </c>
      <c r="AF39" s="265"/>
      <c r="AG39" s="265"/>
      <c r="AH39" s="265"/>
      <c r="AI39" s="265"/>
      <c r="AJ39" s="265"/>
      <c r="AK39" s="265"/>
      <c r="AL39" s="265"/>
    </row>
    <row r="40" spans="1:38" ht="11.25" customHeight="1">
      <c r="A40" s="75"/>
      <c r="B40" s="82"/>
      <c r="C40" s="82"/>
      <c r="D40" s="82"/>
      <c r="E40" s="82"/>
      <c r="F40" s="82"/>
      <c r="G40" s="82"/>
      <c r="H40" s="82"/>
      <c r="I40" s="56"/>
      <c r="J40" s="696"/>
      <c r="M40" s="624">
        <v>29</v>
      </c>
      <c r="N40" s="625">
        <v>205.66700739999999</v>
      </c>
      <c r="O40" s="625">
        <v>200.68699649999999</v>
      </c>
      <c r="P40" s="625">
        <v>204.99000549316401</v>
      </c>
      <c r="Q40" s="626">
        <v>165.3619995</v>
      </c>
      <c r="AF40" s="265"/>
      <c r="AG40" s="265"/>
      <c r="AH40" s="265"/>
      <c r="AI40" s="265"/>
      <c r="AJ40" s="265"/>
      <c r="AK40" s="265"/>
      <c r="AL40" s="265"/>
    </row>
    <row r="41" spans="1:38" ht="11.25" customHeight="1">
      <c r="A41" s="75"/>
      <c r="B41" s="82"/>
      <c r="C41" s="82"/>
      <c r="D41" s="82"/>
      <c r="E41" s="82"/>
      <c r="F41" s="82"/>
      <c r="G41" s="82"/>
      <c r="H41" s="82"/>
      <c r="I41" s="56"/>
      <c r="J41" s="696"/>
      <c r="M41" s="624">
        <v>30</v>
      </c>
      <c r="N41" s="625">
        <v>197.3999939</v>
      </c>
      <c r="O41" s="625">
        <v>197.3999939</v>
      </c>
      <c r="P41" s="625">
        <v>195.11000060000001</v>
      </c>
      <c r="Q41" s="626">
        <v>163.072998046875</v>
      </c>
      <c r="AF41" s="265"/>
      <c r="AG41" s="265"/>
      <c r="AH41" s="265"/>
      <c r="AI41" s="265"/>
      <c r="AJ41" s="265"/>
      <c r="AK41" s="265"/>
      <c r="AL41" s="265"/>
    </row>
    <row r="42" spans="1:38" ht="11.25" customHeight="1">
      <c r="A42" s="75"/>
      <c r="B42" s="82"/>
      <c r="C42" s="82"/>
      <c r="D42" s="82"/>
      <c r="E42" s="82"/>
      <c r="F42" s="82"/>
      <c r="G42" s="82"/>
      <c r="H42" s="82"/>
      <c r="I42" s="168"/>
      <c r="J42" s="695"/>
      <c r="M42" s="624">
        <v>31</v>
      </c>
      <c r="N42" s="625">
        <v>194.98199460000001</v>
      </c>
      <c r="O42" s="625">
        <v>193.71000670000001</v>
      </c>
      <c r="P42" s="625">
        <v>191.32699584960901</v>
      </c>
      <c r="Q42" s="626">
        <v>157.4400024</v>
      </c>
      <c r="AF42" s="265"/>
      <c r="AG42" s="265"/>
      <c r="AH42" s="265"/>
      <c r="AI42" s="265"/>
      <c r="AJ42" s="265"/>
      <c r="AK42" s="265"/>
      <c r="AL42" s="265"/>
    </row>
    <row r="43" spans="1:38" ht="11.25" customHeight="1">
      <c r="A43" s="75"/>
      <c r="B43" s="82"/>
      <c r="C43" s="82"/>
      <c r="D43" s="82"/>
      <c r="E43" s="82"/>
      <c r="F43" s="82"/>
      <c r="G43" s="82"/>
      <c r="H43" s="82"/>
      <c r="I43" s="56"/>
      <c r="J43" s="695"/>
      <c r="M43" s="624">
        <v>32</v>
      </c>
      <c r="N43" s="625">
        <v>190.13999938964801</v>
      </c>
      <c r="O43" s="625">
        <v>187.46000670000001</v>
      </c>
      <c r="P43" s="625">
        <v>187.98199462890599</v>
      </c>
      <c r="Q43" s="626"/>
      <c r="AF43" s="265"/>
      <c r="AG43" s="265"/>
      <c r="AH43" s="265"/>
      <c r="AI43" s="265"/>
      <c r="AJ43" s="265"/>
      <c r="AK43" s="265"/>
      <c r="AL43" s="265"/>
    </row>
    <row r="44" spans="1:38" ht="9.6" customHeight="1">
      <c r="A44" s="75"/>
      <c r="B44" s="82"/>
      <c r="C44" s="82"/>
      <c r="D44" s="82"/>
      <c r="E44" s="82"/>
      <c r="F44" s="82"/>
      <c r="G44" s="82"/>
      <c r="H44" s="82"/>
      <c r="I44" s="56"/>
      <c r="J44" s="695"/>
      <c r="M44" s="624">
        <v>33</v>
      </c>
      <c r="N44" s="625">
        <v>186.17300420000001</v>
      </c>
      <c r="O44" s="625">
        <v>186.17300420000001</v>
      </c>
      <c r="P44" s="625">
        <v>184.75399780000001</v>
      </c>
      <c r="Q44" s="626"/>
      <c r="AF44" s="265"/>
      <c r="AG44" s="265"/>
      <c r="AH44" s="265"/>
      <c r="AI44" s="265"/>
      <c r="AJ44" s="265"/>
      <c r="AK44" s="265"/>
      <c r="AL44" s="265"/>
    </row>
    <row r="45" spans="1:38" ht="11.25" customHeight="1">
      <c r="A45" s="75"/>
      <c r="B45" s="82"/>
      <c r="C45" s="82"/>
      <c r="D45" s="82"/>
      <c r="E45" s="82"/>
      <c r="F45" s="82"/>
      <c r="G45" s="82"/>
      <c r="H45" s="82"/>
      <c r="I45" s="59"/>
      <c r="J45" s="697"/>
      <c r="M45" s="624">
        <v>34</v>
      </c>
      <c r="N45" s="625">
        <v>183.14799500000001</v>
      </c>
      <c r="O45" s="625">
        <v>181.1710052</v>
      </c>
      <c r="P45" s="625">
        <v>181.1710052</v>
      </c>
      <c r="Q45" s="626"/>
      <c r="AF45" s="265"/>
      <c r="AG45" s="265"/>
      <c r="AH45" s="265"/>
      <c r="AI45" s="265"/>
      <c r="AJ45" s="265"/>
      <c r="AK45" s="265"/>
      <c r="AL45" s="265"/>
    </row>
    <row r="46" spans="1:38" ht="11.25" customHeight="1">
      <c r="A46" s="75"/>
      <c r="B46" s="82"/>
      <c r="C46" s="82"/>
      <c r="D46" s="82"/>
      <c r="E46" s="82"/>
      <c r="F46" s="82"/>
      <c r="G46" s="82"/>
      <c r="H46" s="82"/>
      <c r="I46" s="59"/>
      <c r="J46" s="697"/>
      <c r="M46" s="624">
        <v>35</v>
      </c>
      <c r="N46" s="628">
        <v>175.24000549316401</v>
      </c>
      <c r="O46" s="625">
        <v>176.38999939999999</v>
      </c>
      <c r="P46" s="625">
        <v>173.61999511718699</v>
      </c>
      <c r="Q46" s="626"/>
      <c r="AF46" s="265"/>
      <c r="AG46" s="265"/>
      <c r="AH46" s="265"/>
      <c r="AI46" s="265"/>
      <c r="AJ46" s="265"/>
      <c r="AK46" s="265"/>
      <c r="AL46" s="265"/>
    </row>
    <row r="47" spans="1:38" ht="11.25" customHeight="1">
      <c r="A47" s="75"/>
      <c r="B47" s="82"/>
      <c r="C47" s="82"/>
      <c r="D47" s="82"/>
      <c r="E47" s="82"/>
      <c r="F47" s="82"/>
      <c r="G47" s="82"/>
      <c r="H47" s="82"/>
      <c r="I47" s="59"/>
      <c r="J47" s="697"/>
      <c r="M47" s="624">
        <v>36</v>
      </c>
      <c r="N47" s="628">
        <v>171.61000061035099</v>
      </c>
      <c r="O47" s="625">
        <v>173.66999820000001</v>
      </c>
      <c r="P47" s="625">
        <v>168.88000489999999</v>
      </c>
      <c r="AF47" s="265"/>
      <c r="AG47" s="265"/>
      <c r="AH47" s="265"/>
      <c r="AI47" s="265"/>
      <c r="AJ47" s="265"/>
      <c r="AK47" s="265"/>
      <c r="AL47" s="265"/>
    </row>
    <row r="48" spans="1:38" ht="11.25" customHeight="1">
      <c r="A48" s="75"/>
      <c r="B48" s="82"/>
      <c r="C48" s="82"/>
      <c r="D48" s="82"/>
      <c r="E48" s="82"/>
      <c r="F48" s="82"/>
      <c r="G48" s="82"/>
      <c r="H48" s="82"/>
      <c r="I48" s="59"/>
      <c r="J48" s="697"/>
      <c r="M48" s="624">
        <v>37</v>
      </c>
      <c r="N48" s="625">
        <v>167.78999328613199</v>
      </c>
      <c r="O48" s="625">
        <v>170.7400055</v>
      </c>
      <c r="P48" s="625">
        <v>163.31300355859301</v>
      </c>
      <c r="AF48" s="265"/>
      <c r="AG48" s="265"/>
      <c r="AH48" s="265"/>
      <c r="AI48" s="265"/>
      <c r="AJ48" s="265"/>
      <c r="AK48" s="265"/>
      <c r="AL48" s="265"/>
    </row>
    <row r="49" spans="1:38" ht="11.25" customHeight="1">
      <c r="A49" s="75"/>
      <c r="B49" s="82"/>
      <c r="C49" s="82"/>
      <c r="D49" s="82"/>
      <c r="E49" s="82"/>
      <c r="F49" s="82"/>
      <c r="G49" s="82"/>
      <c r="H49" s="82"/>
      <c r="I49" s="59"/>
      <c r="J49" s="697"/>
      <c r="M49" s="624">
        <v>38</v>
      </c>
      <c r="N49" s="625">
        <v>170.03999328613199</v>
      </c>
      <c r="O49" s="625">
        <v>167.64599609999999</v>
      </c>
      <c r="P49" s="625">
        <v>160.03999328613199</v>
      </c>
      <c r="AF49" s="265"/>
      <c r="AG49" s="265"/>
      <c r="AH49" s="265"/>
      <c r="AI49" s="265"/>
      <c r="AJ49" s="265"/>
      <c r="AK49" s="265"/>
      <c r="AL49" s="265"/>
    </row>
    <row r="50" spans="1:38" ht="13.2">
      <c r="A50" s="75"/>
      <c r="B50" s="82"/>
      <c r="C50" s="82"/>
      <c r="D50" s="82"/>
      <c r="E50" s="82"/>
      <c r="F50" s="82"/>
      <c r="G50" s="82"/>
      <c r="H50" s="82"/>
      <c r="I50" s="59"/>
      <c r="J50" s="697"/>
      <c r="M50" s="624">
        <v>39</v>
      </c>
      <c r="N50" s="625">
        <v>159.69</v>
      </c>
      <c r="O50" s="625">
        <v>157.6900024</v>
      </c>
      <c r="P50" s="625">
        <v>154.0410004</v>
      </c>
      <c r="AF50" s="265"/>
      <c r="AG50" s="265"/>
      <c r="AH50" s="265"/>
      <c r="AI50" s="265"/>
      <c r="AJ50" s="265"/>
      <c r="AK50" s="265"/>
      <c r="AL50" s="265"/>
    </row>
    <row r="51" spans="1:38" ht="10.5" customHeight="1">
      <c r="A51" s="75"/>
      <c r="B51" s="82"/>
      <c r="C51" s="82"/>
      <c r="D51" s="82"/>
      <c r="E51" s="82"/>
      <c r="F51" s="82"/>
      <c r="G51" s="82"/>
      <c r="H51" s="82"/>
      <c r="I51" s="59"/>
      <c r="J51" s="697"/>
      <c r="M51" s="624">
        <v>40</v>
      </c>
      <c r="N51" s="625">
        <v>150.2969971</v>
      </c>
      <c r="O51" s="625">
        <v>154.1900024</v>
      </c>
      <c r="P51" s="625">
        <v>137.69400024414</v>
      </c>
      <c r="AF51" s="265"/>
      <c r="AG51" s="265"/>
      <c r="AH51" s="265"/>
      <c r="AI51" s="265"/>
      <c r="AJ51" s="265"/>
      <c r="AK51" s="265"/>
      <c r="AL51" s="265"/>
    </row>
    <row r="52" spans="1:38" ht="13.2">
      <c r="A52" s="75"/>
      <c r="B52" s="82"/>
      <c r="C52" s="82"/>
      <c r="D52" s="82"/>
      <c r="E52" s="82"/>
      <c r="F52" s="82"/>
      <c r="G52" s="82"/>
      <c r="H52" s="82"/>
      <c r="I52" s="59"/>
      <c r="J52" s="697"/>
      <c r="M52" s="624">
        <v>41</v>
      </c>
      <c r="N52" s="625">
        <v>146.7689972</v>
      </c>
      <c r="O52" s="625">
        <v>148.9620056</v>
      </c>
      <c r="P52" s="625">
        <v>133.05799866484401</v>
      </c>
      <c r="AF52" s="265"/>
      <c r="AG52" s="265"/>
      <c r="AH52" s="265"/>
      <c r="AI52" s="265"/>
      <c r="AJ52" s="265"/>
      <c r="AK52" s="265"/>
      <c r="AL52" s="265"/>
    </row>
    <row r="53" spans="1:38" ht="13.2">
      <c r="A53" s="75"/>
      <c r="B53" s="82"/>
      <c r="C53" s="82"/>
      <c r="D53" s="82"/>
      <c r="E53" s="82"/>
      <c r="F53" s="82"/>
      <c r="G53" s="82"/>
      <c r="H53" s="82"/>
      <c r="I53" s="59"/>
      <c r="J53" s="697"/>
      <c r="M53" s="624">
        <v>42</v>
      </c>
      <c r="N53" s="625">
        <v>142.69900512695301</v>
      </c>
      <c r="O53" s="625">
        <v>144.58599849999999</v>
      </c>
      <c r="P53" s="625">
        <v>135.26800539999999</v>
      </c>
      <c r="AF53" s="265"/>
      <c r="AG53" s="265"/>
      <c r="AH53" s="265"/>
      <c r="AI53" s="265"/>
      <c r="AJ53" s="265"/>
      <c r="AK53" s="265"/>
      <c r="AL53" s="265"/>
    </row>
    <row r="54" spans="1:38" ht="13.2">
      <c r="A54" s="75"/>
      <c r="B54" s="82"/>
      <c r="C54" s="82"/>
      <c r="D54" s="82"/>
      <c r="E54" s="82"/>
      <c r="F54" s="82"/>
      <c r="G54" s="82"/>
      <c r="H54" s="82"/>
      <c r="I54" s="59"/>
      <c r="J54" s="697"/>
      <c r="M54" s="624">
        <v>43</v>
      </c>
      <c r="N54" s="625">
        <v>135.75</v>
      </c>
      <c r="O54" s="625">
        <v>140.38000489999999</v>
      </c>
      <c r="P54" s="625">
        <v>131.78599548339801</v>
      </c>
      <c r="AF54" s="265"/>
      <c r="AG54" s="265"/>
      <c r="AH54" s="265"/>
      <c r="AI54" s="265"/>
      <c r="AJ54" s="265"/>
      <c r="AK54" s="265"/>
      <c r="AL54" s="265"/>
    </row>
    <row r="55" spans="1:38" ht="13.2">
      <c r="A55" s="75"/>
      <c r="B55" s="82"/>
      <c r="C55" s="82"/>
      <c r="D55" s="82"/>
      <c r="E55" s="82"/>
      <c r="F55" s="82"/>
      <c r="G55" s="82"/>
      <c r="H55" s="82"/>
      <c r="I55" s="59"/>
      <c r="J55" s="697"/>
      <c r="M55" s="624">
        <v>44</v>
      </c>
      <c r="N55" s="625">
        <v>130.27000430000001</v>
      </c>
      <c r="O55" s="625">
        <v>133.1060028</v>
      </c>
      <c r="P55" s="625">
        <v>122.9000015</v>
      </c>
      <c r="AF55" s="265"/>
      <c r="AG55" s="265"/>
      <c r="AH55" s="265"/>
      <c r="AI55" s="265"/>
      <c r="AJ55" s="265"/>
      <c r="AK55" s="265"/>
      <c r="AL55" s="265"/>
    </row>
    <row r="56" spans="1:38" ht="13.2">
      <c r="A56" s="75"/>
      <c r="B56" s="82"/>
      <c r="C56" s="82"/>
      <c r="D56" s="82"/>
      <c r="E56" s="82"/>
      <c r="F56" s="82"/>
      <c r="G56" s="82"/>
      <c r="H56" s="82"/>
      <c r="I56" s="59"/>
      <c r="J56" s="697"/>
      <c r="M56" s="624">
        <v>45</v>
      </c>
      <c r="N56" s="625">
        <v>124.5780029</v>
      </c>
      <c r="O56" s="625">
        <v>128.5500031</v>
      </c>
      <c r="P56" s="625">
        <v>115.61799621582</v>
      </c>
      <c r="AF56" s="265"/>
      <c r="AG56" s="265"/>
      <c r="AH56" s="265"/>
      <c r="AI56" s="265"/>
      <c r="AJ56" s="265"/>
      <c r="AK56" s="265"/>
      <c r="AL56" s="265"/>
    </row>
    <row r="57" spans="1:38" ht="13.2">
      <c r="A57" s="75"/>
      <c r="B57" s="82"/>
      <c r="C57" s="82"/>
      <c r="D57" s="82"/>
      <c r="E57" s="82"/>
      <c r="F57" s="82"/>
      <c r="G57" s="82"/>
      <c r="H57" s="82"/>
      <c r="M57" s="624">
        <v>46</v>
      </c>
      <c r="N57" s="625">
        <v>120.7269974</v>
      </c>
      <c r="O57" s="625">
        <v>123.4499969</v>
      </c>
      <c r="P57" s="625">
        <v>109.3000031</v>
      </c>
      <c r="AF57" s="265"/>
      <c r="AG57" s="265"/>
      <c r="AH57" s="265"/>
      <c r="AI57" s="265"/>
      <c r="AJ57" s="265"/>
      <c r="AK57" s="265"/>
      <c r="AL57" s="265"/>
    </row>
    <row r="58" spans="1:38" ht="13.2">
      <c r="A58" s="75"/>
      <c r="B58" s="82"/>
      <c r="C58" s="82"/>
      <c r="D58" s="82"/>
      <c r="E58" s="82"/>
      <c r="F58" s="82"/>
      <c r="G58" s="82"/>
      <c r="H58" s="82"/>
      <c r="M58" s="624">
        <v>47</v>
      </c>
      <c r="N58" s="625">
        <v>113.7900009</v>
      </c>
      <c r="O58" s="625">
        <v>121.12899779999999</v>
      </c>
      <c r="P58" s="625">
        <v>102.5579987</v>
      </c>
      <c r="AF58" s="265"/>
      <c r="AG58" s="265"/>
      <c r="AH58" s="265"/>
      <c r="AI58" s="265"/>
      <c r="AJ58" s="265"/>
      <c r="AK58" s="265"/>
      <c r="AL58" s="265"/>
    </row>
    <row r="59" spans="1:38" ht="13.2">
      <c r="A59" s="262" t="s">
        <v>546</v>
      </c>
      <c r="B59" s="82"/>
      <c r="D59" s="82"/>
      <c r="E59" s="82"/>
      <c r="F59" s="82"/>
      <c r="G59" s="82"/>
      <c r="H59" s="82"/>
      <c r="M59" s="624">
        <v>48</v>
      </c>
      <c r="N59" s="625">
        <v>104.1470032</v>
      </c>
      <c r="O59" s="625">
        <v>122.5419998</v>
      </c>
      <c r="P59" s="625">
        <v>93.499000549316406</v>
      </c>
      <c r="AF59" s="265"/>
      <c r="AG59" s="265"/>
      <c r="AH59" s="265"/>
      <c r="AI59" s="265"/>
      <c r="AJ59" s="265"/>
      <c r="AK59" s="265"/>
      <c r="AL59" s="265"/>
    </row>
    <row r="60" spans="1:38" ht="13.2">
      <c r="A60" s="54"/>
      <c r="B60" s="82"/>
      <c r="C60" s="82"/>
      <c r="D60" s="82"/>
      <c r="E60" s="82"/>
      <c r="F60" s="82"/>
      <c r="G60" s="82"/>
      <c r="H60" s="82"/>
      <c r="M60" s="624">
        <v>49</v>
      </c>
      <c r="N60" s="625">
        <v>104.8560028</v>
      </c>
      <c r="O60" s="625">
        <v>129.1600037</v>
      </c>
      <c r="P60" s="625">
        <v>86.319999690000003</v>
      </c>
      <c r="AF60" s="265"/>
      <c r="AG60" s="265"/>
      <c r="AH60" s="265"/>
      <c r="AI60" s="265"/>
      <c r="AJ60" s="265"/>
      <c r="AK60" s="265"/>
      <c r="AL60" s="265"/>
    </row>
    <row r="61" spans="1:38" ht="10.8">
      <c r="M61" s="624">
        <v>50</v>
      </c>
      <c r="N61" s="625">
        <v>105.70500180000001</v>
      </c>
      <c r="O61" s="625">
        <v>131.85099790000001</v>
      </c>
      <c r="P61" s="625">
        <v>82.027000430000001</v>
      </c>
      <c r="AD61" s="297"/>
      <c r="AE61" s="297"/>
      <c r="AF61" s="215"/>
      <c r="AG61" s="215"/>
      <c r="AH61" s="215"/>
      <c r="AI61" s="215"/>
      <c r="AJ61" s="215"/>
      <c r="AK61" s="215"/>
      <c r="AL61" s="215"/>
    </row>
    <row r="62" spans="1:38" ht="10.8">
      <c r="M62" s="624">
        <v>51</v>
      </c>
      <c r="N62" s="625">
        <v>110.41200259999999</v>
      </c>
      <c r="O62" s="625">
        <v>128.24499510000001</v>
      </c>
      <c r="P62" s="625">
        <v>79.66999817</v>
      </c>
      <c r="AD62" s="297"/>
      <c r="AE62" s="297"/>
      <c r="AF62" s="215"/>
      <c r="AG62" s="215"/>
      <c r="AH62" s="215"/>
      <c r="AI62" s="215"/>
      <c r="AJ62" s="215"/>
      <c r="AK62" s="215"/>
      <c r="AL62" s="215"/>
    </row>
    <row r="63" spans="1:38" ht="10.8">
      <c r="M63" s="624">
        <v>52</v>
      </c>
      <c r="N63" s="625">
        <v>119.1200027</v>
      </c>
      <c r="O63" s="625">
        <v>127.295997619628</v>
      </c>
      <c r="P63" s="625">
        <v>77.312995909999998</v>
      </c>
      <c r="AD63" s="297"/>
      <c r="AE63" s="297"/>
      <c r="AF63" s="215"/>
      <c r="AG63" s="215"/>
      <c r="AH63" s="215"/>
      <c r="AI63" s="215"/>
      <c r="AJ63" s="215"/>
      <c r="AK63" s="215"/>
      <c r="AL63" s="215"/>
    </row>
    <row r="64" spans="1:38" ht="10.8">
      <c r="M64" s="624">
        <v>53</v>
      </c>
      <c r="N64" s="625">
        <v>146.8090057</v>
      </c>
      <c r="O64" s="625"/>
      <c r="P64" s="733"/>
      <c r="AD64" s="297"/>
      <c r="AE64" s="297"/>
      <c r="AF64" s="215"/>
      <c r="AG64" s="215"/>
      <c r="AH64" s="215"/>
      <c r="AI64" s="215"/>
      <c r="AJ64" s="215"/>
      <c r="AK64" s="215"/>
      <c r="AL64" s="215"/>
    </row>
    <row r="65" spans="13:38">
      <c r="M65" s="277"/>
      <c r="N65" s="277"/>
      <c r="O65" s="277"/>
      <c r="P65" s="277"/>
      <c r="Q65" s="277"/>
      <c r="R65" s="277"/>
      <c r="S65"/>
      <c r="T65"/>
      <c r="AD65" s="297"/>
      <c r="AE65" s="297"/>
      <c r="AF65" s="215"/>
      <c r="AG65" s="215"/>
      <c r="AH65" s="215"/>
      <c r="AI65" s="215"/>
      <c r="AJ65" s="215"/>
      <c r="AK65" s="215"/>
      <c r="AL65" s="215"/>
    </row>
  </sheetData>
  <mergeCells count="4">
    <mergeCell ref="A2:H2"/>
    <mergeCell ref="A4:H4"/>
    <mergeCell ref="C28:F28"/>
    <mergeCell ref="A32:H3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workbookViewId="0">
      <selection activeCell="L29" sqref="L29"/>
    </sheetView>
  </sheetViews>
  <sheetFormatPr baseColWidth="10" defaultColWidth="9.28515625" defaultRowHeight="10.199999999999999"/>
  <cols>
    <col min="10" max="11" width="9.28515625" customWidth="1"/>
    <col min="12" max="12" width="20.140625" customWidth="1"/>
    <col min="13" max="13" width="9.28515625" style="662"/>
    <col min="14" max="24" width="9.28515625" style="277"/>
    <col min="25" max="31" width="9.28515625" style="662"/>
  </cols>
  <sheetData>
    <row r="1" spans="1:23" ht="11.25" customHeight="1"/>
    <row r="2" spans="1:23" ht="11.25" customHeight="1">
      <c r="A2" s="288"/>
      <c r="B2" s="294"/>
      <c r="C2" s="294"/>
      <c r="D2" s="294"/>
      <c r="E2" s="294"/>
      <c r="F2" s="294"/>
      <c r="G2" s="295"/>
      <c r="H2" s="29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22" t="s">
        <v>253</v>
      </c>
      <c r="T4" s="699" t="s">
        <v>254</v>
      </c>
    </row>
    <row r="5" spans="1:23" ht="11.25" customHeight="1">
      <c r="A5" s="902"/>
      <c r="B5" s="902"/>
      <c r="C5" s="902"/>
      <c r="D5" s="902"/>
      <c r="E5" s="902"/>
      <c r="F5" s="902"/>
      <c r="G5" s="902"/>
      <c r="H5" s="902"/>
      <c r="I5" s="902"/>
      <c r="J5" s="12"/>
      <c r="K5" s="12"/>
      <c r="L5" s="8"/>
      <c r="O5" s="623">
        <v>2020</v>
      </c>
      <c r="P5" s="623">
        <v>2021</v>
      </c>
      <c r="Q5" s="623">
        <v>2022</v>
      </c>
      <c r="R5" s="623">
        <v>2023</v>
      </c>
      <c r="T5" s="623">
        <v>2020</v>
      </c>
      <c r="U5" s="623">
        <v>2021</v>
      </c>
      <c r="V5" s="623">
        <v>2022</v>
      </c>
      <c r="W5" s="623">
        <v>2023</v>
      </c>
    </row>
    <row r="6" spans="1:23" ht="11.25" customHeight="1">
      <c r="A6" s="17"/>
      <c r="B6" s="159"/>
      <c r="C6" s="68"/>
      <c r="D6" s="69"/>
      <c r="E6" s="69"/>
      <c r="F6" s="70"/>
      <c r="G6" s="66"/>
      <c r="H6" s="66"/>
      <c r="I6" s="71"/>
      <c r="J6" s="12"/>
      <c r="K6" s="12"/>
      <c r="L6" s="5"/>
      <c r="N6" s="624">
        <v>1</v>
      </c>
      <c r="O6" s="625">
        <v>133.42999267578099</v>
      </c>
      <c r="P6" s="625">
        <v>78.003997799999993</v>
      </c>
      <c r="Q6" s="700">
        <v>35.493000029999997</v>
      </c>
      <c r="R6" s="701">
        <v>33.673000340000002</v>
      </c>
      <c r="S6" s="624">
        <v>1</v>
      </c>
      <c r="T6" s="625">
        <v>186.65300035476668</v>
      </c>
      <c r="U6" s="625">
        <v>222.16899967999998</v>
      </c>
      <c r="V6" s="700">
        <v>204.009998798</v>
      </c>
      <c r="W6" s="701">
        <v>151.66299939000001</v>
      </c>
    </row>
    <row r="7" spans="1:23" ht="11.25" customHeight="1">
      <c r="A7" s="17"/>
      <c r="B7" s="903"/>
      <c r="C7" s="903"/>
      <c r="D7" s="160"/>
      <c r="E7" s="160"/>
      <c r="F7" s="70"/>
      <c r="G7" s="66"/>
      <c r="H7" s="66"/>
      <c r="I7" s="71"/>
      <c r="J7" s="3"/>
      <c r="K7" s="3"/>
      <c r="L7" s="15"/>
      <c r="N7" s="624">
        <v>2</v>
      </c>
      <c r="O7" s="625">
        <v>141.27299500000001</v>
      </c>
      <c r="P7" s="625">
        <v>98.037002560000005</v>
      </c>
      <c r="Q7" s="700">
        <v>56.155998230000002</v>
      </c>
      <c r="R7" s="701">
        <v>30.78100014</v>
      </c>
      <c r="S7" s="624">
        <v>2</v>
      </c>
      <c r="T7" s="625">
        <v>194.494995117</v>
      </c>
      <c r="U7" s="625">
        <v>243.88599584999997</v>
      </c>
      <c r="V7" s="700">
        <v>226.30700303700002</v>
      </c>
      <c r="W7" s="701">
        <v>148.510999441</v>
      </c>
    </row>
    <row r="8" spans="1:23" ht="11.25" customHeight="1">
      <c r="A8" s="17"/>
      <c r="B8" s="161"/>
      <c r="C8" s="39"/>
      <c r="D8" s="162"/>
      <c r="E8" s="162"/>
      <c r="F8" s="70"/>
      <c r="G8" s="66"/>
      <c r="H8" s="66"/>
      <c r="I8" s="71"/>
      <c r="J8" s="4"/>
      <c r="K8" s="4"/>
      <c r="L8" s="12"/>
      <c r="N8" s="624">
        <v>3</v>
      </c>
      <c r="O8" s="625">
        <v>151.56199649999999</v>
      </c>
      <c r="P8" s="625">
        <v>137.10699460000001</v>
      </c>
      <c r="Q8" s="700">
        <v>68.723999019999994</v>
      </c>
      <c r="R8" s="701">
        <v>34.400001525878899</v>
      </c>
      <c r="S8" s="624">
        <v>3</v>
      </c>
      <c r="T8" s="625">
        <v>212.15300178999999</v>
      </c>
      <c r="U8" s="625">
        <v>260.96799851000003</v>
      </c>
      <c r="V8" s="700">
        <v>246.70599747499998</v>
      </c>
      <c r="W8" s="701">
        <v>143.81200027465798</v>
      </c>
    </row>
    <row r="9" spans="1:23" ht="11.25" customHeight="1">
      <c r="A9" s="17"/>
      <c r="B9" s="161"/>
      <c r="C9" s="39"/>
      <c r="D9" s="162"/>
      <c r="E9" s="162"/>
      <c r="F9" s="70"/>
      <c r="G9" s="66"/>
      <c r="H9" s="66"/>
      <c r="I9" s="71"/>
      <c r="J9" s="3"/>
      <c r="K9" s="6"/>
      <c r="L9" s="15"/>
      <c r="N9" s="624">
        <v>4</v>
      </c>
      <c r="O9" s="625">
        <v>167.9100037</v>
      </c>
      <c r="P9" s="625">
        <v>187.18600459999999</v>
      </c>
      <c r="Q9" s="700">
        <v>95.908996579999993</v>
      </c>
      <c r="R9" s="701">
        <v>34.0359993</v>
      </c>
      <c r="S9" s="624">
        <v>4</v>
      </c>
      <c r="T9" s="625">
        <v>213.71899984999999</v>
      </c>
      <c r="U9" s="625">
        <v>282.90399740999999</v>
      </c>
      <c r="V9" s="700">
        <v>284.02000140000001</v>
      </c>
      <c r="W9" s="701">
        <v>140.23999690700001</v>
      </c>
    </row>
    <row r="10" spans="1:23" ht="11.25" customHeight="1">
      <c r="A10" s="17"/>
      <c r="B10" s="161"/>
      <c r="C10" s="39"/>
      <c r="D10" s="162"/>
      <c r="E10" s="162"/>
      <c r="F10" s="70"/>
      <c r="G10" s="66"/>
      <c r="H10" s="66"/>
      <c r="I10" s="71"/>
      <c r="J10" s="3"/>
      <c r="K10" s="3"/>
      <c r="L10" s="15"/>
      <c r="N10" s="624">
        <v>5</v>
      </c>
      <c r="O10" s="625">
        <v>209.06850435244098</v>
      </c>
      <c r="P10" s="625">
        <v>240.25399780000001</v>
      </c>
      <c r="Q10" s="700">
        <v>122.54900360000001</v>
      </c>
      <c r="R10" s="701">
        <v>41.573</v>
      </c>
      <c r="S10" s="624">
        <v>5</v>
      </c>
      <c r="T10" s="625">
        <v>219.56099320000001</v>
      </c>
      <c r="U10" s="625">
        <v>283.46798616000001</v>
      </c>
      <c r="V10" s="700">
        <v>316.55300431000006</v>
      </c>
      <c r="W10" s="701">
        <v>149.94700005392335</v>
      </c>
    </row>
    <row r="11" spans="1:23" ht="11.25" customHeight="1">
      <c r="A11" s="17"/>
      <c r="B11" s="162"/>
      <c r="C11" s="39"/>
      <c r="D11" s="162"/>
      <c r="E11" s="162"/>
      <c r="F11" s="70"/>
      <c r="G11" s="66"/>
      <c r="H11" s="66"/>
      <c r="I11" s="71"/>
      <c r="J11" s="3"/>
      <c r="K11" s="3"/>
      <c r="L11" s="15"/>
      <c r="N11" s="624">
        <v>6</v>
      </c>
      <c r="O11" s="625">
        <v>250.22700500488199</v>
      </c>
      <c r="P11" s="625">
        <v>285.57900999999998</v>
      </c>
      <c r="Q11" s="700">
        <v>164.02999879999999</v>
      </c>
      <c r="R11" s="701">
        <v>58.094001770019503</v>
      </c>
      <c r="S11" s="624">
        <v>6</v>
      </c>
      <c r="T11" s="625">
        <v>285.12099838256813</v>
      </c>
      <c r="U11" s="625">
        <v>323.49900059000004</v>
      </c>
      <c r="V11" s="700">
        <v>327.15899755999999</v>
      </c>
      <c r="W11" s="701">
        <v>183.37299919128398</v>
      </c>
    </row>
    <row r="12" spans="1:23" ht="11.25" customHeight="1">
      <c r="A12" s="17"/>
      <c r="B12" s="162"/>
      <c r="C12" s="39"/>
      <c r="D12" s="162"/>
      <c r="E12" s="162"/>
      <c r="F12" s="70"/>
      <c r="G12" s="66"/>
      <c r="H12" s="66"/>
      <c r="I12" s="71"/>
      <c r="J12" s="3"/>
      <c r="K12" s="3"/>
      <c r="L12" s="15"/>
      <c r="N12" s="624">
        <v>7</v>
      </c>
      <c r="O12" s="625">
        <v>274.18798829999997</v>
      </c>
      <c r="P12" s="625">
        <v>286.72699999999998</v>
      </c>
      <c r="Q12" s="700">
        <v>195.61700188</v>
      </c>
      <c r="R12" s="701">
        <v>69.123001099999996</v>
      </c>
      <c r="S12" s="624">
        <v>7</v>
      </c>
      <c r="T12" s="625">
        <v>329.34199910000001</v>
      </c>
      <c r="U12" s="625">
        <v>323.53270380002277</v>
      </c>
      <c r="V12" s="700">
        <v>354.25649632083298</v>
      </c>
      <c r="W12" s="701">
        <v>222.42599583999998</v>
      </c>
    </row>
    <row r="13" spans="1:23" ht="11.25" customHeight="1">
      <c r="A13" s="17"/>
      <c r="B13" s="162"/>
      <c r="C13" s="39"/>
      <c r="D13" s="162"/>
      <c r="E13" s="162"/>
      <c r="F13" s="70"/>
      <c r="G13" s="66"/>
      <c r="H13" s="66"/>
      <c r="I13" s="71"/>
      <c r="J13" s="4"/>
      <c r="K13" s="4"/>
      <c r="L13" s="12"/>
      <c r="N13" s="624">
        <v>8</v>
      </c>
      <c r="O13" s="625">
        <v>291.3330078125</v>
      </c>
      <c r="P13" s="625">
        <v>276.42099999999999</v>
      </c>
      <c r="Q13" s="700">
        <v>273.05700683593699</v>
      </c>
      <c r="R13" s="701">
        <v>91.259002690000003</v>
      </c>
      <c r="S13" s="624">
        <v>8</v>
      </c>
      <c r="T13" s="625">
        <v>352.60932731628355</v>
      </c>
      <c r="U13" s="625">
        <v>320.11500000000001</v>
      </c>
      <c r="V13" s="700">
        <v>356.44099426269452</v>
      </c>
      <c r="W13" s="701">
        <v>223.43000031000003</v>
      </c>
    </row>
    <row r="14" spans="1:23" ht="11.25" customHeight="1">
      <c r="A14" s="17"/>
      <c r="B14" s="162"/>
      <c r="C14" s="39"/>
      <c r="D14" s="162"/>
      <c r="E14" s="162"/>
      <c r="F14" s="70"/>
      <c r="G14" s="66"/>
      <c r="H14" s="66"/>
      <c r="I14" s="71"/>
      <c r="J14" s="3"/>
      <c r="K14" s="6"/>
      <c r="L14" s="15"/>
      <c r="N14" s="624">
        <v>9</v>
      </c>
      <c r="O14" s="625">
        <v>281.57400510000002</v>
      </c>
      <c r="P14" s="625">
        <v>271.92898559570301</v>
      </c>
      <c r="Q14" s="700">
        <v>291.33300780000002</v>
      </c>
      <c r="R14" s="701">
        <v>113.653999328613</v>
      </c>
      <c r="S14" s="624">
        <v>9</v>
      </c>
      <c r="T14" s="625">
        <v>377.95000650999998</v>
      </c>
      <c r="U14" s="625">
        <v>323.68899917602516</v>
      </c>
      <c r="V14" s="700">
        <v>371.62199979000002</v>
      </c>
      <c r="W14" s="701">
        <v>223.83099651336642</v>
      </c>
    </row>
    <row r="15" spans="1:23" ht="11.25" customHeight="1">
      <c r="A15" s="17"/>
      <c r="B15" s="162"/>
      <c r="C15" s="39"/>
      <c r="D15" s="162"/>
      <c r="E15" s="162"/>
      <c r="F15" s="70"/>
      <c r="G15" s="66"/>
      <c r="H15" s="66"/>
      <c r="I15" s="71"/>
      <c r="J15" s="3"/>
      <c r="K15" s="6"/>
      <c r="L15" s="15"/>
      <c r="N15" s="624">
        <v>10</v>
      </c>
      <c r="O15" s="625">
        <v>277.58898929999998</v>
      </c>
      <c r="P15" s="625">
        <v>283.85998540000003</v>
      </c>
      <c r="Q15" s="700">
        <v>290.13098150000002</v>
      </c>
      <c r="R15" s="701">
        <v>122.54900360000001</v>
      </c>
      <c r="S15" s="624">
        <v>10</v>
      </c>
      <c r="T15" s="625">
        <v>383.25900259000002</v>
      </c>
      <c r="U15" s="625">
        <v>329.89599799999996</v>
      </c>
      <c r="V15" s="700">
        <v>380.60428970547002</v>
      </c>
      <c r="W15" s="701">
        <v>226.36199664999998</v>
      </c>
    </row>
    <row r="16" spans="1:23" ht="11.25" customHeight="1">
      <c r="A16" s="17"/>
      <c r="B16" s="162"/>
      <c r="C16" s="39"/>
      <c r="D16" s="162"/>
      <c r="E16" s="162"/>
      <c r="F16" s="70"/>
      <c r="G16" s="66"/>
      <c r="H16" s="66"/>
      <c r="I16" s="71"/>
      <c r="J16" s="3"/>
      <c r="K16" s="6"/>
      <c r="L16" s="15"/>
      <c r="N16" s="624">
        <v>11</v>
      </c>
      <c r="O16" s="625">
        <v>288.4509888</v>
      </c>
      <c r="P16" s="625">
        <v>297.12600709999998</v>
      </c>
      <c r="Q16" s="700">
        <v>306.47698974609301</v>
      </c>
      <c r="R16" s="626">
        <v>133.42999267578099</v>
      </c>
      <c r="S16" s="624">
        <v>11</v>
      </c>
      <c r="T16" s="625">
        <v>394.92200288000009</v>
      </c>
      <c r="U16" s="625">
        <v>345.04400820999996</v>
      </c>
      <c r="V16" s="700">
        <v>384.68100166320727</v>
      </c>
      <c r="W16" s="701">
        <v>232.74199581146217</v>
      </c>
    </row>
    <row r="17" spans="1:23" ht="11.25" customHeight="1">
      <c r="A17" s="17"/>
      <c r="B17" s="162"/>
      <c r="C17" s="39"/>
      <c r="D17" s="162"/>
      <c r="E17" s="162"/>
      <c r="F17" s="70"/>
      <c r="G17" s="66"/>
      <c r="H17" s="66"/>
      <c r="I17" s="71"/>
      <c r="J17" s="3"/>
      <c r="K17" s="6"/>
      <c r="L17" s="15"/>
      <c r="N17" s="624">
        <v>12</v>
      </c>
      <c r="O17" s="625">
        <v>295.38400268554602</v>
      </c>
      <c r="P17" s="625">
        <v>303.54400629999998</v>
      </c>
      <c r="Q17" s="700">
        <v>307.06500240000003</v>
      </c>
      <c r="R17" s="626">
        <v>167.42399599999999</v>
      </c>
      <c r="S17" s="624">
        <v>12</v>
      </c>
      <c r="T17" s="625">
        <v>390.290998458861</v>
      </c>
      <c r="U17" s="625">
        <v>376.08100894</v>
      </c>
      <c r="V17" s="700">
        <v>387.41699027999999</v>
      </c>
      <c r="W17" s="701">
        <v>249.01400279000003</v>
      </c>
    </row>
    <row r="18" spans="1:23" ht="11.25" customHeight="1">
      <c r="A18" s="17"/>
      <c r="B18" s="162"/>
      <c r="C18" s="39"/>
      <c r="D18" s="162"/>
      <c r="E18" s="162"/>
      <c r="F18" s="70"/>
      <c r="G18" s="66"/>
      <c r="H18" s="66"/>
      <c r="I18" s="71"/>
      <c r="J18" s="3"/>
      <c r="K18" s="6"/>
      <c r="L18" s="15"/>
      <c r="N18" s="624">
        <v>13</v>
      </c>
      <c r="O18" s="625">
        <v>303.54400634765602</v>
      </c>
      <c r="P18" s="625">
        <v>310.60000609999997</v>
      </c>
      <c r="Q18" s="700">
        <v>308.24</v>
      </c>
      <c r="R18" s="626">
        <v>196.28300479999999</v>
      </c>
      <c r="S18" s="624">
        <v>13</v>
      </c>
      <c r="T18" s="625">
        <v>402.17499160766499</v>
      </c>
      <c r="U18" s="625">
        <v>390.74499132000005</v>
      </c>
      <c r="V18" s="700">
        <v>387.17</v>
      </c>
      <c r="W18" s="701">
        <v>287.89399718999999</v>
      </c>
    </row>
    <row r="19" spans="1:23" ht="11.25" customHeight="1">
      <c r="A19" s="17"/>
      <c r="B19" s="162"/>
      <c r="C19" s="39"/>
      <c r="D19" s="162"/>
      <c r="E19" s="162"/>
      <c r="F19" s="70"/>
      <c r="G19" s="66"/>
      <c r="H19" s="66"/>
      <c r="I19" s="71"/>
      <c r="J19" s="3"/>
      <c r="K19" s="6"/>
      <c r="L19" s="15"/>
      <c r="N19" s="624">
        <v>14</v>
      </c>
      <c r="O19" s="625">
        <v>296.54501340000002</v>
      </c>
      <c r="P19" s="625">
        <v>310.60000609999997</v>
      </c>
      <c r="Q19" s="700">
        <v>316.52200317382801</v>
      </c>
      <c r="R19" s="276">
        <v>213.81199649999999</v>
      </c>
      <c r="S19" s="624">
        <v>14</v>
      </c>
      <c r="T19" s="625">
        <v>398.93495940999998</v>
      </c>
      <c r="U19" s="625">
        <v>396.33900255999993</v>
      </c>
      <c r="V19" s="700">
        <v>389.18700027465661</v>
      </c>
      <c r="W19" s="277">
        <v>300.13200759</v>
      </c>
    </row>
    <row r="20" spans="1:23" ht="11.25" customHeight="1">
      <c r="A20" s="17"/>
      <c r="B20" s="162"/>
      <c r="C20" s="39"/>
      <c r="D20" s="162"/>
      <c r="E20" s="162"/>
      <c r="F20" s="70"/>
      <c r="G20" s="66"/>
      <c r="H20" s="66"/>
      <c r="I20" s="71"/>
      <c r="J20" s="3"/>
      <c r="K20" s="6"/>
      <c r="L20" s="15"/>
      <c r="N20" s="624">
        <v>15</v>
      </c>
      <c r="O20" s="625">
        <v>289.60299680000003</v>
      </c>
      <c r="P20" s="625">
        <v>308.24200439999998</v>
      </c>
      <c r="Q20" s="700">
        <v>323.08200069999998</v>
      </c>
      <c r="R20" s="276">
        <v>223.27499389648401</v>
      </c>
      <c r="S20" s="624">
        <v>15</v>
      </c>
      <c r="T20" s="625">
        <v>388.01895332999999</v>
      </c>
      <c r="U20" s="625">
        <v>407.79200167999994</v>
      </c>
      <c r="V20" s="700">
        <v>391.56700128</v>
      </c>
      <c r="W20" s="277">
        <v>303.48399925231826</v>
      </c>
    </row>
    <row r="21" spans="1:23" ht="11.25" customHeight="1">
      <c r="A21" s="17"/>
      <c r="B21" s="162"/>
      <c r="C21" s="39"/>
      <c r="D21" s="162"/>
      <c r="E21" s="162"/>
      <c r="F21" s="70"/>
      <c r="G21" s="66"/>
      <c r="H21" s="66"/>
      <c r="I21" s="71"/>
      <c r="J21" s="3"/>
      <c r="K21" s="7"/>
      <c r="L21" s="16"/>
      <c r="N21" s="624">
        <v>16</v>
      </c>
      <c r="O21" s="625">
        <v>285.006012</v>
      </c>
      <c r="P21" s="625">
        <v>302.9590149</v>
      </c>
      <c r="Q21" s="700">
        <v>320.093994140625</v>
      </c>
      <c r="R21" s="276">
        <v>231.79400000000001</v>
      </c>
      <c r="S21" s="624">
        <v>16</v>
      </c>
      <c r="T21" s="625">
        <v>383.39695458999995</v>
      </c>
      <c r="U21" s="625">
        <v>404.66700356000001</v>
      </c>
      <c r="V21" s="700">
        <v>387.48099899291947</v>
      </c>
      <c r="W21" s="277">
        <v>304.78900000000004</v>
      </c>
    </row>
    <row r="22" spans="1:23" ht="11.25" customHeight="1">
      <c r="A22" s="77"/>
      <c r="B22" s="162"/>
      <c r="C22" s="39"/>
      <c r="D22" s="162"/>
      <c r="E22" s="162"/>
      <c r="F22" s="70"/>
      <c r="G22" s="66"/>
      <c r="H22" s="66"/>
      <c r="I22" s="71"/>
      <c r="J22" s="3"/>
      <c r="K22" s="6"/>
      <c r="L22" s="15"/>
      <c r="N22" s="624">
        <v>17</v>
      </c>
      <c r="O22" s="625">
        <v>285.00601196289</v>
      </c>
      <c r="P22" s="625">
        <v>304.71600339999998</v>
      </c>
      <c r="Q22" s="700">
        <v>317.51499449062499</v>
      </c>
      <c r="R22" s="276">
        <v>236.0899963</v>
      </c>
      <c r="S22" s="624">
        <v>17</v>
      </c>
      <c r="T22" s="625">
        <v>381.56399345397853</v>
      </c>
      <c r="U22" s="625">
        <v>401.20799636000004</v>
      </c>
      <c r="V22" s="700">
        <v>384.68462114530365</v>
      </c>
      <c r="W22" s="277">
        <v>303.57200239999997</v>
      </c>
    </row>
    <row r="23" spans="1:23" ht="11.25" customHeight="1">
      <c r="A23" s="77"/>
      <c r="B23" s="162"/>
      <c r="C23" s="39"/>
      <c r="D23" s="162"/>
      <c r="E23" s="162"/>
      <c r="F23" s="70"/>
      <c r="G23" s="66"/>
      <c r="H23" s="66"/>
      <c r="I23" s="71"/>
      <c r="J23" s="3"/>
      <c r="K23" s="6"/>
      <c r="L23" s="15"/>
      <c r="N23" s="624">
        <v>18</v>
      </c>
      <c r="O23" s="625">
        <v>285.006012</v>
      </c>
      <c r="P23" s="625">
        <v>301.20498659999998</v>
      </c>
      <c r="Q23" s="700">
        <v>286.73</v>
      </c>
      <c r="R23" s="276">
        <v>231.25799560546801</v>
      </c>
      <c r="S23" s="624">
        <v>18</v>
      </c>
      <c r="T23" s="625">
        <v>379.87400246999994</v>
      </c>
      <c r="U23" s="625">
        <v>398.68500135999994</v>
      </c>
      <c r="V23" s="700">
        <v>375.79000000000008</v>
      </c>
      <c r="W23" s="277">
        <v>300.258003234863</v>
      </c>
    </row>
    <row r="24" spans="1:23" ht="11.25" customHeight="1">
      <c r="A24" s="77"/>
      <c r="B24" s="162"/>
      <c r="C24" s="39"/>
      <c r="D24" s="162"/>
      <c r="E24" s="162"/>
      <c r="F24" s="70"/>
      <c r="G24" s="66"/>
      <c r="H24" s="66"/>
      <c r="I24" s="71"/>
      <c r="J24" s="6"/>
      <c r="K24" s="6"/>
      <c r="L24" s="15"/>
      <c r="N24" s="624">
        <v>19</v>
      </c>
      <c r="O24" s="625">
        <v>314.7409973</v>
      </c>
      <c r="P24" s="625">
        <v>301.78900149999998</v>
      </c>
      <c r="Q24" s="700">
        <v>294.225006103515</v>
      </c>
      <c r="R24" s="276">
        <v>237.70799260000001</v>
      </c>
      <c r="S24" s="624">
        <v>19</v>
      </c>
      <c r="T24" s="625">
        <v>375.69400404000004</v>
      </c>
      <c r="U24" s="625">
        <v>396.22801973000003</v>
      </c>
      <c r="V24" s="700">
        <v>370.16600227355934</v>
      </c>
      <c r="W24" s="277">
        <v>296.27899932999998</v>
      </c>
    </row>
    <row r="25" spans="1:23" ht="11.25" customHeight="1">
      <c r="A25" s="263" t="s">
        <v>547</v>
      </c>
      <c r="B25" s="162"/>
      <c r="C25" s="39"/>
      <c r="D25" s="162"/>
      <c r="E25" s="162"/>
      <c r="F25" s="70"/>
      <c r="G25" s="66"/>
      <c r="H25" s="66"/>
      <c r="I25" s="71"/>
      <c r="J25" s="3"/>
      <c r="K25" s="7"/>
      <c r="L25" s="16"/>
      <c r="N25" s="702">
        <v>20</v>
      </c>
      <c r="O25" s="625">
        <v>314.14801030000001</v>
      </c>
      <c r="P25" s="625">
        <v>305.30300899999997</v>
      </c>
      <c r="Q25" s="700">
        <v>298.29000854492102</v>
      </c>
      <c r="R25" s="276">
        <v>239.86999511718699</v>
      </c>
      <c r="S25" s="624">
        <v>20</v>
      </c>
      <c r="T25" s="625">
        <v>370.56599616999995</v>
      </c>
      <c r="U25" s="625">
        <v>391.74099727000004</v>
      </c>
      <c r="V25" s="700">
        <v>364.40299987792889</v>
      </c>
      <c r="W25" s="703">
        <v>292.73699569702455</v>
      </c>
    </row>
    <row r="26" spans="1:23" ht="11.25" customHeight="1">
      <c r="A26" s="54"/>
      <c r="B26" s="162"/>
      <c r="C26" s="39"/>
      <c r="D26" s="162"/>
      <c r="E26" s="162"/>
      <c r="F26" s="70"/>
      <c r="G26" s="66"/>
      <c r="H26" s="66"/>
      <c r="I26" s="71"/>
      <c r="J26" s="4"/>
      <c r="K26" s="6"/>
      <c r="L26" s="15"/>
      <c r="N26" s="624">
        <v>21</v>
      </c>
      <c r="O26" s="625">
        <v>312.37200927734301</v>
      </c>
      <c r="P26" s="625">
        <v>308.24200439999998</v>
      </c>
      <c r="Q26" s="700">
        <v>302.95901489257801</v>
      </c>
      <c r="R26" s="704">
        <v>238.78827000000001</v>
      </c>
      <c r="S26" s="624">
        <v>21</v>
      </c>
      <c r="T26" s="625">
        <v>365.52200794219863</v>
      </c>
      <c r="U26" s="625">
        <v>387.63294980000006</v>
      </c>
      <c r="V26" s="700">
        <v>358.7700004577631</v>
      </c>
      <c r="W26" s="277">
        <v>288.35500000000002</v>
      </c>
    </row>
    <row r="27" spans="1:23" ht="11.25" customHeight="1">
      <c r="A27" s="77"/>
      <c r="B27" s="162"/>
      <c r="C27" s="39"/>
      <c r="D27" s="162"/>
      <c r="E27" s="162"/>
      <c r="F27" s="73"/>
      <c r="G27" s="73"/>
      <c r="H27" s="73"/>
      <c r="I27" s="73"/>
      <c r="J27" s="4"/>
      <c r="K27" s="6"/>
      <c r="L27" s="15"/>
      <c r="N27" s="624">
        <v>22</v>
      </c>
      <c r="O27" s="625">
        <v>310.60000609999997</v>
      </c>
      <c r="P27" s="625">
        <v>307.6530151</v>
      </c>
      <c r="Q27" s="700">
        <v>306.47698969999999</v>
      </c>
      <c r="R27" s="704">
        <v>237.16799929999999</v>
      </c>
      <c r="S27" s="624">
        <v>22</v>
      </c>
      <c r="T27" s="625">
        <v>359.19900507300002</v>
      </c>
      <c r="U27" s="625">
        <v>383.63200570999999</v>
      </c>
      <c r="V27" s="700">
        <v>353.17899700999999</v>
      </c>
      <c r="W27" s="277">
        <v>283.59700203999995</v>
      </c>
    </row>
    <row r="28" spans="1:23" ht="11.25" customHeight="1">
      <c r="A28" s="77"/>
      <c r="B28" s="162"/>
      <c r="C28" s="39"/>
      <c r="D28" s="162"/>
      <c r="E28" s="162"/>
      <c r="F28" s="73"/>
      <c r="G28" s="73"/>
      <c r="H28" s="73"/>
      <c r="I28" s="73"/>
      <c r="J28" s="4"/>
      <c r="K28" s="6"/>
      <c r="L28" s="15"/>
      <c r="N28" s="624">
        <v>23</v>
      </c>
      <c r="O28" s="625">
        <v>307.06500240000003</v>
      </c>
      <c r="P28" s="625">
        <v>302.9590149</v>
      </c>
      <c r="Q28" s="700">
        <v>304.13000488281199</v>
      </c>
      <c r="R28" s="704">
        <v>237.16799926757801</v>
      </c>
      <c r="S28" s="624">
        <v>23</v>
      </c>
      <c r="T28" s="625">
        <v>354.24799921000005</v>
      </c>
      <c r="U28" s="625">
        <v>379.05501368</v>
      </c>
      <c r="V28" s="700">
        <v>347.3810005187978</v>
      </c>
      <c r="W28" s="277">
        <v>278.70099830627407</v>
      </c>
    </row>
    <row r="29" spans="1:23" ht="11.25" customHeight="1">
      <c r="A29" s="77"/>
      <c r="B29" s="162"/>
      <c r="C29" s="39"/>
      <c r="D29" s="162"/>
      <c r="E29" s="162"/>
      <c r="F29" s="73"/>
      <c r="G29" s="73"/>
      <c r="H29" s="73"/>
      <c r="I29" s="73"/>
      <c r="J29" s="4"/>
      <c r="K29" s="6"/>
      <c r="L29" s="15"/>
      <c r="N29" s="624">
        <v>24</v>
      </c>
      <c r="O29" s="625">
        <v>300.621002197265</v>
      </c>
      <c r="P29" s="625">
        <v>291.91101070000002</v>
      </c>
      <c r="Q29" s="700">
        <v>295.9649963</v>
      </c>
      <c r="R29" s="704">
        <v>237.16799929999999</v>
      </c>
      <c r="S29" s="624">
        <v>24</v>
      </c>
      <c r="T29" s="625">
        <v>348.87000203132561</v>
      </c>
      <c r="U29" s="625">
        <v>374.35099984999999</v>
      </c>
      <c r="V29" s="700">
        <v>341.67700381999998</v>
      </c>
      <c r="W29" s="277">
        <v>273.83300210000004</v>
      </c>
    </row>
    <row r="30" spans="1:23" ht="11.25" customHeight="1">
      <c r="A30" s="74"/>
      <c r="B30" s="73"/>
      <c r="C30" s="73"/>
      <c r="D30" s="73"/>
      <c r="E30" s="73"/>
      <c r="F30" s="73"/>
      <c r="G30" s="73"/>
      <c r="H30" s="73"/>
      <c r="I30" s="73"/>
      <c r="J30" s="3"/>
      <c r="K30" s="6"/>
      <c r="L30" s="15"/>
      <c r="N30" s="624">
        <v>25</v>
      </c>
      <c r="O30" s="625">
        <v>286.72698969999999</v>
      </c>
      <c r="P30" s="625">
        <v>282.14498900000001</v>
      </c>
      <c r="Q30" s="700">
        <v>285.57900999999998</v>
      </c>
      <c r="R30" s="704">
        <v>233.93899999999999</v>
      </c>
      <c r="S30" s="624">
        <v>25</v>
      </c>
      <c r="T30" s="625">
        <v>343.83099551700002</v>
      </c>
      <c r="U30" s="625">
        <v>369.41900067</v>
      </c>
      <c r="V30" s="700">
        <v>335.75800323999999</v>
      </c>
      <c r="W30" s="277">
        <v>269.02600668999997</v>
      </c>
    </row>
    <row r="31" spans="1:23" ht="11.25" customHeight="1">
      <c r="A31" s="74"/>
      <c r="B31" s="73"/>
      <c r="C31" s="73"/>
      <c r="D31" s="73"/>
      <c r="E31" s="73"/>
      <c r="F31" s="73"/>
      <c r="G31" s="73"/>
      <c r="H31" s="73"/>
      <c r="I31" s="73"/>
      <c r="J31" s="3"/>
      <c r="K31" s="6"/>
      <c r="L31" s="15"/>
      <c r="N31" s="624">
        <v>26</v>
      </c>
      <c r="O31" s="625">
        <v>266.86801150000002</v>
      </c>
      <c r="P31" s="625">
        <v>270.23800660000001</v>
      </c>
      <c r="Q31" s="700">
        <v>274.75399779999998</v>
      </c>
      <c r="R31" s="704">
        <v>237.16799929999999</v>
      </c>
      <c r="S31" s="624">
        <v>26</v>
      </c>
      <c r="T31" s="625">
        <v>338.47100355099997</v>
      </c>
      <c r="U31" s="625">
        <v>363.95100021999997</v>
      </c>
      <c r="V31" s="700">
        <v>330.74199960999994</v>
      </c>
      <c r="W31" s="277">
        <v>264.09399986</v>
      </c>
    </row>
    <row r="32" spans="1:23" ht="11.25" customHeight="1">
      <c r="A32" s="74"/>
      <c r="B32" s="73"/>
      <c r="C32" s="73"/>
      <c r="D32" s="73"/>
      <c r="E32" s="73"/>
      <c r="F32" s="73"/>
      <c r="G32" s="73"/>
      <c r="H32" s="73"/>
      <c r="I32" s="73"/>
      <c r="J32" s="3"/>
      <c r="K32" s="6"/>
      <c r="L32" s="15"/>
      <c r="N32" s="624">
        <v>27</v>
      </c>
      <c r="O32" s="625">
        <v>255.73500061035099</v>
      </c>
      <c r="P32" s="625">
        <v>251.32600400000001</v>
      </c>
      <c r="Q32" s="700">
        <v>261.83898929999998</v>
      </c>
      <c r="R32" s="704">
        <v>237.16799926757801</v>
      </c>
      <c r="S32" s="624">
        <v>27</v>
      </c>
      <c r="T32" s="625">
        <v>333.23996639251612</v>
      </c>
      <c r="U32" s="625">
        <v>358.46099474000005</v>
      </c>
      <c r="V32" s="700">
        <v>325.96500109999999</v>
      </c>
      <c r="W32" s="277">
        <v>259.40699577331497</v>
      </c>
    </row>
    <row r="33" spans="1:23" ht="11.25" customHeight="1">
      <c r="A33" s="74"/>
      <c r="B33" s="73"/>
      <c r="C33" s="73"/>
      <c r="D33" s="73"/>
      <c r="E33" s="73"/>
      <c r="F33" s="73"/>
      <c r="G33" s="73"/>
      <c r="H33" s="73"/>
      <c r="I33" s="73"/>
      <c r="J33" s="3"/>
      <c r="K33" s="6"/>
      <c r="L33" s="15"/>
      <c r="N33" s="624">
        <v>28</v>
      </c>
      <c r="O33" s="625">
        <v>244.7590027</v>
      </c>
      <c r="P33" s="627">
        <v>243.66999820000001</v>
      </c>
      <c r="Q33" s="700">
        <v>249.13000489999999</v>
      </c>
      <c r="R33" s="704">
        <v>224.33500670000001</v>
      </c>
      <c r="S33" s="624">
        <v>28</v>
      </c>
      <c r="T33" s="625">
        <v>327.71050074999999</v>
      </c>
      <c r="U33" s="625">
        <v>352.90699958999994</v>
      </c>
      <c r="V33" s="700">
        <v>319.04200172500003</v>
      </c>
      <c r="W33" s="277">
        <v>255.76400183999999</v>
      </c>
    </row>
    <row r="34" spans="1:23" ht="11.25" customHeight="1">
      <c r="A34" s="74"/>
      <c r="B34" s="73"/>
      <c r="C34" s="73"/>
      <c r="D34" s="73"/>
      <c r="E34" s="73"/>
      <c r="F34" s="73"/>
      <c r="G34" s="73"/>
      <c r="H34" s="73"/>
      <c r="I34" s="73"/>
      <c r="J34" s="3"/>
      <c r="K34" s="6"/>
      <c r="L34" s="15"/>
      <c r="N34" s="624">
        <v>29</v>
      </c>
      <c r="O34" s="625">
        <v>231.25799559999999</v>
      </c>
      <c r="P34" s="625">
        <v>236.0899963</v>
      </c>
      <c r="Q34" s="700">
        <v>235.552001953125</v>
      </c>
      <c r="R34" s="704">
        <v>224.33500670000001</v>
      </c>
      <c r="S34" s="624">
        <v>29</v>
      </c>
      <c r="T34" s="625">
        <v>322.11699965099996</v>
      </c>
      <c r="U34" s="625">
        <v>346.83199694000007</v>
      </c>
      <c r="V34" s="700">
        <v>313.23499679565401</v>
      </c>
      <c r="W34" s="277">
        <v>250.34199906000003</v>
      </c>
    </row>
    <row r="35" spans="1:23" ht="11.25" customHeight="1">
      <c r="A35" s="74"/>
      <c r="B35" s="73"/>
      <c r="C35" s="73"/>
      <c r="D35" s="73"/>
      <c r="E35" s="73"/>
      <c r="F35" s="73"/>
      <c r="G35" s="73"/>
      <c r="H35" s="73"/>
      <c r="I35" s="73"/>
      <c r="J35" s="6"/>
      <c r="K35" s="6"/>
      <c r="L35" s="15"/>
      <c r="N35" s="624">
        <v>30</v>
      </c>
      <c r="O35" s="625">
        <v>219.58000179999999</v>
      </c>
      <c r="P35" s="625">
        <v>223.80499270000001</v>
      </c>
      <c r="Q35" s="700">
        <v>235.55200199999999</v>
      </c>
      <c r="R35" s="704">
        <v>204.99099731445301</v>
      </c>
      <c r="S35" s="624">
        <v>30</v>
      </c>
      <c r="T35" s="625">
        <v>316.39600081599997</v>
      </c>
      <c r="U35" s="625">
        <v>340.42700004</v>
      </c>
      <c r="V35" s="700">
        <v>308.18499564899997</v>
      </c>
      <c r="W35" s="277">
        <v>245.46299934387167</v>
      </c>
    </row>
    <row r="36" spans="1:23" ht="11.25" customHeight="1">
      <c r="A36" s="74"/>
      <c r="B36" s="73"/>
      <c r="C36" s="73"/>
      <c r="D36" s="73"/>
      <c r="E36" s="73"/>
      <c r="F36" s="73"/>
      <c r="G36" s="73"/>
      <c r="H36" s="73"/>
      <c r="I36" s="73"/>
      <c r="J36" s="3"/>
      <c r="K36" s="6"/>
      <c r="L36" s="15"/>
      <c r="N36" s="624">
        <v>31</v>
      </c>
      <c r="O36" s="625">
        <v>209.128006</v>
      </c>
      <c r="P36" s="625">
        <v>211.72599790000001</v>
      </c>
      <c r="Q36" s="700">
        <v>204.47599792480401</v>
      </c>
      <c r="R36" s="704">
        <v>181.19200129999999</v>
      </c>
      <c r="S36" s="624">
        <v>31</v>
      </c>
      <c r="T36" s="625">
        <v>310.66199637099999</v>
      </c>
      <c r="U36" s="625">
        <v>333.77900123000001</v>
      </c>
      <c r="V36" s="700">
        <v>300.29800155758841</v>
      </c>
      <c r="W36" s="277">
        <v>240.99800109999998</v>
      </c>
    </row>
    <row r="37" spans="1:23" ht="11.25" customHeight="1">
      <c r="A37" s="74"/>
      <c r="B37" s="73"/>
      <c r="C37" s="73"/>
      <c r="D37" s="73"/>
      <c r="E37" s="73"/>
      <c r="F37" s="73"/>
      <c r="G37" s="73"/>
      <c r="H37" s="73"/>
      <c r="I37" s="73"/>
      <c r="J37" s="3"/>
      <c r="K37" s="10"/>
      <c r="L37" s="15"/>
      <c r="N37" s="624">
        <v>32</v>
      </c>
      <c r="O37" s="625">
        <v>201.39199830000001</v>
      </c>
      <c r="P37" s="625">
        <v>200.36700440000001</v>
      </c>
      <c r="Q37" s="700">
        <v>190.20399475097599</v>
      </c>
      <c r="R37" s="276"/>
      <c r="S37" s="624">
        <v>32</v>
      </c>
      <c r="T37" s="625">
        <v>304.63100243800005</v>
      </c>
      <c r="U37" s="625">
        <v>326.91499899999997</v>
      </c>
      <c r="V37" s="700">
        <v>292.89500425755955</v>
      </c>
    </row>
    <row r="38" spans="1:23" ht="11.25" customHeight="1">
      <c r="A38" s="74"/>
      <c r="B38" s="73"/>
      <c r="C38" s="73"/>
      <c r="D38" s="73"/>
      <c r="E38" s="73"/>
      <c r="F38" s="73"/>
      <c r="G38" s="73"/>
      <c r="H38" s="73"/>
      <c r="I38" s="73"/>
      <c r="J38" s="3"/>
      <c r="K38" s="10"/>
      <c r="L38" s="38"/>
      <c r="N38" s="624">
        <v>33</v>
      </c>
      <c r="O38" s="625">
        <v>189.6999969</v>
      </c>
      <c r="P38" s="625">
        <v>187.18600459999999</v>
      </c>
      <c r="Q38" s="700">
        <v>187.18600459999999</v>
      </c>
      <c r="R38" s="276"/>
      <c r="S38" s="624">
        <v>33</v>
      </c>
      <c r="T38" s="625">
        <v>299.14499665</v>
      </c>
      <c r="U38" s="625">
        <v>320.04999731999993</v>
      </c>
      <c r="V38" s="700">
        <v>302.95999780999995</v>
      </c>
    </row>
    <row r="39" spans="1:23" ht="11.25" customHeight="1">
      <c r="A39" s="74"/>
      <c r="B39" s="73"/>
      <c r="C39" s="73"/>
      <c r="D39" s="73"/>
      <c r="E39" s="73"/>
      <c r="F39" s="73"/>
      <c r="G39" s="73"/>
      <c r="H39" s="73"/>
      <c r="I39" s="73"/>
      <c r="J39" s="3"/>
      <c r="K39" s="7"/>
      <c r="L39" s="15"/>
      <c r="N39" s="624">
        <v>34</v>
      </c>
      <c r="O39" s="625">
        <v>178.71099849999999</v>
      </c>
      <c r="P39" s="625">
        <v>176.73300169999999</v>
      </c>
      <c r="Q39" s="700">
        <v>173.7779999</v>
      </c>
      <c r="R39" s="276"/>
      <c r="S39" s="624">
        <v>34</v>
      </c>
      <c r="T39" s="625">
        <v>293.22399712800001</v>
      </c>
      <c r="U39" s="625">
        <v>312.22399334000005</v>
      </c>
      <c r="V39" s="700">
        <v>277.92099988699999</v>
      </c>
    </row>
    <row r="40" spans="1:23" ht="11.25" customHeight="1">
      <c r="A40" s="74"/>
      <c r="B40" s="73"/>
      <c r="C40" s="73"/>
      <c r="D40" s="73"/>
      <c r="E40" s="73"/>
      <c r="F40" s="73"/>
      <c r="G40" s="73"/>
      <c r="H40" s="73"/>
      <c r="I40" s="73"/>
      <c r="J40" s="3"/>
      <c r="K40" s="7"/>
      <c r="L40" s="15"/>
      <c r="N40" s="624">
        <v>35</v>
      </c>
      <c r="O40" s="625">
        <v>167.91000366210901</v>
      </c>
      <c r="P40" s="628">
        <v>168.8840027</v>
      </c>
      <c r="Q40" s="700">
        <v>169.37899780273401</v>
      </c>
      <c r="R40" s="276"/>
      <c r="S40" s="624">
        <v>35</v>
      </c>
      <c r="T40" s="625">
        <v>287.11000061035065</v>
      </c>
      <c r="U40" s="625">
        <v>304.73300071000006</v>
      </c>
      <c r="V40" s="700">
        <v>270.68900412321057</v>
      </c>
    </row>
    <row r="41" spans="1:23" ht="11.25" customHeight="1">
      <c r="A41" s="74"/>
      <c r="B41" s="73"/>
      <c r="C41" s="73"/>
      <c r="D41" s="73"/>
      <c r="E41" s="73"/>
      <c r="F41" s="73"/>
      <c r="G41" s="73"/>
      <c r="H41" s="73"/>
      <c r="I41" s="73"/>
      <c r="J41" s="3"/>
      <c r="K41" s="7"/>
      <c r="L41" s="15"/>
      <c r="N41" s="624">
        <v>36</v>
      </c>
      <c r="O41" s="625">
        <v>158.25599670410099</v>
      </c>
      <c r="P41" s="628">
        <v>158.2559967</v>
      </c>
      <c r="Q41" s="700">
        <v>165.48199460000001</v>
      </c>
      <c r="R41" s="276"/>
      <c r="S41" s="624">
        <v>36</v>
      </c>
      <c r="T41" s="625">
        <v>280.34500217437699</v>
      </c>
      <c r="U41" s="625">
        <v>297.47899814000004</v>
      </c>
      <c r="V41" s="700">
        <v>263.03699629800002</v>
      </c>
    </row>
    <row r="42" spans="1:23" ht="11.25" customHeight="1">
      <c r="A42" s="74"/>
      <c r="B42" s="73"/>
      <c r="C42" s="73"/>
      <c r="D42" s="73"/>
      <c r="E42" s="73"/>
      <c r="F42" s="73"/>
      <c r="G42" s="73"/>
      <c r="H42" s="73"/>
      <c r="I42" s="73"/>
      <c r="J42" s="6"/>
      <c r="K42" s="10"/>
      <c r="L42" s="15"/>
      <c r="N42" s="624">
        <v>37</v>
      </c>
      <c r="O42" s="625">
        <v>147.34800720214801</v>
      </c>
      <c r="P42" s="628">
        <v>147.34800720000001</v>
      </c>
      <c r="Q42" s="700">
        <v>142.98404230134</v>
      </c>
      <c r="R42" s="276"/>
      <c r="S42" s="624">
        <v>37</v>
      </c>
      <c r="T42" s="625">
        <v>273.90200042724575</v>
      </c>
      <c r="U42" s="625">
        <v>289.18600270099995</v>
      </c>
      <c r="V42" s="700">
        <v>267.3754964899627</v>
      </c>
    </row>
    <row r="43" spans="1:23" ht="11.25" customHeight="1">
      <c r="A43" s="74"/>
      <c r="B43" s="73"/>
      <c r="C43" s="73"/>
      <c r="D43" s="73"/>
      <c r="E43" s="73"/>
      <c r="F43" s="73"/>
      <c r="G43" s="73"/>
      <c r="H43" s="73"/>
      <c r="I43" s="73"/>
      <c r="J43" s="3"/>
      <c r="K43" s="10"/>
      <c r="L43" s="15"/>
      <c r="N43" s="624">
        <v>38</v>
      </c>
      <c r="O43" s="625">
        <v>136.64599609375</v>
      </c>
      <c r="P43" s="628">
        <v>131.14500430000001</v>
      </c>
      <c r="Q43" s="700">
        <v>132.51499938964801</v>
      </c>
      <c r="R43" s="276"/>
      <c r="S43" s="624">
        <v>38</v>
      </c>
      <c r="T43" s="625">
        <v>267.16300058364783</v>
      </c>
      <c r="U43" s="625">
        <v>281.63800617199996</v>
      </c>
      <c r="V43" s="700">
        <v>247.34099905192824</v>
      </c>
    </row>
    <row r="44" spans="1:23" ht="11.25" customHeight="1">
      <c r="A44" s="74"/>
      <c r="B44" s="73"/>
      <c r="C44" s="73"/>
      <c r="D44" s="73"/>
      <c r="E44" s="73"/>
      <c r="F44" s="73"/>
      <c r="G44" s="73"/>
      <c r="H44" s="73"/>
      <c r="I44" s="73"/>
      <c r="J44" s="3"/>
      <c r="K44" s="10"/>
      <c r="L44" s="15"/>
      <c r="N44" s="624">
        <v>39</v>
      </c>
      <c r="O44" s="625">
        <v>131.14500430000001</v>
      </c>
      <c r="P44" s="628">
        <v>117.1940002</v>
      </c>
      <c r="Q44" s="700">
        <v>131.60099790000001</v>
      </c>
      <c r="R44" s="276"/>
      <c r="S44" s="624">
        <v>39</v>
      </c>
      <c r="T44" s="625">
        <v>262.426999588</v>
      </c>
      <c r="U44" s="625">
        <v>274.41000078900004</v>
      </c>
      <c r="V44" s="700">
        <v>239.01999990799999</v>
      </c>
    </row>
    <row r="45" spans="1:23" ht="11.25" customHeight="1">
      <c r="A45" s="74"/>
      <c r="B45" s="73"/>
      <c r="C45" s="73"/>
      <c r="D45" s="73"/>
      <c r="E45" s="73"/>
      <c r="F45" s="73"/>
      <c r="G45" s="73"/>
      <c r="H45" s="73"/>
      <c r="I45" s="73"/>
      <c r="J45" s="11"/>
      <c r="K45" s="11"/>
      <c r="L45" s="11"/>
      <c r="N45" s="624">
        <v>40</v>
      </c>
      <c r="O45" s="625">
        <v>120.7580032</v>
      </c>
      <c r="P45" s="625">
        <v>113.2139969</v>
      </c>
      <c r="Q45" s="700">
        <v>127.05599975585901</v>
      </c>
      <c r="R45" s="276"/>
      <c r="S45" s="624">
        <v>40</v>
      </c>
      <c r="T45" s="625">
        <v>258.968997</v>
      </c>
      <c r="U45" s="625">
        <v>267.74887463900001</v>
      </c>
      <c r="V45" s="700">
        <v>230.88899938762165</v>
      </c>
    </row>
    <row r="46" spans="1:23" ht="11.25" customHeight="1">
      <c r="A46" s="74"/>
      <c r="B46" s="73"/>
      <c r="C46" s="73"/>
      <c r="D46" s="73"/>
      <c r="E46" s="73"/>
      <c r="F46" s="73"/>
      <c r="G46" s="73"/>
      <c r="H46" s="73"/>
      <c r="I46" s="73"/>
      <c r="J46" s="11"/>
      <c r="K46" s="11"/>
      <c r="L46" s="11"/>
      <c r="N46" s="624">
        <v>41</v>
      </c>
      <c r="O46" s="625">
        <v>102.3249969</v>
      </c>
      <c r="P46" s="625">
        <v>105.78199770000001</v>
      </c>
      <c r="Q46" s="700">
        <v>113.457096562483</v>
      </c>
      <c r="R46" s="276"/>
      <c r="S46" s="624">
        <v>41</v>
      </c>
      <c r="T46" s="625">
        <v>255.76199719799999</v>
      </c>
      <c r="U46" s="625">
        <v>261.11699532200004</v>
      </c>
      <c r="V46" s="700">
        <v>221.89513753580701</v>
      </c>
    </row>
    <row r="47" spans="1:23" ht="11.25" customHeight="1">
      <c r="A47" s="74"/>
      <c r="B47" s="73"/>
      <c r="C47" s="73"/>
      <c r="D47" s="73"/>
      <c r="E47" s="73"/>
      <c r="F47" s="73"/>
      <c r="G47" s="73"/>
      <c r="H47" s="73"/>
      <c r="I47" s="73"/>
      <c r="J47" s="11"/>
      <c r="K47" s="11"/>
      <c r="L47" s="11"/>
      <c r="N47" s="624">
        <v>42</v>
      </c>
      <c r="O47" s="625">
        <v>92.944999694824205</v>
      </c>
      <c r="P47" s="625">
        <v>94.636001590000006</v>
      </c>
      <c r="Q47" s="700">
        <v>110.13999939999999</v>
      </c>
      <c r="R47" s="276"/>
      <c r="S47" s="624">
        <v>42</v>
      </c>
      <c r="T47" s="625">
        <v>251.31199836730943</v>
      </c>
      <c r="U47" s="625">
        <v>255.18400193299999</v>
      </c>
      <c r="V47" s="700">
        <v>214.51600204000002</v>
      </c>
    </row>
    <row r="48" spans="1:23" ht="11.25" customHeight="1">
      <c r="A48" s="74"/>
      <c r="B48" s="73"/>
      <c r="C48" s="73"/>
      <c r="D48" s="73"/>
      <c r="E48" s="73"/>
      <c r="F48" s="73"/>
      <c r="G48" s="73"/>
      <c r="H48" s="73"/>
      <c r="I48" s="73"/>
      <c r="J48" s="11"/>
      <c r="K48" s="11"/>
      <c r="L48" s="11"/>
      <c r="N48" s="624">
        <v>43</v>
      </c>
      <c r="O48" s="625">
        <v>84.166999820000001</v>
      </c>
      <c r="P48" s="625">
        <v>83.753997799999993</v>
      </c>
      <c r="Q48" s="700">
        <v>91.259002685546804</v>
      </c>
      <c r="R48" s="276"/>
      <c r="S48" s="624">
        <v>43</v>
      </c>
      <c r="T48" s="625">
        <v>245.88199755799999</v>
      </c>
      <c r="U48" s="625">
        <v>247.82599997900002</v>
      </c>
      <c r="V48" s="700">
        <v>206.5210008025168</v>
      </c>
    </row>
    <row r="49" spans="1:22" ht="11.25" customHeight="1">
      <c r="A49" s="74"/>
      <c r="B49" s="73"/>
      <c r="C49" s="73"/>
      <c r="D49" s="73"/>
      <c r="E49" s="73"/>
      <c r="F49" s="73"/>
      <c r="G49" s="73"/>
      <c r="H49" s="73"/>
      <c r="I49" s="73"/>
      <c r="J49" s="11"/>
      <c r="K49" s="11"/>
      <c r="L49" s="11"/>
      <c r="N49" s="624">
        <v>44</v>
      </c>
      <c r="O49" s="625">
        <v>82.51499939</v>
      </c>
      <c r="P49" s="625">
        <v>73.136001590000006</v>
      </c>
      <c r="Q49" s="700">
        <v>69.921997070000003</v>
      </c>
      <c r="R49" s="276"/>
      <c r="S49" s="624">
        <v>44</v>
      </c>
      <c r="T49" s="625">
        <v>239.051002463</v>
      </c>
      <c r="U49" s="625">
        <v>240.19699645200001</v>
      </c>
      <c r="V49" s="700">
        <v>205.3030003903163</v>
      </c>
    </row>
    <row r="50" spans="1:22" ht="13.2">
      <c r="A50" s="74"/>
      <c r="B50" s="73"/>
      <c r="C50" s="73"/>
      <c r="D50" s="73"/>
      <c r="E50" s="73"/>
      <c r="F50" s="73"/>
      <c r="G50" s="73"/>
      <c r="H50" s="73"/>
      <c r="I50" s="73"/>
      <c r="J50" s="11"/>
      <c r="K50" s="11"/>
      <c r="L50" s="11"/>
      <c r="N50" s="624">
        <v>45</v>
      </c>
      <c r="O50" s="625">
        <v>72.33000183</v>
      </c>
      <c r="P50" s="625">
        <v>72.33000183</v>
      </c>
      <c r="Q50" s="700">
        <v>66.931999206542898</v>
      </c>
      <c r="R50" s="276"/>
      <c r="S50" s="624">
        <v>45</v>
      </c>
      <c r="T50" s="625">
        <v>232.679000852</v>
      </c>
      <c r="U50" s="625">
        <v>232.069998986</v>
      </c>
      <c r="V50" s="700">
        <v>197.31799500565413</v>
      </c>
    </row>
    <row r="51" spans="1:22" ht="13.2">
      <c r="A51" s="74"/>
      <c r="B51" s="73"/>
      <c r="C51" s="73"/>
      <c r="D51" s="73"/>
      <c r="E51" s="73"/>
      <c r="F51" s="73"/>
      <c r="G51" s="73"/>
      <c r="H51" s="73"/>
      <c r="I51" s="73"/>
      <c r="J51" s="11"/>
      <c r="K51" s="11"/>
      <c r="L51" s="11"/>
      <c r="N51" s="624">
        <v>46</v>
      </c>
      <c r="O51" s="625">
        <v>57.318000789999999</v>
      </c>
      <c r="P51" s="625">
        <v>66.33699799</v>
      </c>
      <c r="Q51" s="700">
        <v>50.784000399999996</v>
      </c>
      <c r="R51" s="276"/>
      <c r="S51" s="624">
        <v>46</v>
      </c>
      <c r="T51" s="625">
        <v>225.80399990800001</v>
      </c>
      <c r="U51" s="625">
        <v>224.04500101899998</v>
      </c>
      <c r="V51" s="700">
        <v>182.13499730299998</v>
      </c>
    </row>
    <row r="52" spans="1:22" ht="13.2">
      <c r="A52" s="74"/>
      <c r="B52" s="73"/>
      <c r="C52" s="73"/>
      <c r="D52" s="73"/>
      <c r="E52" s="73"/>
      <c r="F52" s="73"/>
      <c r="G52" s="73"/>
      <c r="H52" s="73"/>
      <c r="I52" s="73"/>
      <c r="J52" s="11"/>
      <c r="K52" s="11"/>
      <c r="L52" s="11"/>
      <c r="N52" s="624">
        <v>47</v>
      </c>
      <c r="O52" s="625">
        <v>44.738998410000001</v>
      </c>
      <c r="P52" s="625">
        <v>59.261001589999999</v>
      </c>
      <c r="Q52" s="700">
        <v>43.990001679999999</v>
      </c>
      <c r="R52" s="276"/>
      <c r="S52" s="624">
        <v>47</v>
      </c>
      <c r="T52" s="625">
        <v>219.24500608799997</v>
      </c>
      <c r="U52" s="625">
        <v>219.29099989100001</v>
      </c>
      <c r="V52" s="700">
        <v>175.02100271200001</v>
      </c>
    </row>
    <row r="53" spans="1:22" ht="13.2">
      <c r="A53" s="74"/>
      <c r="B53" s="73"/>
      <c r="C53" s="73"/>
      <c r="D53" s="73"/>
      <c r="E53" s="73"/>
      <c r="F53" s="73"/>
      <c r="G53" s="73"/>
      <c r="H53" s="73"/>
      <c r="I53" s="73"/>
      <c r="J53" s="11"/>
      <c r="K53" s="11"/>
      <c r="L53" s="11"/>
      <c r="N53" s="624">
        <v>48</v>
      </c>
      <c r="O53" s="625">
        <v>34.763999939999998</v>
      </c>
      <c r="P53" s="625">
        <v>59.261001589999999</v>
      </c>
      <c r="Q53" s="700">
        <v>28.9869995117187</v>
      </c>
      <c r="R53" s="276"/>
      <c r="S53" s="624">
        <v>48</v>
      </c>
      <c r="T53" s="625">
        <v>212.09200192</v>
      </c>
      <c r="U53" s="625">
        <v>216.02500223999999</v>
      </c>
      <c r="V53" s="700">
        <v>167.88399881124482</v>
      </c>
    </row>
    <row r="54" spans="1:22" ht="13.2">
      <c r="A54" s="74"/>
      <c r="B54" s="73"/>
      <c r="C54" s="73"/>
      <c r="D54" s="73"/>
      <c r="E54" s="73"/>
      <c r="F54" s="73"/>
      <c r="G54" s="73"/>
      <c r="H54" s="73"/>
      <c r="I54" s="73"/>
      <c r="J54" s="11"/>
      <c r="K54" s="11"/>
      <c r="L54" s="11"/>
      <c r="N54" s="624">
        <v>49</v>
      </c>
      <c r="O54" s="705">
        <v>27.915000920000001</v>
      </c>
      <c r="P54" s="625">
        <v>47.749000549999998</v>
      </c>
      <c r="Q54" s="700">
        <v>14.64000034</v>
      </c>
      <c r="R54" s="276"/>
      <c r="S54" s="624">
        <v>49</v>
      </c>
      <c r="T54" s="625">
        <v>206.70499944799997</v>
      </c>
      <c r="U54" s="625">
        <v>215.407995212</v>
      </c>
      <c r="V54" s="700">
        <v>163.290001034</v>
      </c>
    </row>
    <row r="55" spans="1:22" ht="13.2">
      <c r="A55" s="74"/>
      <c r="B55" s="73"/>
      <c r="C55" s="73"/>
      <c r="D55" s="73"/>
      <c r="E55" s="73"/>
      <c r="F55" s="73"/>
      <c r="G55" s="73"/>
      <c r="H55" s="73"/>
      <c r="I55" s="73"/>
      <c r="J55" s="11"/>
      <c r="K55" s="11"/>
      <c r="L55" s="11"/>
      <c r="N55" s="624">
        <v>50</v>
      </c>
      <c r="O55" s="625">
        <v>19.81399918</v>
      </c>
      <c r="P55" s="625">
        <v>46.993999479999999</v>
      </c>
      <c r="Q55" s="700">
        <v>29.344999309999999</v>
      </c>
      <c r="R55" s="276"/>
      <c r="S55" s="624">
        <v>50</v>
      </c>
      <c r="T55" s="625">
        <v>200.08300209800001</v>
      </c>
      <c r="U55" s="625">
        <v>212.33400107200001</v>
      </c>
      <c r="V55" s="700">
        <v>164.16899752900002</v>
      </c>
    </row>
    <row r="56" spans="1:22" ht="13.2">
      <c r="A56" s="74"/>
      <c r="B56" s="73"/>
      <c r="C56" s="73"/>
      <c r="D56" s="73"/>
      <c r="E56" s="73"/>
      <c r="F56" s="73"/>
      <c r="G56" s="73"/>
      <c r="H56" s="73"/>
      <c r="I56" s="73"/>
      <c r="J56" s="11"/>
      <c r="K56" s="11"/>
      <c r="L56" s="11"/>
      <c r="N56" s="624">
        <v>51</v>
      </c>
      <c r="O56" s="625">
        <v>22.256999969999999</v>
      </c>
      <c r="P56" s="625">
        <v>35.858001710000003</v>
      </c>
      <c r="Q56" s="700">
        <v>24.719999309999999</v>
      </c>
      <c r="R56" s="276"/>
      <c r="S56" s="624">
        <v>51</v>
      </c>
      <c r="T56" s="625">
        <v>200.81900405299996</v>
      </c>
      <c r="U56" s="625">
        <v>207.130002496</v>
      </c>
      <c r="V56" s="700">
        <v>159.756001709</v>
      </c>
    </row>
    <row r="57" spans="1:22" ht="13.2">
      <c r="A57" s="74"/>
      <c r="B57" s="73"/>
      <c r="C57" s="73"/>
      <c r="D57" s="73"/>
      <c r="E57" s="73"/>
      <c r="F57" s="73"/>
      <c r="G57" s="73"/>
      <c r="H57" s="73"/>
      <c r="I57" s="73"/>
      <c r="N57" s="624">
        <v>52</v>
      </c>
      <c r="O57" s="625">
        <v>51.54700089</v>
      </c>
      <c r="P57" s="625">
        <v>31.502000809999998</v>
      </c>
      <c r="Q57" s="700">
        <v>32.981665290000002</v>
      </c>
      <c r="R57" s="276"/>
      <c r="S57" s="624">
        <v>52</v>
      </c>
      <c r="T57" s="625">
        <v>217.92999649000001</v>
      </c>
      <c r="U57" s="625">
        <v>207.130002496</v>
      </c>
      <c r="V57" s="700">
        <v>158.87100076566699</v>
      </c>
    </row>
    <row r="58" spans="1:22" ht="13.2">
      <c r="A58" s="74"/>
      <c r="B58" s="73"/>
      <c r="C58" s="73"/>
      <c r="D58" s="73"/>
      <c r="E58" s="73"/>
      <c r="F58" s="73"/>
      <c r="G58" s="73"/>
      <c r="H58" s="73"/>
      <c r="I58" s="73"/>
      <c r="N58" s="624">
        <v>53</v>
      </c>
      <c r="O58" s="276">
        <v>140.34500120000001</v>
      </c>
      <c r="P58" s="276"/>
      <c r="Q58" s="276"/>
      <c r="R58" s="276"/>
      <c r="S58" s="624">
        <v>53</v>
      </c>
      <c r="T58" s="625"/>
      <c r="U58" s="625"/>
      <c r="V58" s="700"/>
    </row>
    <row r="59" spans="1:22" ht="13.2">
      <c r="B59" s="73"/>
      <c r="C59" s="73"/>
      <c r="D59" s="73"/>
      <c r="E59" s="73"/>
      <c r="F59" s="73"/>
      <c r="G59" s="73"/>
      <c r="H59" s="73"/>
      <c r="I59" s="73"/>
    </row>
    <row r="60" spans="1:22" ht="13.2">
      <c r="A60" s="74"/>
      <c r="B60" s="73"/>
      <c r="C60" s="73"/>
      <c r="D60" s="73"/>
      <c r="E60" s="73"/>
      <c r="F60" s="73"/>
      <c r="G60" s="73"/>
      <c r="H60" s="73"/>
      <c r="I60" s="73"/>
    </row>
    <row r="63" spans="1:22">
      <c r="A63" s="263" t="s">
        <v>548</v>
      </c>
    </row>
  </sheetData>
  <mergeCells count="2">
    <mergeCell ref="A5:I5"/>
    <mergeCell ref="B7:C7"/>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197"/>
  <sheetViews>
    <sheetView showGridLines="0" view="pageBreakPreview" zoomScaleNormal="100" zoomScaleSheetLayoutView="100" workbookViewId="0">
      <selection activeCell="M200" sqref="M200"/>
    </sheetView>
  </sheetViews>
  <sheetFormatPr baseColWidth="10" defaultColWidth="9.28515625" defaultRowHeight="10.199999999999999"/>
  <cols>
    <col min="1" max="1" width="9.42578125" customWidth="1"/>
    <col min="2" max="2" width="11.42578125" customWidth="1"/>
    <col min="3" max="3" width="31.85546875" customWidth="1"/>
    <col min="4" max="5" width="12" customWidth="1"/>
    <col min="6" max="6" width="12.28515625" customWidth="1"/>
    <col min="7" max="7" width="11.140625" customWidth="1"/>
    <col min="8" max="8" width="11.85546875" customWidth="1"/>
    <col min="9" max="9" width="9.28515625" customWidth="1"/>
    <col min="10" max="10" width="9.28515625" style="276"/>
    <col min="11" max="11" width="9.28515625" style="518"/>
    <col min="12" max="12" width="3.140625" style="518" bestFit="1" customWidth="1"/>
    <col min="13" max="16" width="9.28515625" style="276"/>
    <col min="17" max="17" width="9.28515625" style="277"/>
    <col min="18" max="31" width="9.28515625" style="747"/>
    <col min="32" max="34" width="9.28515625" style="662"/>
  </cols>
  <sheetData>
    <row r="1" spans="1:15" ht="11.25" customHeight="1"/>
    <row r="2" spans="1:15" ht="11.25" customHeight="1">
      <c r="A2" s="17"/>
      <c r="B2" s="17"/>
      <c r="C2" s="17"/>
      <c r="D2" s="17"/>
      <c r="E2" s="73"/>
      <c r="F2" s="73"/>
      <c r="G2" s="73"/>
    </row>
    <row r="3" spans="1:15" ht="17.25" customHeight="1">
      <c r="A3" s="904" t="s">
        <v>364</v>
      </c>
      <c r="B3" s="904"/>
      <c r="C3" s="904"/>
      <c r="D3" s="904"/>
      <c r="E3" s="904"/>
      <c r="F3" s="904"/>
      <c r="G3" s="904"/>
      <c r="H3" s="36"/>
      <c r="I3" s="36"/>
      <c r="K3" s="518" t="s">
        <v>255</v>
      </c>
      <c r="M3" s="276" t="s">
        <v>256</v>
      </c>
      <c r="N3" s="276" t="s">
        <v>257</v>
      </c>
      <c r="O3" s="276" t="s">
        <v>258</v>
      </c>
    </row>
    <row r="4" spans="1:15" ht="11.25" customHeight="1">
      <c r="A4" s="74"/>
      <c r="B4" s="73"/>
      <c r="C4" s="73"/>
      <c r="D4" s="73"/>
      <c r="E4" s="73"/>
      <c r="F4" s="73"/>
      <c r="G4" s="73"/>
      <c r="H4" s="36"/>
      <c r="I4" s="36"/>
      <c r="J4" s="276">
        <v>2020</v>
      </c>
      <c r="L4" s="518">
        <v>1</v>
      </c>
      <c r="M4" s="629">
        <v>42.7519994463239</v>
      </c>
      <c r="N4" s="629">
        <v>129.33128356933543</v>
      </c>
      <c r="O4" s="629">
        <v>35.412713732038192</v>
      </c>
    </row>
    <row r="5" spans="1:15" ht="11.25" customHeight="1">
      <c r="A5" s="74"/>
      <c r="B5" s="73"/>
      <c r="C5" s="73"/>
      <c r="D5" s="73"/>
      <c r="E5" s="73"/>
      <c r="F5" s="73"/>
      <c r="G5" s="73"/>
      <c r="H5" s="12"/>
      <c r="I5" s="12"/>
      <c r="L5" s="518">
        <v>2</v>
      </c>
      <c r="M5" s="629">
        <v>30.679571151428568</v>
      </c>
      <c r="N5" s="629">
        <v>73.393001012857141</v>
      </c>
      <c r="O5" s="629">
        <v>22.044856754285714</v>
      </c>
    </row>
    <row r="6" spans="1:15" ht="29.25" customHeight="1">
      <c r="A6" s="136"/>
      <c r="C6" s="373" t="s">
        <v>142</v>
      </c>
      <c r="D6" s="376" t="str">
        <f>UPPER('1. Resumen'!Q4)&amp;"
 "&amp;'1. Resumen'!Q5</f>
        <v>JULIO
 2023</v>
      </c>
      <c r="E6" s="377" t="str">
        <f>UPPER('1. Resumen'!Q4)&amp;"
 "&amp;'1. Resumen'!Q5-1</f>
        <v>JULIO
 2022</v>
      </c>
      <c r="F6" s="378" t="s">
        <v>415</v>
      </c>
      <c r="G6" s="138"/>
      <c r="H6" s="24"/>
      <c r="I6" s="12"/>
      <c r="L6" s="518">
        <v>3</v>
      </c>
      <c r="M6" s="629">
        <v>46.443999700000006</v>
      </c>
      <c r="N6" s="629">
        <v>73.092571804285726</v>
      </c>
      <c r="O6" s="629">
        <v>18.210142817142859</v>
      </c>
    </row>
    <row r="7" spans="1:15" ht="11.25" customHeight="1">
      <c r="A7" s="174"/>
      <c r="C7" s="418" t="s">
        <v>143</v>
      </c>
      <c r="D7" s="419">
        <v>6.0359032538629327</v>
      </c>
      <c r="E7" s="419">
        <v>8.5617741000267618</v>
      </c>
      <c r="F7" s="420">
        <f>IF(E7=0,"",(D7-E7)/E7)</f>
        <v>-0.2950172261793188</v>
      </c>
      <c r="G7" s="138"/>
      <c r="H7" s="25"/>
      <c r="I7" s="3"/>
      <c r="L7" s="518">
        <v>4</v>
      </c>
      <c r="M7" s="629">
        <v>56.559571404285713</v>
      </c>
      <c r="N7" s="629">
        <v>140.69343129999999</v>
      </c>
      <c r="O7" s="629">
        <v>15.934428624285713</v>
      </c>
    </row>
    <row r="8" spans="1:15" ht="11.25" customHeight="1">
      <c r="A8" s="174"/>
      <c r="C8" s="421" t="s">
        <v>529</v>
      </c>
      <c r="D8" s="422">
        <v>6.3858064374616044</v>
      </c>
      <c r="E8" s="422">
        <v>8.5545160539688592</v>
      </c>
      <c r="F8" s="423">
        <f t="shared" ref="F8:F17" si="0">IF(E8=0,"",(D8-E8)/E8)</f>
        <v>-0.25351634187431143</v>
      </c>
      <c r="G8" s="138"/>
      <c r="H8" s="23"/>
      <c r="I8" s="3"/>
      <c r="L8" s="518">
        <v>5</v>
      </c>
      <c r="M8" s="629">
        <v>85.997285015714283</v>
      </c>
      <c r="N8" s="629">
        <v>189.96014404285714</v>
      </c>
      <c r="O8" s="629">
        <v>16.347999845714288</v>
      </c>
    </row>
    <row r="9" spans="1:15" ht="11.25" customHeight="1">
      <c r="A9" s="174"/>
      <c r="C9" s="424" t="s">
        <v>149</v>
      </c>
      <c r="D9" s="425">
        <v>23.450290310767379</v>
      </c>
      <c r="E9" s="425">
        <v>28.437548422044284</v>
      </c>
      <c r="F9" s="426">
        <f t="shared" si="0"/>
        <v>-0.17537581078581552</v>
      </c>
      <c r="G9" s="138"/>
      <c r="H9" s="25"/>
      <c r="I9" s="3"/>
      <c r="L9" s="518">
        <v>6</v>
      </c>
      <c r="M9" s="629">
        <v>79.643857683454215</v>
      </c>
      <c r="N9" s="629">
        <v>184.55100359235459</v>
      </c>
      <c r="O9" s="629">
        <v>24.545571190970243</v>
      </c>
    </row>
    <row r="10" spans="1:15" ht="11.25" customHeight="1">
      <c r="A10" s="174"/>
      <c r="C10" s="421" t="s">
        <v>155</v>
      </c>
      <c r="D10" s="422">
        <v>31.26077412020771</v>
      </c>
      <c r="E10" s="422">
        <v>26.841322498936758</v>
      </c>
      <c r="F10" s="423">
        <f t="shared" si="0"/>
        <v>0.16465103839224074</v>
      </c>
      <c r="G10" s="138"/>
      <c r="H10" s="25"/>
      <c r="I10" s="3"/>
      <c r="L10" s="518">
        <v>7</v>
      </c>
      <c r="M10" s="629">
        <v>62.11542837857143</v>
      </c>
      <c r="N10" s="629">
        <v>141.4891401142857</v>
      </c>
      <c r="O10" s="629">
        <v>17.933714184285712</v>
      </c>
    </row>
    <row r="11" spans="1:15" ht="11.25" customHeight="1">
      <c r="A11" s="174"/>
      <c r="C11" s="424" t="s">
        <v>156</v>
      </c>
      <c r="D11" s="425">
        <v>9.608516216278062</v>
      </c>
      <c r="E11" s="425">
        <v>14.638838706477955</v>
      </c>
      <c r="F11" s="426">
        <f t="shared" si="0"/>
        <v>-0.34362852074966049</v>
      </c>
      <c r="G11" s="138"/>
      <c r="H11" s="25"/>
      <c r="I11" s="3"/>
      <c r="K11" s="518">
        <v>8</v>
      </c>
      <c r="L11" s="518">
        <v>8</v>
      </c>
      <c r="M11" s="629">
        <v>41.134571620396166</v>
      </c>
      <c r="N11" s="629">
        <v>83.969571794782198</v>
      </c>
      <c r="O11" s="629">
        <v>15.5625712530953</v>
      </c>
    </row>
    <row r="12" spans="1:15" ht="11.25" customHeight="1">
      <c r="A12" s="174"/>
      <c r="C12" s="421" t="s">
        <v>157</v>
      </c>
      <c r="D12" s="422">
        <v>5.3604838771204752</v>
      </c>
      <c r="E12" s="422">
        <v>5.0843871101256299</v>
      </c>
      <c r="F12" s="423">
        <f t="shared" si="0"/>
        <v>5.4302861095095342E-2</v>
      </c>
      <c r="G12" s="138"/>
      <c r="H12" s="25"/>
      <c r="I12" s="3"/>
      <c r="L12" s="518">
        <v>9</v>
      </c>
      <c r="M12" s="629">
        <v>70.027142117142859</v>
      </c>
      <c r="N12" s="629">
        <v>124.34114185428572</v>
      </c>
      <c r="O12" s="629">
        <v>23.340428760000002</v>
      </c>
    </row>
    <row r="13" spans="1:15" ht="11.25" customHeight="1">
      <c r="A13" s="174"/>
      <c r="C13" s="424" t="s">
        <v>148</v>
      </c>
      <c r="D13" s="425">
        <v>9.8350000000000009</v>
      </c>
      <c r="E13" s="425">
        <v>13.218438761776561</v>
      </c>
      <c r="F13" s="426">
        <f t="shared" si="0"/>
        <v>-0.25596356897762901</v>
      </c>
      <c r="G13" s="138"/>
      <c r="H13" s="23"/>
      <c r="I13" s="3"/>
      <c r="L13" s="518">
        <v>10</v>
      </c>
      <c r="M13" s="629">
        <v>51.713285718571434</v>
      </c>
      <c r="N13" s="629">
        <v>110.96499854142857</v>
      </c>
      <c r="O13" s="629">
        <v>51.143429344285714</v>
      </c>
    </row>
    <row r="14" spans="1:15" ht="11.25" customHeight="1">
      <c r="A14" s="174"/>
      <c r="C14" s="421" t="s">
        <v>246</v>
      </c>
      <c r="D14" s="422">
        <v>19.804064596852903</v>
      </c>
      <c r="E14" s="422">
        <v>28.574388380973545</v>
      </c>
      <c r="F14" s="423">
        <f t="shared" si="0"/>
        <v>-0.30692953659020128</v>
      </c>
      <c r="G14" s="138"/>
      <c r="H14" s="25"/>
      <c r="I14" s="3"/>
      <c r="L14" s="518">
        <v>11</v>
      </c>
      <c r="M14" s="629">
        <v>64.999999455714274</v>
      </c>
      <c r="N14" s="629">
        <v>130.17914037142856</v>
      </c>
      <c r="O14" s="629">
        <v>73.820713587142862</v>
      </c>
    </row>
    <row r="15" spans="1:15" ht="11.25" customHeight="1">
      <c r="A15" s="174"/>
      <c r="C15" s="424" t="s">
        <v>247</v>
      </c>
      <c r="D15" s="425">
        <v>31.281161215997471</v>
      </c>
      <c r="E15" s="425">
        <v>36.096774193548349</v>
      </c>
      <c r="F15" s="426">
        <f t="shared" si="0"/>
        <v>-0.13340840241651239</v>
      </c>
      <c r="G15" s="138"/>
      <c r="H15" s="25"/>
      <c r="I15" s="3"/>
      <c r="L15" s="518">
        <v>12</v>
      </c>
      <c r="M15" s="629">
        <v>70.530143192836164</v>
      </c>
      <c r="N15" s="629">
        <v>127.86657169886942</v>
      </c>
      <c r="O15" s="629">
        <v>34.1388571602957</v>
      </c>
    </row>
    <row r="16" spans="1:15" ht="11.25" customHeight="1">
      <c r="A16" s="174"/>
      <c r="C16" s="421" t="s">
        <v>153</v>
      </c>
      <c r="D16" s="422">
        <v>16.392032223363032</v>
      </c>
      <c r="E16" s="422">
        <v>12.392903389469231</v>
      </c>
      <c r="F16" s="423">
        <f t="shared" si="0"/>
        <v>0.32269507057498958</v>
      </c>
      <c r="G16" s="138"/>
      <c r="H16" s="25"/>
      <c r="I16" s="3"/>
      <c r="L16" s="518">
        <v>13</v>
      </c>
      <c r="M16" s="629">
        <v>73.710714612688278</v>
      </c>
      <c r="N16" s="629">
        <v>138.12900325230143</v>
      </c>
      <c r="O16" s="629">
        <v>66.457714898245612</v>
      </c>
    </row>
    <row r="17" spans="1:15" ht="11.25" customHeight="1">
      <c r="A17" s="174"/>
      <c r="C17" s="424" t="s">
        <v>534</v>
      </c>
      <c r="D17" s="425">
        <v>10.215387113632691</v>
      </c>
      <c r="E17" s="425">
        <v>7.9476450643231731</v>
      </c>
      <c r="F17" s="426">
        <f t="shared" si="0"/>
        <v>0.28533509372346888</v>
      </c>
      <c r="G17" s="138"/>
      <c r="H17" s="25"/>
      <c r="I17" s="3"/>
      <c r="L17" s="518">
        <v>14</v>
      </c>
      <c r="M17" s="629">
        <v>57.796857017142862</v>
      </c>
      <c r="N17" s="629">
        <v>109.14457049285714</v>
      </c>
      <c r="O17" s="629">
        <v>82.626999985714278</v>
      </c>
    </row>
    <row r="18" spans="1:15" ht="11.25" customHeight="1">
      <c r="A18" s="174"/>
      <c r="C18" s="421" t="s">
        <v>533</v>
      </c>
      <c r="D18" s="422">
        <v>6.6199677182782013</v>
      </c>
      <c r="E18" s="422">
        <v>4.5789999999999997</v>
      </c>
      <c r="F18" s="423">
        <f t="shared" ref="F18" si="1">IF(E18=0,"",(D18-E18)/E18)</f>
        <v>0.4457234588945625</v>
      </c>
      <c r="G18" s="138"/>
      <c r="H18" s="25"/>
      <c r="I18" s="3"/>
      <c r="L18" s="518">
        <v>15</v>
      </c>
      <c r="M18" s="629">
        <v>44.430285317142861</v>
      </c>
      <c r="N18" s="629">
        <v>80.133571635714276</v>
      </c>
      <c r="O18" s="629">
        <v>89.91342707714287</v>
      </c>
    </row>
    <row r="19" spans="1:15" ht="11.25" customHeight="1">
      <c r="A19" s="174"/>
      <c r="C19" s="424" t="s">
        <v>248</v>
      </c>
      <c r="D19" s="425">
        <v>10.407539644548928</v>
      </c>
      <c r="E19" s="425">
        <v>12.000375809207993</v>
      </c>
      <c r="F19" s="426">
        <f t="shared" ref="F19:F31" si="2">IF(E19=0,"",(D19-E19)/E19)</f>
        <v>-0.13273219022331517</v>
      </c>
      <c r="G19" s="138"/>
      <c r="H19" s="25"/>
      <c r="I19" s="3"/>
      <c r="K19" s="518">
        <v>16</v>
      </c>
      <c r="L19" s="518">
        <v>16</v>
      </c>
      <c r="M19" s="629">
        <v>30.701856885714285</v>
      </c>
      <c r="N19" s="629">
        <v>57.13714327142857</v>
      </c>
      <c r="O19" s="629">
        <v>73.487428932857142</v>
      </c>
    </row>
    <row r="20" spans="1:15" ht="11.25" customHeight="1">
      <c r="A20" s="174"/>
      <c r="C20" s="421" t="s">
        <v>249</v>
      </c>
      <c r="D20" s="422">
        <v>14.157999999999999</v>
      </c>
      <c r="E20" s="422">
        <v>13.266263440860227</v>
      </c>
      <c r="F20" s="423">
        <f>IF(E20=0,"",(D20-E20)/E20)</f>
        <v>6.7218366581897879E-2</v>
      </c>
      <c r="G20" s="138"/>
      <c r="H20" s="25"/>
      <c r="I20" s="3"/>
      <c r="L20" s="518">
        <v>17</v>
      </c>
      <c r="M20" s="629">
        <v>24.932857240949314</v>
      </c>
      <c r="N20" s="629">
        <v>55.184285845075259</v>
      </c>
      <c r="O20" s="629">
        <v>80.585714067731558</v>
      </c>
    </row>
    <row r="21" spans="1:15" ht="11.25" customHeight="1">
      <c r="A21" s="174"/>
      <c r="C21" s="424" t="s">
        <v>250</v>
      </c>
      <c r="D21" s="425">
        <v>1.3093225879053865</v>
      </c>
      <c r="E21" s="425">
        <v>1.6123870957282243</v>
      </c>
      <c r="F21" s="426">
        <f>IF(E21=0,"",(D21-E21)/E21)</f>
        <v>-0.18796014221756138</v>
      </c>
      <c r="G21" s="138"/>
      <c r="H21" s="25"/>
      <c r="I21" s="3"/>
      <c r="L21" s="518">
        <v>18</v>
      </c>
      <c r="M21" s="629">
        <v>46.867285591428576</v>
      </c>
      <c r="N21" s="629">
        <v>80.201000221428572</v>
      </c>
      <c r="O21" s="629">
        <v>93.131286082857144</v>
      </c>
    </row>
    <row r="22" spans="1:15" ht="11.25" customHeight="1">
      <c r="A22" s="174"/>
      <c r="C22" s="421" t="s">
        <v>146</v>
      </c>
      <c r="D22" s="422">
        <v>78.88390350341794</v>
      </c>
      <c r="E22" s="422">
        <v>99.509193420409915</v>
      </c>
      <c r="F22" s="423">
        <f t="shared" si="2"/>
        <v>-0.20727019492413659</v>
      </c>
      <c r="G22" s="138"/>
      <c r="H22" s="25"/>
      <c r="I22" s="3"/>
      <c r="L22" s="518">
        <v>19</v>
      </c>
      <c r="M22" s="629">
        <v>39.880857740000003</v>
      </c>
      <c r="N22" s="629">
        <v>73.398713792857151</v>
      </c>
      <c r="O22" s="629">
        <v>43.960427964285714</v>
      </c>
    </row>
    <row r="23" spans="1:15" ht="11.25" customHeight="1">
      <c r="A23" s="174"/>
      <c r="C23" s="424" t="s">
        <v>144</v>
      </c>
      <c r="D23" s="425">
        <v>1.3040967545201685</v>
      </c>
      <c r="E23" s="425">
        <v>4.2324193908322219</v>
      </c>
      <c r="F23" s="426">
        <f t="shared" si="2"/>
        <v>-0.691879127728941</v>
      </c>
      <c r="G23" s="138"/>
      <c r="H23" s="25"/>
      <c r="I23" s="3"/>
      <c r="L23" s="518">
        <v>20</v>
      </c>
      <c r="M23" s="629">
        <v>34.332998821428575</v>
      </c>
      <c r="N23" s="629">
        <v>57.629714421428567</v>
      </c>
      <c r="O23" s="629">
        <v>29.038571492857141</v>
      </c>
    </row>
    <row r="24" spans="1:15" ht="11.25" customHeight="1">
      <c r="A24" s="174"/>
      <c r="C24" s="421" t="s">
        <v>145</v>
      </c>
      <c r="D24" s="422">
        <v>15.701677399296893</v>
      </c>
      <c r="E24" s="422">
        <v>26.1948381854641</v>
      </c>
      <c r="F24" s="423">
        <f t="shared" si="2"/>
        <v>-0.40058124092516884</v>
      </c>
      <c r="G24" s="138"/>
      <c r="H24" s="26"/>
      <c r="I24" s="3"/>
      <c r="L24" s="518">
        <v>21</v>
      </c>
      <c r="M24" s="629">
        <v>28.39914212908057</v>
      </c>
      <c r="N24" s="629">
        <v>47.208427974155924</v>
      </c>
      <c r="O24" s="629">
        <v>20.747856957571798</v>
      </c>
    </row>
    <row r="25" spans="1:15" ht="11.25" customHeight="1">
      <c r="A25" s="138"/>
      <c r="C25" s="424" t="s">
        <v>158</v>
      </c>
      <c r="D25" s="425">
        <v>12.40274187057245</v>
      </c>
      <c r="E25" s="425">
        <v>13.161225749600282</v>
      </c>
      <c r="F25" s="426">
        <f t="shared" si="2"/>
        <v>-5.7630185323040116E-2</v>
      </c>
      <c r="G25" s="158"/>
      <c r="H25" s="25"/>
      <c r="I25" s="3"/>
      <c r="L25" s="518">
        <v>22</v>
      </c>
      <c r="M25" s="629">
        <v>19.016142710000004</v>
      </c>
      <c r="N25" s="629">
        <v>39.635571071428572</v>
      </c>
      <c r="O25" s="629">
        <v>28.597570964285715</v>
      </c>
    </row>
    <row r="26" spans="1:15" ht="11.25" customHeight="1">
      <c r="A26" s="175"/>
      <c r="C26" s="421" t="s">
        <v>150</v>
      </c>
      <c r="D26" s="422">
        <v>9.3383961185332058</v>
      </c>
      <c r="E26" s="422">
        <v>13.493029932821917</v>
      </c>
      <c r="F26" s="423">
        <f t="shared" si="2"/>
        <v>-0.30790962704251679</v>
      </c>
      <c r="G26" s="138"/>
      <c r="H26" s="23"/>
      <c r="I26" s="3"/>
      <c r="L26" s="518">
        <v>23</v>
      </c>
      <c r="M26" s="629">
        <v>16.323713982857143</v>
      </c>
      <c r="N26" s="629">
        <v>49.136857168571431</v>
      </c>
      <c r="O26" s="629">
        <v>19.104714530000003</v>
      </c>
    </row>
    <row r="27" spans="1:15" ht="11.25" customHeight="1">
      <c r="A27" s="138"/>
      <c r="C27" s="424" t="s">
        <v>151</v>
      </c>
      <c r="D27" s="425">
        <v>2.4195161519512012</v>
      </c>
      <c r="E27" s="425">
        <v>1.4138064576733469</v>
      </c>
      <c r="F27" s="426">
        <f t="shared" si="2"/>
        <v>0.71134891824791668</v>
      </c>
      <c r="G27" s="138"/>
      <c r="H27" s="23"/>
      <c r="I27" s="3"/>
      <c r="K27" s="518">
        <v>24</v>
      </c>
      <c r="L27" s="518">
        <v>24</v>
      </c>
      <c r="M27" s="629">
        <v>14.458999906267413</v>
      </c>
      <c r="N27" s="629">
        <v>34.150428227015844</v>
      </c>
      <c r="O27" s="629">
        <v>14.211285591125442</v>
      </c>
    </row>
    <row r="28" spans="1:15" ht="11.25" customHeight="1">
      <c r="A28" s="138"/>
      <c r="C28" s="421" t="s">
        <v>530</v>
      </c>
      <c r="D28" s="422">
        <v>0.13035483874620898</v>
      </c>
      <c r="E28" s="422">
        <v>0.13638709725872147</v>
      </c>
      <c r="F28" s="423">
        <f t="shared" si="2"/>
        <v>-4.4228952985702966E-2</v>
      </c>
      <c r="G28" s="138"/>
      <c r="H28" s="23"/>
      <c r="I28" s="3"/>
      <c r="L28" s="518">
        <v>25</v>
      </c>
      <c r="M28" s="629">
        <v>13.476999827142858</v>
      </c>
      <c r="N28" s="629">
        <v>32.288857598571425</v>
      </c>
      <c r="O28" s="629">
        <v>11.628714288571429</v>
      </c>
    </row>
    <row r="29" spans="1:15" ht="11.25" customHeight="1">
      <c r="A29" s="158"/>
      <c r="C29" s="424" t="s">
        <v>152</v>
      </c>
      <c r="D29" s="425">
        <v>0</v>
      </c>
      <c r="E29" s="425">
        <v>0</v>
      </c>
      <c r="F29" s="426" t="str">
        <f t="shared" si="2"/>
        <v/>
      </c>
      <c r="G29" s="176"/>
      <c r="H29" s="23"/>
      <c r="I29" s="3"/>
      <c r="L29" s="518">
        <v>26</v>
      </c>
      <c r="M29" s="629">
        <v>14.175142699999999</v>
      </c>
      <c r="N29" s="629">
        <v>29.45585686714286</v>
      </c>
      <c r="O29" s="629">
        <v>11.67571422</v>
      </c>
    </row>
    <row r="30" spans="1:15" ht="11.25" customHeight="1">
      <c r="A30" s="175"/>
      <c r="C30" s="421" t="s">
        <v>154</v>
      </c>
      <c r="D30" s="422">
        <v>3.7613941507954731</v>
      </c>
      <c r="E30" s="422">
        <v>4.1058835137274938</v>
      </c>
      <c r="F30" s="423">
        <f t="shared" si="2"/>
        <v>-8.3901397051393392E-2</v>
      </c>
      <c r="G30" s="138"/>
      <c r="H30" s="25"/>
      <c r="I30" s="3"/>
      <c r="L30" s="518">
        <v>27</v>
      </c>
      <c r="M30" s="629">
        <v>12.859571456909155</v>
      </c>
      <c r="N30" s="629">
        <v>27.986428669520745</v>
      </c>
      <c r="O30" s="629">
        <v>27.48885754176543</v>
      </c>
    </row>
    <row r="31" spans="1:15" ht="11.25" customHeight="1">
      <c r="A31" s="137"/>
      <c r="C31" s="762" t="s">
        <v>147</v>
      </c>
      <c r="D31" s="763">
        <v>7.524</v>
      </c>
      <c r="E31" s="763">
        <v>2.9658602150537599</v>
      </c>
      <c r="F31" s="764">
        <f t="shared" si="2"/>
        <v>1.5368693918245295</v>
      </c>
      <c r="G31" s="137"/>
      <c r="H31" s="25"/>
      <c r="I31" s="6"/>
      <c r="L31" s="518">
        <v>28</v>
      </c>
      <c r="M31" s="629">
        <v>11.472142902857144</v>
      </c>
      <c r="N31" s="629">
        <v>24.371857235714284</v>
      </c>
      <c r="O31" s="629">
        <v>32.395143782857147</v>
      </c>
    </row>
    <row r="32" spans="1:15" ht="10.199999999999999" customHeight="1">
      <c r="A32" s="137"/>
      <c r="B32" s="137"/>
      <c r="C32" s="264" t="str">
        <f>"Cuadro N°10: Promedio de caudales en "&amp;'1. Resumen'!Q4&amp;" 2023"</f>
        <v>Cuadro N°10: Promedio de caudales en julio 2023</v>
      </c>
      <c r="D32" s="137"/>
      <c r="E32" s="137"/>
      <c r="F32" s="137"/>
      <c r="G32" s="137"/>
      <c r="H32" s="25"/>
      <c r="I32" s="6"/>
      <c r="L32" s="518">
        <v>29</v>
      </c>
      <c r="M32" s="629">
        <v>11.32885715142857</v>
      </c>
      <c r="N32" s="629">
        <v>23.620857238571428</v>
      </c>
      <c r="O32" s="629">
        <v>14.974999971428572</v>
      </c>
    </row>
    <row r="33" spans="1:15" ht="10.199999999999999" customHeight="1">
      <c r="A33" s="137"/>
      <c r="B33" s="137"/>
      <c r="D33" s="137"/>
      <c r="E33" s="137"/>
      <c r="F33" s="137"/>
      <c r="G33" s="137"/>
      <c r="H33" s="25"/>
      <c r="I33" s="6"/>
      <c r="L33" s="518">
        <v>30</v>
      </c>
      <c r="M33" s="629">
        <v>11.152000155714285</v>
      </c>
      <c r="N33" s="629">
        <v>26.757428577142853</v>
      </c>
      <c r="O33" s="629">
        <v>14.12842846</v>
      </c>
    </row>
    <row r="34" spans="1:15" ht="4.95" customHeight="1">
      <c r="A34" s="137"/>
      <c r="B34" s="137"/>
      <c r="C34" s="137"/>
      <c r="D34" s="137"/>
      <c r="E34" s="137"/>
      <c r="F34" s="137"/>
      <c r="G34" s="137"/>
      <c r="H34" s="25"/>
      <c r="I34" s="6"/>
      <c r="L34" s="518">
        <v>31</v>
      </c>
      <c r="M34" s="629">
        <v>10.852571488571428</v>
      </c>
      <c r="N34" s="629">
        <v>26.481285638571428</v>
      </c>
      <c r="O34" s="629">
        <v>10.121857098285714</v>
      </c>
    </row>
    <row r="35" spans="1:15" ht="17.25" customHeight="1">
      <c r="A35" s="904" t="s">
        <v>365</v>
      </c>
      <c r="B35" s="904"/>
      <c r="C35" s="904"/>
      <c r="D35" s="904"/>
      <c r="E35" s="904"/>
      <c r="F35" s="904"/>
      <c r="G35" s="904"/>
      <c r="H35" s="25"/>
      <c r="I35" s="6"/>
      <c r="K35" s="518">
        <v>32</v>
      </c>
      <c r="L35" s="518">
        <v>32</v>
      </c>
      <c r="M35" s="629">
        <v>10.338285718645329</v>
      </c>
      <c r="N35" s="629">
        <v>25.506571633475126</v>
      </c>
      <c r="O35" s="629">
        <v>7.7241428239004906</v>
      </c>
    </row>
    <row r="36" spans="1:15" ht="11.25" customHeight="1">
      <c r="A36" s="137"/>
      <c r="B36" s="137"/>
      <c r="C36" s="137"/>
      <c r="D36" s="137"/>
      <c r="E36" s="137"/>
      <c r="F36" s="137"/>
      <c r="G36" s="137"/>
      <c r="H36" s="25"/>
      <c r="I36" s="6"/>
      <c r="L36" s="518">
        <v>33</v>
      </c>
      <c r="M36" s="629">
        <v>11.413999967142857</v>
      </c>
      <c r="N36" s="629">
        <v>31.441428594285707</v>
      </c>
      <c r="O36" s="629">
        <v>8.5772858349999996</v>
      </c>
    </row>
    <row r="37" spans="1:15" ht="11.25" customHeight="1">
      <c r="A37" s="136"/>
      <c r="B37" s="138"/>
      <c r="C37" s="138"/>
      <c r="D37" s="138"/>
      <c r="E37" s="138"/>
      <c r="F37" s="138"/>
      <c r="G37" s="138"/>
      <c r="H37" s="26"/>
      <c r="I37" s="6"/>
      <c r="L37" s="518">
        <v>34</v>
      </c>
      <c r="M37" s="629">
        <v>11.662143027142859</v>
      </c>
      <c r="N37" s="629">
        <v>33.365713935714282</v>
      </c>
      <c r="O37" s="629">
        <v>6.7090001108571427</v>
      </c>
    </row>
    <row r="38" spans="1:15" ht="11.25" customHeight="1">
      <c r="A38" s="74"/>
      <c r="B38" s="73"/>
      <c r="C38" s="73"/>
      <c r="D38" s="73"/>
      <c r="E38" s="73"/>
      <c r="F38" s="73"/>
      <c r="G38" s="73"/>
      <c r="H38" s="3"/>
      <c r="I38" s="6"/>
      <c r="L38" s="518">
        <v>35</v>
      </c>
      <c r="M38" s="629">
        <v>11.541428702218141</v>
      </c>
      <c r="N38" s="629">
        <v>29.068999699183816</v>
      </c>
      <c r="O38" s="629">
        <v>5.7295714105878517</v>
      </c>
    </row>
    <row r="39" spans="1:15" ht="11.25" customHeight="1">
      <c r="A39" s="74"/>
      <c r="B39" s="73"/>
      <c r="C39" s="73"/>
      <c r="D39" s="73"/>
      <c r="E39" s="73"/>
      <c r="F39" s="73"/>
      <c r="G39" s="73"/>
      <c r="H39" s="3"/>
      <c r="I39" s="10"/>
      <c r="L39" s="518">
        <v>36</v>
      </c>
      <c r="M39" s="629">
        <v>13.286857196262856</v>
      </c>
      <c r="N39" s="629">
        <v>26.005428859165701</v>
      </c>
      <c r="O39" s="629">
        <v>5.6865714618137853</v>
      </c>
    </row>
    <row r="40" spans="1:15" ht="11.25" customHeight="1">
      <c r="A40" s="74"/>
      <c r="B40" s="73"/>
      <c r="C40" s="73"/>
      <c r="D40" s="73"/>
      <c r="E40" s="73"/>
      <c r="F40" s="73"/>
      <c r="G40" s="73"/>
      <c r="H40" s="3"/>
      <c r="I40" s="10"/>
      <c r="L40" s="518">
        <v>37</v>
      </c>
      <c r="M40" s="629">
        <v>15.49071434565947</v>
      </c>
      <c r="N40" s="629">
        <v>25.021857125418485</v>
      </c>
      <c r="O40" s="629">
        <v>5.3568570954459016</v>
      </c>
    </row>
    <row r="41" spans="1:15" ht="11.25" customHeight="1">
      <c r="A41" s="74"/>
      <c r="B41" s="73"/>
      <c r="C41" s="73"/>
      <c r="D41" s="73"/>
      <c r="E41" s="73"/>
      <c r="F41" s="73"/>
      <c r="G41" s="73"/>
      <c r="H41" s="3"/>
      <c r="I41" s="7"/>
      <c r="L41" s="518">
        <v>38</v>
      </c>
      <c r="M41" s="629">
        <v>16.166143281119158</v>
      </c>
      <c r="N41" s="629">
        <v>27.854714257376486</v>
      </c>
      <c r="O41" s="629">
        <v>6.9268571308680906</v>
      </c>
    </row>
    <row r="42" spans="1:15" ht="11.25" customHeight="1">
      <c r="A42" s="74"/>
      <c r="B42" s="73"/>
      <c r="C42" s="73"/>
      <c r="D42" s="73"/>
      <c r="E42" s="73"/>
      <c r="F42" s="73"/>
      <c r="G42" s="73"/>
      <c r="H42" s="3"/>
      <c r="I42" s="7"/>
      <c r="L42" s="518">
        <v>39</v>
      </c>
      <c r="M42" s="629">
        <v>16.810999734285712</v>
      </c>
      <c r="N42" s="629">
        <v>27.986571175714282</v>
      </c>
      <c r="O42" s="629">
        <v>9.9768571861428565</v>
      </c>
    </row>
    <row r="43" spans="1:15" ht="11.25" customHeight="1">
      <c r="A43" s="74"/>
      <c r="B43" s="73"/>
      <c r="C43" s="73"/>
      <c r="D43" s="73"/>
      <c r="E43" s="73"/>
      <c r="F43" s="73"/>
      <c r="G43" s="73"/>
      <c r="H43" s="3"/>
      <c r="I43" s="7"/>
      <c r="K43" s="518">
        <v>40</v>
      </c>
      <c r="L43" s="518">
        <v>40</v>
      </c>
      <c r="M43" s="629">
        <v>14.579285758571428</v>
      </c>
      <c r="N43" s="629">
        <v>25.258999961428572</v>
      </c>
      <c r="O43" s="629">
        <v>7.1328571184285705</v>
      </c>
    </row>
    <row r="44" spans="1:15" ht="11.25" customHeight="1">
      <c r="A44" s="74"/>
      <c r="B44" s="73"/>
      <c r="C44" s="73"/>
      <c r="D44" s="73"/>
      <c r="E44" s="73"/>
      <c r="F44" s="73"/>
      <c r="G44" s="73"/>
      <c r="H44" s="6"/>
      <c r="I44" s="10"/>
      <c r="L44" s="518">
        <v>41</v>
      </c>
      <c r="M44" s="629">
        <v>13.048857279999998</v>
      </c>
      <c r="N44" s="629">
        <v>25.185571671428566</v>
      </c>
      <c r="O44" s="629">
        <v>4.9102856772857146</v>
      </c>
    </row>
    <row r="45" spans="1:15" ht="11.25" customHeight="1">
      <c r="A45" s="74"/>
      <c r="B45" s="73"/>
      <c r="C45" s="73"/>
      <c r="D45" s="73"/>
      <c r="E45" s="73"/>
      <c r="F45" s="73"/>
      <c r="G45" s="73"/>
      <c r="H45" s="3"/>
      <c r="I45" s="10"/>
      <c r="L45" s="518">
        <v>42</v>
      </c>
      <c r="M45" s="629">
        <v>14.871000289916955</v>
      </c>
      <c r="N45" s="629">
        <v>33.125999450683558</v>
      </c>
      <c r="O45" s="629">
        <v>6.3367142677306969</v>
      </c>
    </row>
    <row r="46" spans="1:15" ht="11.25" customHeight="1">
      <c r="A46" s="74"/>
      <c r="B46" s="73"/>
      <c r="C46" s="73"/>
      <c r="D46" s="73"/>
      <c r="E46" s="73"/>
      <c r="F46" s="73"/>
      <c r="G46" s="73"/>
      <c r="H46" s="3"/>
      <c r="I46" s="10"/>
      <c r="L46" s="518">
        <v>43</v>
      </c>
      <c r="M46" s="629">
        <v>21.991714477142857</v>
      </c>
      <c r="N46" s="629">
        <v>41.127143314285711</v>
      </c>
      <c r="O46" s="629">
        <v>11.867142950714285</v>
      </c>
    </row>
    <row r="47" spans="1:15" ht="11.25" customHeight="1">
      <c r="A47" s="74"/>
      <c r="B47" s="73"/>
      <c r="C47" s="73"/>
      <c r="D47" s="73"/>
      <c r="E47" s="73"/>
      <c r="F47" s="73"/>
      <c r="G47" s="73"/>
      <c r="H47" s="11"/>
      <c r="I47" s="11"/>
      <c r="L47" s="518">
        <v>44</v>
      </c>
      <c r="M47" s="629">
        <v>13.904857091428573</v>
      </c>
      <c r="N47" s="629">
        <v>33.038428169999996</v>
      </c>
      <c r="O47" s="629">
        <v>5.2337141718571427</v>
      </c>
    </row>
    <row r="48" spans="1:15" ht="11.25" customHeight="1">
      <c r="A48" s="74"/>
      <c r="B48" s="73"/>
      <c r="C48" s="73"/>
      <c r="D48" s="73"/>
      <c r="E48" s="73"/>
      <c r="F48" s="73"/>
      <c r="G48" s="73"/>
      <c r="H48" s="11"/>
      <c r="I48" s="11"/>
      <c r="L48" s="518">
        <v>45</v>
      </c>
      <c r="M48" s="629">
        <v>13.184428621428571</v>
      </c>
      <c r="N48" s="629">
        <v>40.115713391428571</v>
      </c>
      <c r="O48" s="629">
        <v>5.0682858059999996</v>
      </c>
    </row>
    <row r="49" spans="1:15" ht="11.25" customHeight="1">
      <c r="A49" s="74"/>
      <c r="B49" s="73"/>
      <c r="C49" s="73"/>
      <c r="D49" s="73"/>
      <c r="E49" s="73"/>
      <c r="F49" s="73"/>
      <c r="G49" s="73"/>
      <c r="H49" s="11"/>
      <c r="I49" s="11"/>
      <c r="L49" s="518">
        <v>46</v>
      </c>
      <c r="M49" s="629">
        <v>13.14228561857143</v>
      </c>
      <c r="N49" s="629">
        <v>43.881571090000001</v>
      </c>
      <c r="O49" s="629">
        <v>4.7745714188571426</v>
      </c>
    </row>
    <row r="50" spans="1:15" ht="11.25" customHeight="1">
      <c r="A50" s="74"/>
      <c r="B50" s="73"/>
      <c r="C50" s="73"/>
      <c r="D50" s="73"/>
      <c r="E50" s="73"/>
      <c r="F50" s="73"/>
      <c r="G50" s="73"/>
      <c r="H50" s="11"/>
      <c r="I50" s="11"/>
      <c r="L50" s="518">
        <v>47</v>
      </c>
      <c r="M50" s="629">
        <v>15.124714305714289</v>
      </c>
      <c r="N50" s="629">
        <v>42.811571392857147</v>
      </c>
      <c r="O50" s="629">
        <v>5.635714394571429</v>
      </c>
    </row>
    <row r="51" spans="1:15" ht="11.25" customHeight="1">
      <c r="A51" s="74"/>
      <c r="B51" s="73"/>
      <c r="C51" s="73"/>
      <c r="D51" s="73"/>
      <c r="E51" s="73"/>
      <c r="F51" s="73"/>
      <c r="G51" s="73"/>
      <c r="H51" s="11"/>
      <c r="I51" s="11"/>
      <c r="L51" s="518">
        <v>48</v>
      </c>
      <c r="M51" s="629">
        <v>27.692142758571432</v>
      </c>
      <c r="N51" s="629">
        <v>66.262570518571422</v>
      </c>
      <c r="O51" s="629">
        <v>27.02714340957143</v>
      </c>
    </row>
    <row r="52" spans="1:15" ht="11.25" customHeight="1">
      <c r="A52" s="74"/>
      <c r="B52" s="73"/>
      <c r="C52" s="73"/>
      <c r="D52" s="73"/>
      <c r="E52" s="73"/>
      <c r="F52" s="73"/>
      <c r="G52" s="73"/>
      <c r="H52" s="11"/>
      <c r="I52" s="11"/>
      <c r="L52" s="518">
        <v>49</v>
      </c>
      <c r="M52" s="629">
        <v>64.694000790000004</v>
      </c>
      <c r="N52" s="629">
        <v>122.24228668571428</v>
      </c>
      <c r="O52" s="629">
        <v>80.020142697142845</v>
      </c>
    </row>
    <row r="53" spans="1:15" ht="11.25" customHeight="1">
      <c r="A53" s="74"/>
      <c r="B53" s="73"/>
      <c r="C53" s="73"/>
      <c r="D53" s="73"/>
      <c r="E53" s="73"/>
      <c r="F53" s="73"/>
      <c r="G53" s="73"/>
      <c r="H53" s="11"/>
      <c r="I53" s="11"/>
      <c r="L53" s="518">
        <v>50</v>
      </c>
      <c r="M53" s="629">
        <v>43.356857299999994</v>
      </c>
      <c r="N53" s="629">
        <v>78.250285555714285</v>
      </c>
      <c r="O53" s="629">
        <v>98.373141695714281</v>
      </c>
    </row>
    <row r="54" spans="1:15" ht="11.25" customHeight="1">
      <c r="A54" s="74"/>
      <c r="B54" s="73"/>
      <c r="C54" s="73"/>
      <c r="D54" s="73"/>
      <c r="E54" s="73"/>
      <c r="F54" s="73"/>
      <c r="G54" s="73"/>
      <c r="H54" s="11"/>
      <c r="I54" s="11"/>
      <c r="L54" s="518">
        <v>51</v>
      </c>
      <c r="M54" s="629">
        <v>66.695286888571431</v>
      </c>
      <c r="N54" s="629">
        <v>123.13128661428571</v>
      </c>
      <c r="O54" s="629">
        <v>141.80585590000001</v>
      </c>
    </row>
    <row r="55" spans="1:15" ht="13.2">
      <c r="A55" s="74"/>
      <c r="B55" s="73"/>
      <c r="C55" s="73"/>
      <c r="D55" s="73"/>
      <c r="E55" s="73"/>
      <c r="F55" s="73"/>
      <c r="G55" s="73"/>
      <c r="H55" s="11"/>
      <c r="I55" s="11"/>
      <c r="K55" s="518">
        <v>52</v>
      </c>
      <c r="L55" s="518">
        <v>52</v>
      </c>
      <c r="M55" s="629">
        <v>79.132000515714282</v>
      </c>
      <c r="N55" s="629">
        <v>151.04400198571429</v>
      </c>
      <c r="O55" s="629">
        <v>62.055856431428573</v>
      </c>
    </row>
    <row r="56" spans="1:15" ht="13.2">
      <c r="A56" s="74"/>
      <c r="B56" s="73"/>
      <c r="C56" s="73"/>
      <c r="D56" s="73"/>
      <c r="E56" s="73"/>
      <c r="F56" s="73"/>
      <c r="G56" s="73"/>
      <c r="H56" s="11"/>
      <c r="I56" s="11"/>
      <c r="J56" s="276">
        <v>2021</v>
      </c>
      <c r="L56" s="518">
        <v>1</v>
      </c>
      <c r="M56" s="629">
        <v>93.616000575714295</v>
      </c>
      <c r="N56" s="629">
        <v>194.93985855714286</v>
      </c>
      <c r="O56" s="629">
        <v>38.49128532428572</v>
      </c>
    </row>
    <row r="57" spans="1:15" ht="13.2">
      <c r="A57" s="74"/>
      <c r="B57" s="73"/>
      <c r="C57" s="73"/>
      <c r="D57" s="73"/>
      <c r="E57" s="73"/>
      <c r="F57" s="73"/>
      <c r="G57" s="73"/>
      <c r="H57" s="11"/>
      <c r="I57" s="11"/>
      <c r="L57" s="518">
        <v>2</v>
      </c>
      <c r="M57" s="629">
        <v>109.19371577142856</v>
      </c>
      <c r="N57" s="629">
        <v>191.56657192857145</v>
      </c>
      <c r="O57" s="629">
        <v>52.185428618571436</v>
      </c>
    </row>
    <row r="58" spans="1:15" ht="13.2">
      <c r="A58" s="74"/>
      <c r="B58" s="73"/>
      <c r="C58" s="73"/>
      <c r="D58" s="73"/>
      <c r="E58" s="73"/>
      <c r="F58" s="73"/>
      <c r="G58" s="73"/>
      <c r="H58" s="11"/>
      <c r="I58" s="11"/>
      <c r="L58" s="518">
        <v>3</v>
      </c>
      <c r="M58" s="629">
        <v>111.32100131428571</v>
      </c>
      <c r="N58" s="629">
        <v>253.28128705714289</v>
      </c>
      <c r="O58" s="629">
        <v>72.971142360000002</v>
      </c>
    </row>
    <row r="59" spans="1:15" ht="13.2">
      <c r="A59" s="74"/>
      <c r="B59" s="73"/>
      <c r="C59" s="73"/>
      <c r="D59" s="73"/>
      <c r="E59" s="73"/>
      <c r="F59" s="73"/>
      <c r="G59" s="73"/>
      <c r="H59" s="11"/>
      <c r="I59" s="11"/>
      <c r="L59" s="518">
        <v>4</v>
      </c>
      <c r="M59" s="629">
        <v>111.11885721428568</v>
      </c>
      <c r="N59" s="629">
        <v>244.7925720428571</v>
      </c>
      <c r="O59" s="629">
        <v>82.663999837142867</v>
      </c>
    </row>
    <row r="60" spans="1:15" ht="13.2">
      <c r="A60" s="74"/>
      <c r="B60" s="73"/>
      <c r="C60" s="73"/>
      <c r="D60" s="73"/>
      <c r="E60" s="73"/>
      <c r="F60" s="73"/>
      <c r="G60" s="73"/>
      <c r="H60" s="11"/>
      <c r="I60" s="11"/>
      <c r="L60" s="518">
        <v>5</v>
      </c>
      <c r="M60" s="629">
        <v>108.66071318571429</v>
      </c>
      <c r="N60" s="629">
        <v>220.6247188142857</v>
      </c>
      <c r="O60" s="629">
        <v>54.198429654285711</v>
      </c>
    </row>
    <row r="61" spans="1:15" ht="13.2">
      <c r="A61" s="264" t="s">
        <v>549</v>
      </c>
      <c r="B61" s="73"/>
      <c r="C61" s="73"/>
      <c r="D61" s="73"/>
      <c r="E61" s="73"/>
      <c r="F61" s="73"/>
      <c r="G61" s="73"/>
      <c r="H61" s="11"/>
      <c r="I61" s="11"/>
      <c r="L61" s="518">
        <v>6</v>
      </c>
      <c r="M61" s="629">
        <v>90.469143462857147</v>
      </c>
      <c r="N61" s="629">
        <v>163.06042698571429</v>
      </c>
      <c r="O61" s="629">
        <v>42.827428274285715</v>
      </c>
    </row>
    <row r="62" spans="1:15">
      <c r="L62" s="518">
        <v>7</v>
      </c>
      <c r="M62" s="629">
        <v>58.4</v>
      </c>
      <c r="N62" s="629">
        <v>104.39303571428574</v>
      </c>
      <c r="O62" s="629">
        <v>28.153690476190491</v>
      </c>
    </row>
    <row r="63" spans="1:15" ht="9" customHeight="1">
      <c r="L63" s="518">
        <v>8</v>
      </c>
      <c r="M63" s="629">
        <v>45.103515238095234</v>
      </c>
      <c r="N63" s="629">
        <v>61.820178571428535</v>
      </c>
      <c r="O63" s="629">
        <v>19.304999999999993</v>
      </c>
    </row>
    <row r="64" spans="1:15">
      <c r="L64" s="518">
        <v>9</v>
      </c>
      <c r="M64" s="629">
        <v>56.496856689453068</v>
      </c>
      <c r="N64" s="629">
        <v>85.507331848144418</v>
      </c>
      <c r="O64" s="629">
        <v>82.847664833068805</v>
      </c>
    </row>
    <row r="65" spans="11:15">
      <c r="L65" s="518">
        <v>10</v>
      </c>
      <c r="M65" s="629">
        <v>90.554714198571432</v>
      </c>
      <c r="N65" s="629">
        <v>173.29428537142854</v>
      </c>
      <c r="O65" s="629">
        <v>214.06428527142856</v>
      </c>
    </row>
    <row r="66" spans="11:15">
      <c r="L66" s="518">
        <v>11</v>
      </c>
      <c r="M66" s="629">
        <v>98.085857941428586</v>
      </c>
      <c r="N66" s="629">
        <v>159.83856852857141</v>
      </c>
      <c r="O66" s="629">
        <v>132.61828504285714</v>
      </c>
    </row>
    <row r="67" spans="11:15">
      <c r="L67" s="518">
        <v>12</v>
      </c>
      <c r="M67" s="629">
        <v>87.426713118571428</v>
      </c>
      <c r="N67" s="629">
        <v>160.54285757142858</v>
      </c>
      <c r="O67" s="629">
        <v>87.668715342857141</v>
      </c>
    </row>
    <row r="68" spans="11:15">
      <c r="K68" s="518">
        <v>13</v>
      </c>
      <c r="L68" s="518">
        <v>13</v>
      </c>
      <c r="M68" s="629">
        <v>85.733285082857151</v>
      </c>
      <c r="N68" s="629">
        <v>171.07471574285714</v>
      </c>
      <c r="O68" s="629">
        <v>94.954141882857144</v>
      </c>
    </row>
    <row r="69" spans="11:15">
      <c r="L69" s="518">
        <v>14</v>
      </c>
      <c r="M69" s="629">
        <v>98.095142921428561</v>
      </c>
      <c r="N69" s="629">
        <v>185.56500027142857</v>
      </c>
      <c r="O69" s="629">
        <v>151.11671445714288</v>
      </c>
    </row>
    <row r="70" spans="11:15">
      <c r="L70" s="518">
        <v>15</v>
      </c>
      <c r="M70" s="629">
        <v>83.773572649999991</v>
      </c>
      <c r="N70" s="629">
        <v>151.56014580000002</v>
      </c>
      <c r="O70" s="629">
        <v>111.99457114285714</v>
      </c>
    </row>
    <row r="71" spans="11:15">
      <c r="L71" s="518">
        <v>16</v>
      </c>
      <c r="M71" s="629">
        <v>56.958000185714283</v>
      </c>
      <c r="N71" s="629">
        <v>109.84099905714285</v>
      </c>
      <c r="O71" s="629">
        <v>90.672572548571438</v>
      </c>
    </row>
    <row r="72" spans="11:15">
      <c r="L72" s="518">
        <v>17</v>
      </c>
      <c r="M72" s="629">
        <v>48.746000017142855</v>
      </c>
      <c r="N72" s="629">
        <v>85.840285168571427</v>
      </c>
      <c r="O72" s="629">
        <v>75.281570977142863</v>
      </c>
    </row>
    <row r="73" spans="11:15">
      <c r="L73" s="518">
        <v>18</v>
      </c>
      <c r="M73" s="629">
        <v>40.494427817142864</v>
      </c>
      <c r="N73" s="629">
        <v>69.64942932142857</v>
      </c>
      <c r="O73" s="629">
        <v>93.952999661428592</v>
      </c>
    </row>
    <row r="74" spans="11:15">
      <c r="L74" s="518">
        <v>19</v>
      </c>
      <c r="M74" s="629">
        <v>35.466286249999996</v>
      </c>
      <c r="N74" s="629">
        <v>58.010286058571431</v>
      </c>
      <c r="O74" s="629">
        <v>72.684429168571427</v>
      </c>
    </row>
    <row r="75" spans="11:15">
      <c r="L75" s="518">
        <v>20</v>
      </c>
      <c r="M75" s="629">
        <v>28.18171392</v>
      </c>
      <c r="N75" s="629">
        <v>51.498000008571424</v>
      </c>
      <c r="O75" s="629">
        <v>98.886571605714281</v>
      </c>
    </row>
    <row r="76" spans="11:15">
      <c r="L76" s="518">
        <v>21</v>
      </c>
      <c r="M76" s="629">
        <v>26.549999781428571</v>
      </c>
      <c r="N76" s="629">
        <v>49.923428127142856</v>
      </c>
      <c r="O76" s="629">
        <v>58.580000197142859</v>
      </c>
    </row>
    <row r="77" spans="11:15">
      <c r="L77" s="518">
        <v>22</v>
      </c>
      <c r="M77" s="629">
        <v>21.825286048571424</v>
      </c>
      <c r="N77" s="629">
        <v>43.104427882857138</v>
      </c>
      <c r="O77" s="629">
        <v>38.582285198571427</v>
      </c>
    </row>
    <row r="78" spans="11:15">
      <c r="L78" s="518">
        <v>23</v>
      </c>
      <c r="M78" s="629">
        <v>20.536714282857144</v>
      </c>
      <c r="N78" s="629">
        <v>39.534857068571434</v>
      </c>
      <c r="O78" s="629">
        <v>58.388999669999997</v>
      </c>
    </row>
    <row r="79" spans="11:15">
      <c r="L79" s="518">
        <v>24</v>
      </c>
      <c r="M79" s="629">
        <v>18.521000181428573</v>
      </c>
      <c r="N79" s="629">
        <v>36.393142699999999</v>
      </c>
      <c r="O79" s="629">
        <v>52.608856201428573</v>
      </c>
    </row>
    <row r="80" spans="11:15">
      <c r="L80" s="518">
        <v>25</v>
      </c>
      <c r="M80" s="629">
        <v>17.337857111428569</v>
      </c>
      <c r="N80" s="629">
        <v>33.557857241428572</v>
      </c>
      <c r="O80" s="629">
        <v>30.324857167142856</v>
      </c>
    </row>
    <row r="81" spans="11:15">
      <c r="K81" s="518">
        <v>26</v>
      </c>
      <c r="L81" s="518">
        <v>26</v>
      </c>
      <c r="M81" s="629">
        <v>16.257714270000001</v>
      </c>
      <c r="N81" s="629">
        <v>29.931428365714286</v>
      </c>
      <c r="O81" s="629">
        <v>42.18199975142857</v>
      </c>
    </row>
    <row r="82" spans="11:15">
      <c r="L82" s="518">
        <v>27</v>
      </c>
      <c r="M82" s="629">
        <v>15.06657137</v>
      </c>
      <c r="N82" s="629">
        <v>26.386999947142861</v>
      </c>
      <c r="O82" s="629">
        <v>23.356142859999999</v>
      </c>
    </row>
    <row r="83" spans="11:15">
      <c r="L83" s="518">
        <v>28</v>
      </c>
      <c r="M83" s="629">
        <v>14.248142924285716</v>
      </c>
      <c r="N83" s="629">
        <v>26.172000340000004</v>
      </c>
      <c r="O83" s="629">
        <v>19.029285704285716</v>
      </c>
    </row>
    <row r="84" spans="11:15">
      <c r="L84" s="518">
        <v>29</v>
      </c>
      <c r="M84" s="629">
        <v>13.477857045714286</v>
      </c>
      <c r="N84" s="629">
        <v>25.836714065714286</v>
      </c>
      <c r="O84" s="629">
        <v>17.854285240000003</v>
      </c>
    </row>
    <row r="85" spans="11:15">
      <c r="L85" s="518">
        <v>30</v>
      </c>
      <c r="M85" s="629">
        <v>12.691000122857146</v>
      </c>
      <c r="N85" s="629">
        <v>25.251428605714288</v>
      </c>
      <c r="O85" s="629">
        <v>12.897285600000002</v>
      </c>
    </row>
    <row r="86" spans="11:15">
      <c r="L86" s="518">
        <v>31</v>
      </c>
      <c r="M86" s="629">
        <v>13.016714095714283</v>
      </c>
      <c r="N86" s="629">
        <v>27.221714565714283</v>
      </c>
      <c r="O86" s="629">
        <v>10.959428514999999</v>
      </c>
    </row>
    <row r="87" spans="11:15">
      <c r="L87" s="518">
        <v>32</v>
      </c>
      <c r="M87" s="629">
        <v>11.867571422857141</v>
      </c>
      <c r="N87" s="629">
        <v>26.08357157</v>
      </c>
      <c r="O87" s="629">
        <v>9.4098570685714282</v>
      </c>
    </row>
    <row r="88" spans="11:15">
      <c r="L88" s="518">
        <v>33</v>
      </c>
      <c r="M88" s="629">
        <v>11.566857065714288</v>
      </c>
      <c r="N88" s="629">
        <v>25.724999837142857</v>
      </c>
      <c r="O88" s="629">
        <v>11.666285786000001</v>
      </c>
    </row>
    <row r="89" spans="11:15">
      <c r="L89" s="518">
        <v>34</v>
      </c>
      <c r="M89" s="629">
        <v>13.598856790000001</v>
      </c>
      <c r="N89" s="629">
        <v>26.040285657142856</v>
      </c>
      <c r="O89" s="629">
        <v>14.739857265714283</v>
      </c>
    </row>
    <row r="90" spans="11:15">
      <c r="L90" s="518">
        <v>35</v>
      </c>
      <c r="M90" s="629">
        <v>18.389285224285715</v>
      </c>
      <c r="N90" s="629">
        <v>26.61128562</v>
      </c>
      <c r="O90" s="629">
        <v>23.257428305714285</v>
      </c>
    </row>
    <row r="91" spans="11:15">
      <c r="L91" s="518">
        <v>36</v>
      </c>
      <c r="M91" s="629">
        <v>17.729570935714285</v>
      </c>
      <c r="N91" s="629">
        <v>31.371142795714288</v>
      </c>
      <c r="O91" s="629">
        <v>24.894000052857141</v>
      </c>
    </row>
    <row r="92" spans="11:15">
      <c r="L92" s="518">
        <v>37</v>
      </c>
      <c r="M92" s="629">
        <v>17.365428380000001</v>
      </c>
      <c r="N92" s="629">
        <v>34.193142751428567</v>
      </c>
      <c r="O92" s="629">
        <v>23.149857660000002</v>
      </c>
    </row>
    <row r="93" spans="11:15">
      <c r="L93" s="518">
        <v>38</v>
      </c>
      <c r="M93" s="629">
        <v>17.876142775714285</v>
      </c>
      <c r="N93" s="629">
        <v>24.62042835714286</v>
      </c>
      <c r="O93" s="629">
        <v>13.527142932857144</v>
      </c>
    </row>
    <row r="94" spans="11:15">
      <c r="L94" s="518">
        <v>39</v>
      </c>
      <c r="M94" s="629">
        <v>17.151999882857144</v>
      </c>
      <c r="N94" s="629">
        <v>21.341285980000002</v>
      </c>
      <c r="O94" s="629">
        <v>10.351999963428572</v>
      </c>
    </row>
    <row r="95" spans="11:15">
      <c r="L95" s="518">
        <v>40</v>
      </c>
      <c r="M95" s="629">
        <v>24.65814318</v>
      </c>
      <c r="N95" s="629">
        <v>39.983428410000002</v>
      </c>
      <c r="O95" s="629">
        <v>63.700570922857146</v>
      </c>
    </row>
    <row r="96" spans="11:15">
      <c r="L96" s="518">
        <v>41</v>
      </c>
      <c r="M96" s="629">
        <v>24.683571132857143</v>
      </c>
      <c r="N96" s="629">
        <v>51.178142545714287</v>
      </c>
      <c r="O96" s="629">
        <v>63.922285895714289</v>
      </c>
    </row>
    <row r="97" spans="10:15">
      <c r="L97" s="518">
        <v>42</v>
      </c>
      <c r="M97" s="629">
        <v>30.132285525714284</v>
      </c>
      <c r="N97" s="629">
        <v>58.491857255714294</v>
      </c>
      <c r="O97" s="629">
        <v>72.515429361428573</v>
      </c>
    </row>
    <row r="98" spans="10:15">
      <c r="L98" s="518">
        <v>43</v>
      </c>
      <c r="M98" s="629">
        <v>21.635857172857147</v>
      </c>
      <c r="N98" s="629">
        <v>49.28842871714285</v>
      </c>
      <c r="O98" s="629">
        <v>61.990286690000005</v>
      </c>
    </row>
    <row r="99" spans="10:15">
      <c r="K99" s="518">
        <v>44</v>
      </c>
      <c r="L99" s="518">
        <v>44</v>
      </c>
      <c r="M99" s="629">
        <v>18.680143085714285</v>
      </c>
      <c r="N99" s="629">
        <v>50.456999099999997</v>
      </c>
      <c r="O99" s="629">
        <v>58.057570867142864</v>
      </c>
    </row>
    <row r="100" spans="10:15">
      <c r="L100" s="518">
        <v>45</v>
      </c>
      <c r="M100" s="629">
        <v>19.11199978285714</v>
      </c>
      <c r="N100" s="629">
        <v>55.461713520000004</v>
      </c>
      <c r="O100" s="629">
        <v>51.101286207142849</v>
      </c>
    </row>
    <row r="101" spans="10:15">
      <c r="L101" s="518">
        <v>46</v>
      </c>
      <c r="M101" s="629">
        <v>17.194857187142855</v>
      </c>
      <c r="N101" s="629">
        <v>52.329856329999991</v>
      </c>
      <c r="O101" s="629">
        <v>29.017713818571433</v>
      </c>
    </row>
    <row r="102" spans="10:15">
      <c r="L102" s="518">
        <v>47</v>
      </c>
      <c r="M102" s="629">
        <v>18.301142828571432</v>
      </c>
      <c r="N102" s="629">
        <v>73.723714555714295</v>
      </c>
      <c r="O102" s="629">
        <v>26.885714667142853</v>
      </c>
    </row>
    <row r="103" spans="10:15">
      <c r="L103" s="518">
        <v>48</v>
      </c>
      <c r="M103" s="629">
        <v>48.1</v>
      </c>
      <c r="N103" s="629">
        <v>112.8014285714287</v>
      </c>
      <c r="O103" s="629">
        <v>24.753715515714301</v>
      </c>
    </row>
    <row r="104" spans="10:15">
      <c r="L104" s="518">
        <v>49</v>
      </c>
      <c r="M104" s="629">
        <v>72.532000404285711</v>
      </c>
      <c r="N104" s="629">
        <v>251.49200183333332</v>
      </c>
      <c r="O104" s="629">
        <v>44.843001048333328</v>
      </c>
    </row>
    <row r="105" spans="10:15">
      <c r="L105" s="518">
        <v>50</v>
      </c>
      <c r="M105" s="629">
        <v>52.053428651428568</v>
      </c>
      <c r="N105" s="629">
        <v>142.42614309857143</v>
      </c>
      <c r="O105" s="629">
        <v>60.681712559999994</v>
      </c>
    </row>
    <row r="106" spans="10:15">
      <c r="L106" s="518">
        <v>51</v>
      </c>
      <c r="M106" s="629">
        <v>30.144714355714289</v>
      </c>
      <c r="N106" s="629">
        <v>77.181571959999999</v>
      </c>
      <c r="O106" s="629">
        <v>114.8148585642857</v>
      </c>
    </row>
    <row r="107" spans="10:15">
      <c r="K107" s="518">
        <v>52</v>
      </c>
      <c r="L107" s="518">
        <v>52</v>
      </c>
      <c r="M107" s="629">
        <v>24.471428735714284</v>
      </c>
      <c r="N107" s="629">
        <v>62.12314333285714</v>
      </c>
      <c r="O107" s="629">
        <v>50.073429108571432</v>
      </c>
    </row>
    <row r="108" spans="10:15">
      <c r="J108" s="276">
        <v>2022</v>
      </c>
      <c r="L108" s="518">
        <v>1</v>
      </c>
      <c r="M108" s="629">
        <v>27.003000530000001</v>
      </c>
      <c r="N108" s="629">
        <v>71.095855168571433</v>
      </c>
      <c r="O108" s="629">
        <v>42.987713951428574</v>
      </c>
    </row>
    <row r="109" spans="10:15">
      <c r="L109" s="518">
        <v>2</v>
      </c>
      <c r="M109" s="629">
        <v>21.311000005714284</v>
      </c>
      <c r="N109" s="629">
        <v>56.996714454285716</v>
      </c>
      <c r="O109" s="629">
        <v>27.815714701428572</v>
      </c>
    </row>
    <row r="110" spans="10:15">
      <c r="L110" s="518">
        <v>3</v>
      </c>
      <c r="M110" s="629">
        <v>18.403857367142855</v>
      </c>
      <c r="N110" s="629">
        <v>56.568285805714289</v>
      </c>
      <c r="O110" s="629">
        <v>25.573857171428568</v>
      </c>
    </row>
    <row r="111" spans="10:15">
      <c r="L111" s="518">
        <v>4</v>
      </c>
      <c r="M111" s="629">
        <v>39.156999861428574</v>
      </c>
      <c r="N111" s="629">
        <v>96.856569555714273</v>
      </c>
      <c r="O111" s="629">
        <v>46.27</v>
      </c>
    </row>
    <row r="112" spans="10:15">
      <c r="L112" s="518">
        <v>5</v>
      </c>
      <c r="M112" s="629">
        <v>43.204429082857139</v>
      </c>
      <c r="N112" s="629">
        <v>81.592857355714287</v>
      </c>
      <c r="O112" s="629">
        <v>30.758285522857143</v>
      </c>
    </row>
    <row r="113" spans="11:15">
      <c r="K113" s="518">
        <v>6</v>
      </c>
      <c r="L113" s="518">
        <v>6</v>
      </c>
      <c r="M113" s="629">
        <v>79.27385765999999</v>
      </c>
      <c r="N113" s="629">
        <v>136.49742887285714</v>
      </c>
      <c r="O113" s="629">
        <v>66.892999371428573</v>
      </c>
    </row>
    <row r="114" spans="11:15">
      <c r="L114" s="518">
        <v>7</v>
      </c>
      <c r="M114" s="629">
        <v>82.487914902714195</v>
      </c>
      <c r="N114" s="629">
        <v>140.91017132499999</v>
      </c>
      <c r="O114" s="629">
        <v>69.485213547142905</v>
      </c>
    </row>
    <row r="115" spans="11:15">
      <c r="L115" s="518">
        <v>8</v>
      </c>
      <c r="M115" s="629">
        <v>69.997998918805749</v>
      </c>
      <c r="N115" s="629">
        <v>136.49742889404237</v>
      </c>
      <c r="O115" s="629">
        <v>66.892999376569193</v>
      </c>
    </row>
    <row r="116" spans="11:15">
      <c r="L116" s="518">
        <v>9</v>
      </c>
      <c r="M116" s="629">
        <v>88.40642874285713</v>
      </c>
      <c r="N116" s="629">
        <v>201.53699821428572</v>
      </c>
      <c r="O116" s="629">
        <v>202.43557085714284</v>
      </c>
    </row>
    <row r="117" spans="11:15">
      <c r="L117" s="518">
        <v>10</v>
      </c>
      <c r="M117" s="629">
        <v>97.012568035088606</v>
      </c>
      <c r="N117" s="629">
        <v>203.423558556426</v>
      </c>
      <c r="O117" s="629">
        <v>221.61685711214301</v>
      </c>
    </row>
    <row r="118" spans="11:15">
      <c r="L118" s="518">
        <v>11</v>
      </c>
      <c r="M118" s="629">
        <v>119.25400107247444</v>
      </c>
      <c r="N118" s="629">
        <v>322.04871477399513</v>
      </c>
      <c r="O118" s="629">
        <v>75.359285627092575</v>
      </c>
    </row>
    <row r="119" spans="11:15">
      <c r="L119" s="518">
        <v>12</v>
      </c>
      <c r="M119" s="629">
        <v>87.219570704868829</v>
      </c>
      <c r="N119" s="629">
        <v>190.45399911063015</v>
      </c>
      <c r="O119" s="629">
        <v>126.76628439766976</v>
      </c>
    </row>
    <row r="120" spans="11:15">
      <c r="L120" s="518">
        <v>13</v>
      </c>
      <c r="M120" s="629">
        <v>94.784285714285701</v>
      </c>
      <c r="N120" s="629">
        <v>246.19428571428574</v>
      </c>
      <c r="O120" s="629">
        <v>182.03142857142853</v>
      </c>
    </row>
    <row r="121" spans="11:15">
      <c r="L121" s="518">
        <v>14</v>
      </c>
      <c r="M121" s="629">
        <v>107.18971470424081</v>
      </c>
      <c r="N121" s="629">
        <v>299.53485761369933</v>
      </c>
      <c r="O121" s="629">
        <v>126.58499799455872</v>
      </c>
    </row>
    <row r="122" spans="11:15">
      <c r="L122" s="518">
        <v>15</v>
      </c>
      <c r="M122" s="629">
        <v>81.303429194285712</v>
      </c>
      <c r="N122" s="629">
        <v>161.58600069999997</v>
      </c>
      <c r="O122" s="629">
        <v>108.36571609857143</v>
      </c>
    </row>
    <row r="123" spans="11:15">
      <c r="L123" s="518">
        <v>16</v>
      </c>
      <c r="M123" s="629">
        <v>57.173570905412909</v>
      </c>
      <c r="N123" s="629">
        <v>100.25114222935244</v>
      </c>
      <c r="O123" s="629">
        <v>80.749999999999957</v>
      </c>
    </row>
    <row r="124" spans="11:15">
      <c r="L124" s="518">
        <v>17</v>
      </c>
      <c r="M124" s="629">
        <v>56.173570905412902</v>
      </c>
      <c r="N124" s="629">
        <v>98.251142229351998</v>
      </c>
      <c r="O124" s="629">
        <v>74.78</v>
      </c>
    </row>
    <row r="125" spans="11:15">
      <c r="K125" s="518">
        <v>18</v>
      </c>
      <c r="L125" s="518">
        <v>18</v>
      </c>
      <c r="M125" s="629">
        <v>32.715714285714284</v>
      </c>
      <c r="N125" s="629">
        <v>58.212857142857146</v>
      </c>
      <c r="O125" s="629">
        <v>55.015714285714289</v>
      </c>
    </row>
    <row r="126" spans="11:15">
      <c r="L126" s="518">
        <v>19</v>
      </c>
      <c r="M126" s="629">
        <v>28.384857177734325</v>
      </c>
      <c r="N126" s="629">
        <v>54.184856959751606</v>
      </c>
      <c r="O126" s="629">
        <v>63.114713941301552</v>
      </c>
    </row>
    <row r="127" spans="11:15">
      <c r="L127" s="518">
        <v>20</v>
      </c>
      <c r="M127" s="629">
        <v>29.131428854806028</v>
      </c>
      <c r="N127" s="629">
        <v>62.818143027169334</v>
      </c>
      <c r="O127" s="629">
        <v>74.948570251464801</v>
      </c>
    </row>
    <row r="128" spans="11:15">
      <c r="L128" s="518">
        <v>21</v>
      </c>
      <c r="M128" s="629">
        <v>24.248714174543085</v>
      </c>
      <c r="N128" s="629">
        <v>55.007428305489626</v>
      </c>
      <c r="O128" s="629">
        <v>40.69300024850024</v>
      </c>
    </row>
    <row r="129" spans="11:15">
      <c r="L129" s="518">
        <v>22</v>
      </c>
      <c r="M129" s="629">
        <v>20.351571764285715</v>
      </c>
      <c r="N129" s="629">
        <v>46.462857382857138</v>
      </c>
      <c r="O129" s="629">
        <v>34.15499986857143</v>
      </c>
    </row>
    <row r="130" spans="11:15">
      <c r="L130" s="518">
        <v>23</v>
      </c>
      <c r="M130" s="629">
        <v>18.67642865862161</v>
      </c>
      <c r="N130" s="629">
        <v>44.122500737508098</v>
      </c>
      <c r="O130" s="629">
        <v>38.822832743326785</v>
      </c>
    </row>
    <row r="131" spans="11:15">
      <c r="L131" s="518">
        <v>24</v>
      </c>
      <c r="M131" s="629">
        <v>17.118428638571427</v>
      </c>
      <c r="N131" s="629">
        <v>40.649428780000001</v>
      </c>
      <c r="O131" s="629">
        <v>43.344285420000006</v>
      </c>
    </row>
    <row r="132" spans="11:15">
      <c r="L132" s="518">
        <v>25</v>
      </c>
      <c r="M132" s="629">
        <v>15.889428547142858</v>
      </c>
      <c r="N132" s="629">
        <v>36.63071441571428</v>
      </c>
      <c r="O132" s="629">
        <v>27.371428898571427</v>
      </c>
    </row>
    <row r="133" spans="11:15">
      <c r="K133" s="518">
        <v>26</v>
      </c>
      <c r="L133" s="518">
        <v>26</v>
      </c>
      <c r="M133" s="629">
        <v>14.38928576857143</v>
      </c>
      <c r="N133" s="629">
        <v>34.614857537142861</v>
      </c>
      <c r="O133" s="629">
        <v>25.336999892857143</v>
      </c>
    </row>
    <row r="134" spans="11:15">
      <c r="L134" s="518">
        <v>27</v>
      </c>
      <c r="M134" s="629">
        <v>12.591143065714286</v>
      </c>
      <c r="N134" s="629">
        <v>26.614571161428568</v>
      </c>
      <c r="O134" s="629">
        <v>17.011999948571425</v>
      </c>
    </row>
    <row r="135" spans="11:15">
      <c r="L135" s="518">
        <v>28</v>
      </c>
      <c r="M135" s="629">
        <v>12.568143027142856</v>
      </c>
      <c r="N135" s="748">
        <v>27.269166944999998</v>
      </c>
      <c r="O135" s="629">
        <v>15.456000011666667</v>
      </c>
    </row>
    <row r="136" spans="11:15">
      <c r="L136" s="518">
        <v>29</v>
      </c>
      <c r="M136" s="629">
        <v>12.436285836355987</v>
      </c>
      <c r="N136" s="748">
        <v>27.957999638148667</v>
      </c>
      <c r="O136" s="629">
        <v>12.983142989022358</v>
      </c>
    </row>
    <row r="137" spans="11:15">
      <c r="L137" s="518">
        <v>30</v>
      </c>
      <c r="M137" s="629">
        <v>12.081000189999999</v>
      </c>
      <c r="N137" s="748">
        <v>25.709142960000001</v>
      </c>
      <c r="O137" s="629">
        <v>13.575857162857142</v>
      </c>
    </row>
    <row r="138" spans="11:15">
      <c r="L138" s="518">
        <v>31</v>
      </c>
      <c r="M138" s="629">
        <v>11.596285820007285</v>
      </c>
      <c r="N138" s="748">
        <v>24.763571058000789</v>
      </c>
      <c r="O138" s="629">
        <v>11.669857025146444</v>
      </c>
    </row>
    <row r="139" spans="11:15">
      <c r="L139" s="518">
        <v>32</v>
      </c>
      <c r="M139" s="629">
        <v>11.720571517944299</v>
      </c>
      <c r="N139" s="748">
        <v>24.089857101440373</v>
      </c>
      <c r="O139" s="629">
        <v>19.260286058698341</v>
      </c>
    </row>
    <row r="140" spans="11:15">
      <c r="L140" s="518">
        <v>33</v>
      </c>
      <c r="M140" s="629">
        <v>12.527428762857143</v>
      </c>
      <c r="N140" s="748">
        <v>22.760285514285709</v>
      </c>
      <c r="O140" s="629">
        <v>11.767142841428575</v>
      </c>
    </row>
    <row r="141" spans="11:15">
      <c r="L141" s="518">
        <v>34</v>
      </c>
      <c r="M141" s="629">
        <v>16.307285444285718</v>
      </c>
      <c r="N141" s="748">
        <v>25.360285895714288</v>
      </c>
      <c r="O141" s="629">
        <v>9.6848572311428569</v>
      </c>
    </row>
    <row r="142" spans="11:15">
      <c r="L142" s="518">
        <v>35</v>
      </c>
      <c r="M142" s="629">
        <v>16.3159999847412</v>
      </c>
      <c r="N142" s="748">
        <v>25.920999526977486</v>
      </c>
      <c r="O142" s="629">
        <v>10.140166600545237</v>
      </c>
    </row>
    <row r="143" spans="11:15">
      <c r="L143" s="518">
        <v>36</v>
      </c>
      <c r="M143" s="629">
        <v>16.338571412285699</v>
      </c>
      <c r="N143" s="629">
        <v>27.733714512857141</v>
      </c>
      <c r="O143" s="629">
        <v>7.178428649999999</v>
      </c>
    </row>
    <row r="144" spans="11:15">
      <c r="L144" s="518">
        <v>37</v>
      </c>
      <c r="M144" s="629">
        <v>10.549342727592901</v>
      </c>
      <c r="N144" s="629">
        <v>24.191236087402601</v>
      </c>
      <c r="O144" s="629">
        <v>7.178428649999999</v>
      </c>
    </row>
    <row r="145" spans="10:15">
      <c r="K145" s="518">
        <v>38</v>
      </c>
      <c r="L145" s="518">
        <v>38</v>
      </c>
      <c r="M145" s="629">
        <v>16.446428843906887</v>
      </c>
      <c r="N145" s="629">
        <v>37.008142471313427</v>
      </c>
      <c r="O145" s="629">
        <v>21.733428410121345</v>
      </c>
    </row>
    <row r="146" spans="10:15">
      <c r="L146" s="518">
        <v>39</v>
      </c>
      <c r="M146" s="629">
        <v>16.413428580000001</v>
      </c>
      <c r="N146" s="629">
        <v>43.941286359999992</v>
      </c>
      <c r="O146" s="629">
        <v>13.527142932857144</v>
      </c>
    </row>
    <row r="147" spans="10:15">
      <c r="L147" s="518">
        <v>40</v>
      </c>
      <c r="M147" s="629">
        <v>16.787428447178375</v>
      </c>
      <c r="N147" s="749">
        <v>35.542857851300859</v>
      </c>
      <c r="O147" s="629">
        <v>14.786999974931945</v>
      </c>
    </row>
    <row r="148" spans="10:15">
      <c r="L148" s="518">
        <v>41</v>
      </c>
      <c r="M148" s="629">
        <v>15.8430898672582</v>
      </c>
      <c r="N148" s="749">
        <v>42.2230343138324</v>
      </c>
      <c r="O148" s="629">
        <v>20.704649510407599</v>
      </c>
    </row>
    <row r="149" spans="10:15">
      <c r="L149" s="518">
        <v>42</v>
      </c>
      <c r="M149" s="629">
        <v>5.7759999548571432</v>
      </c>
      <c r="N149" s="749">
        <v>38.873856951428571</v>
      </c>
      <c r="O149" s="629">
        <v>25.138142720000001</v>
      </c>
    </row>
    <row r="150" spans="10:15">
      <c r="L150" s="518">
        <v>43</v>
      </c>
      <c r="M150" s="629">
        <v>11.382285799298913</v>
      </c>
      <c r="N150" s="749">
        <v>37.477428436279276</v>
      </c>
      <c r="O150" s="629">
        <v>25.216714314051995</v>
      </c>
    </row>
    <row r="151" spans="10:15">
      <c r="L151" s="518">
        <v>44</v>
      </c>
      <c r="M151" s="629">
        <v>5.2291429382857144</v>
      </c>
      <c r="N151" s="749">
        <v>41.068570818571423</v>
      </c>
      <c r="O151" s="629">
        <v>14.095285688571428</v>
      </c>
    </row>
    <row r="152" spans="10:15">
      <c r="L152" s="518">
        <v>45</v>
      </c>
      <c r="M152" s="629">
        <v>10.919857297624844</v>
      </c>
      <c r="N152" s="629">
        <v>45.284285954066661</v>
      </c>
      <c r="O152" s="629">
        <v>11.297285897391143</v>
      </c>
    </row>
    <row r="153" spans="10:15">
      <c r="L153" s="518">
        <v>46</v>
      </c>
      <c r="M153" s="629">
        <v>11.464714461428573</v>
      </c>
      <c r="N153" s="629">
        <v>40.058000837142856</v>
      </c>
      <c r="O153" s="629">
        <v>9.971571377428571</v>
      </c>
    </row>
    <row r="154" spans="10:15">
      <c r="L154" s="518">
        <v>47</v>
      </c>
      <c r="M154" s="629">
        <v>11.333428791591084</v>
      </c>
      <c r="N154" s="629">
        <v>46.268857138497467</v>
      </c>
      <c r="O154" s="629">
        <v>9.063428674425392</v>
      </c>
    </row>
    <row r="155" spans="10:15">
      <c r="L155" s="518">
        <v>48</v>
      </c>
      <c r="M155" s="629">
        <v>11.195143154689243</v>
      </c>
      <c r="N155" s="629">
        <v>45.240856715611031</v>
      </c>
      <c r="O155" s="629">
        <v>7.7819999286106594</v>
      </c>
    </row>
    <row r="156" spans="10:15">
      <c r="L156" s="518">
        <v>49</v>
      </c>
      <c r="M156" s="629">
        <v>11.129571504285716</v>
      </c>
      <c r="N156" s="629">
        <v>43.306000301428575</v>
      </c>
      <c r="O156" s="629">
        <v>6.0248571805714279</v>
      </c>
    </row>
    <row r="157" spans="10:15">
      <c r="L157" s="518">
        <v>50</v>
      </c>
      <c r="M157" s="629">
        <v>12.79414286142857</v>
      </c>
      <c r="N157" s="629">
        <v>46.609286172857139</v>
      </c>
      <c r="O157" s="629">
        <v>10.802999973571429</v>
      </c>
    </row>
    <row r="158" spans="10:15">
      <c r="L158" s="518">
        <v>51</v>
      </c>
      <c r="M158" s="629">
        <v>21.320999690000001</v>
      </c>
      <c r="N158" s="629">
        <v>70.499713898571443</v>
      </c>
      <c r="O158" s="629">
        <v>13.546999929285715</v>
      </c>
    </row>
    <row r="159" spans="10:15">
      <c r="K159" s="518">
        <v>52</v>
      </c>
      <c r="L159" s="518">
        <v>52</v>
      </c>
      <c r="M159" s="629">
        <v>21.088856832857143</v>
      </c>
      <c r="N159" s="629">
        <v>65.301143102857139</v>
      </c>
      <c r="O159" s="629">
        <v>13.057714190571428</v>
      </c>
    </row>
    <row r="160" spans="10:15">
      <c r="J160" s="276">
        <v>2023</v>
      </c>
      <c r="L160" s="518">
        <v>1</v>
      </c>
      <c r="M160" s="629">
        <v>26.193571361428578</v>
      </c>
      <c r="N160" s="629">
        <v>79.502428327142866</v>
      </c>
      <c r="O160" s="629">
        <v>32.061142784285714</v>
      </c>
    </row>
    <row r="161" spans="11:15">
      <c r="L161" s="518">
        <v>2</v>
      </c>
      <c r="M161" s="629">
        <v>39.929000037142863</v>
      </c>
      <c r="N161" s="629">
        <v>82.984999520000002</v>
      </c>
      <c r="O161" s="629">
        <v>34.175857135714288</v>
      </c>
    </row>
    <row r="162" spans="11:15">
      <c r="L162" s="518">
        <v>3</v>
      </c>
      <c r="M162" s="629">
        <v>38.682570866176015</v>
      </c>
      <c r="N162" s="629">
        <v>85.672571454729152</v>
      </c>
      <c r="O162" s="629">
        <v>53.2630004882812</v>
      </c>
    </row>
    <row r="163" spans="11:15">
      <c r="L163" s="518">
        <v>4</v>
      </c>
      <c r="M163" s="629">
        <v>53.584285738571431</v>
      </c>
      <c r="N163" s="629">
        <v>119.73214174285714</v>
      </c>
      <c r="O163" s="629">
        <v>106.51171438857143</v>
      </c>
    </row>
    <row r="164" spans="11:15">
      <c r="L164" s="518">
        <v>5</v>
      </c>
      <c r="M164" s="629">
        <v>57.720571248725399</v>
      </c>
      <c r="N164" s="629">
        <v>93.18</v>
      </c>
      <c r="O164" s="629">
        <v>42.072000000000003</v>
      </c>
    </row>
    <row r="165" spans="11:15">
      <c r="L165" s="518">
        <v>6</v>
      </c>
      <c r="M165" s="629">
        <v>45.188856942313009</v>
      </c>
      <c r="N165" s="629">
        <v>76.965286254882741</v>
      </c>
      <c r="O165" s="629">
        <v>29.099428721836585</v>
      </c>
    </row>
    <row r="166" spans="11:15">
      <c r="L166" s="518">
        <v>7</v>
      </c>
      <c r="M166" s="629">
        <v>61.49</v>
      </c>
      <c r="N166" s="629">
        <v>100.04</v>
      </c>
      <c r="O166" s="629">
        <v>90.14</v>
      </c>
    </row>
    <row r="167" spans="11:15">
      <c r="K167" s="518">
        <v>8</v>
      </c>
      <c r="L167" s="518">
        <v>8</v>
      </c>
      <c r="M167" s="629">
        <v>94.627143865714288</v>
      </c>
      <c r="N167" s="629">
        <v>127.76542662857143</v>
      </c>
      <c r="O167" s="629">
        <v>119.39471545714287</v>
      </c>
    </row>
    <row r="168" spans="11:15">
      <c r="L168" s="518">
        <v>9</v>
      </c>
      <c r="M168" s="629">
        <v>88.105715070451865</v>
      </c>
      <c r="N168" s="629">
        <v>152.0637141636436</v>
      </c>
      <c r="O168" s="629">
        <v>71.975428444998542</v>
      </c>
    </row>
    <row r="169" spans="11:15">
      <c r="L169" s="518">
        <v>10</v>
      </c>
      <c r="M169" s="629">
        <v>67.996285572857133</v>
      </c>
      <c r="N169" s="629">
        <v>150.9490007857143</v>
      </c>
      <c r="O169" s="629">
        <v>148.17428806428572</v>
      </c>
    </row>
    <row r="170" spans="11:15">
      <c r="L170" s="518">
        <v>11</v>
      </c>
      <c r="M170" s="629">
        <v>103.56971631731294</v>
      </c>
      <c r="N170" s="629">
        <v>380.20485578264476</v>
      </c>
      <c r="O170" s="629">
        <v>181.67543029785128</v>
      </c>
    </row>
    <row r="171" spans="11:15">
      <c r="L171" s="518">
        <v>12</v>
      </c>
      <c r="M171" s="629">
        <v>100.37971498</v>
      </c>
      <c r="N171" s="629">
        <v>218.21600341428572</v>
      </c>
      <c r="O171" s="629">
        <v>71.607428958571433</v>
      </c>
    </row>
    <row r="172" spans="11:15">
      <c r="L172" s="518">
        <v>13</v>
      </c>
      <c r="M172" s="629">
        <v>75.513000488571421</v>
      </c>
      <c r="N172" s="629">
        <v>153.89356995714283</v>
      </c>
      <c r="O172" s="629">
        <v>74.664713721428583</v>
      </c>
    </row>
    <row r="173" spans="11:15">
      <c r="L173" s="518">
        <v>14</v>
      </c>
      <c r="M173" s="629">
        <v>47.126857758571425</v>
      </c>
      <c r="N173" s="629">
        <v>136.2202845857143</v>
      </c>
      <c r="O173" s="629">
        <v>139.44357191142856</v>
      </c>
    </row>
    <row r="174" spans="11:15">
      <c r="L174" s="518">
        <v>15</v>
      </c>
      <c r="M174" s="629">
        <v>51.110142299107117</v>
      </c>
      <c r="N174" s="629">
        <v>129.756571088518</v>
      </c>
      <c r="O174" s="629">
        <v>86.615001133509878</v>
      </c>
    </row>
    <row r="175" spans="11:15">
      <c r="K175" s="518">
        <v>16</v>
      </c>
      <c r="L175" s="518">
        <v>16</v>
      </c>
      <c r="M175" s="629">
        <v>26.4</v>
      </c>
      <c r="N175" s="629">
        <v>144.20861904761904</v>
      </c>
      <c r="O175" s="629">
        <v>122.82</v>
      </c>
    </row>
    <row r="176" spans="11:15">
      <c r="L176" s="518">
        <v>17</v>
      </c>
      <c r="M176" s="629">
        <v>40.380714961428573</v>
      </c>
      <c r="N176" s="629">
        <v>104.17842755142858</v>
      </c>
      <c r="O176" s="629">
        <v>111.59999954285715</v>
      </c>
    </row>
    <row r="177" spans="11:15">
      <c r="L177" s="518">
        <v>18</v>
      </c>
      <c r="M177" s="629">
        <v>34.16114289419987</v>
      </c>
      <c r="N177" s="629">
        <v>64.587427411760572</v>
      </c>
      <c r="O177" s="629">
        <v>80.359285627092532</v>
      </c>
    </row>
    <row r="178" spans="11:15">
      <c r="L178" s="518">
        <v>19</v>
      </c>
      <c r="M178" s="629">
        <v>32.890571322857149</v>
      </c>
      <c r="N178" s="629">
        <v>69.162714277142854</v>
      </c>
      <c r="O178" s="629">
        <v>45.066857472857144</v>
      </c>
    </row>
    <row r="179" spans="11:15">
      <c r="L179" s="518">
        <v>20</v>
      </c>
      <c r="M179" s="629">
        <v>29.235714503696958</v>
      </c>
      <c r="N179" s="629">
        <v>53.960142408098463</v>
      </c>
      <c r="O179" s="629">
        <v>32.585143225533585</v>
      </c>
    </row>
    <row r="180" spans="11:15">
      <c r="L180" s="518">
        <v>21</v>
      </c>
      <c r="M180" s="629">
        <v>27.48045950819672</v>
      </c>
      <c r="N180" s="629">
        <v>44.110999999999997</v>
      </c>
      <c r="O180" s="629">
        <v>35.742226190476188</v>
      </c>
    </row>
    <row r="181" spans="11:15">
      <c r="L181" s="518">
        <v>22</v>
      </c>
      <c r="M181" s="629">
        <v>24.021142414285716</v>
      </c>
      <c r="N181" s="629">
        <v>42.745857239999999</v>
      </c>
      <c r="O181" s="629">
        <v>73.717715127142853</v>
      </c>
    </row>
    <row r="182" spans="11:15">
      <c r="L182" s="518">
        <v>23</v>
      </c>
      <c r="M182" s="629">
        <v>18.928571428571388</v>
      </c>
      <c r="N182" s="629">
        <v>36.284714290073886</v>
      </c>
      <c r="O182" s="629">
        <v>31.087000165666815</v>
      </c>
    </row>
    <row r="183" spans="11:15">
      <c r="L183" s="518">
        <v>24</v>
      </c>
      <c r="M183" s="629">
        <v>17.475714547142857</v>
      </c>
      <c r="N183" s="629">
        <v>32.457999999999998</v>
      </c>
      <c r="O183" s="629">
        <v>25.268999999999998</v>
      </c>
    </row>
    <row r="184" spans="11:15">
      <c r="L184" s="518">
        <v>25</v>
      </c>
      <c r="M184" s="629">
        <v>15.9781426</v>
      </c>
      <c r="N184" s="629">
        <v>30.932142802857147</v>
      </c>
      <c r="O184" s="629">
        <v>18.584571292857142</v>
      </c>
    </row>
    <row r="185" spans="11:15">
      <c r="L185" s="518">
        <v>26</v>
      </c>
      <c r="M185" s="629">
        <v>14.51</v>
      </c>
      <c r="N185" s="629">
        <v>29.170999999999999</v>
      </c>
      <c r="O185" s="629">
        <v>13.885</v>
      </c>
    </row>
    <row r="186" spans="11:15">
      <c r="L186" s="518">
        <v>27</v>
      </c>
      <c r="M186" s="629">
        <v>13.535000119890457</v>
      </c>
      <c r="N186" s="629">
        <v>30.611000061035103</v>
      </c>
      <c r="O186" s="629">
        <v>11.085857255118205</v>
      </c>
    </row>
    <row r="187" spans="11:15">
      <c r="L187" s="518">
        <v>28</v>
      </c>
      <c r="M187" s="629">
        <v>14.99685709857143</v>
      </c>
      <c r="N187" s="629">
        <v>31.84528541571428</v>
      </c>
      <c r="O187" s="629">
        <v>11.611857142285714</v>
      </c>
    </row>
    <row r="188" spans="11:15">
      <c r="L188" s="518">
        <v>29</v>
      </c>
      <c r="M188" s="629">
        <v>18.545142852857143</v>
      </c>
      <c r="N188" s="629">
        <v>31.096857070000002</v>
      </c>
      <c r="O188" s="629">
        <v>8.8954287937142862</v>
      </c>
    </row>
    <row r="189" spans="11:15">
      <c r="L189" s="518">
        <v>30</v>
      </c>
      <c r="M189" s="629">
        <v>17.949285507202102</v>
      </c>
      <c r="N189" s="629">
        <v>30.788428442818713</v>
      </c>
      <c r="O189" s="629">
        <v>7.9398572104317742</v>
      </c>
    </row>
    <row r="190" spans="11:15">
      <c r="K190" s="518">
        <v>31</v>
      </c>
      <c r="L190" s="518">
        <v>31</v>
      </c>
      <c r="M190" s="629">
        <v>14.421428544285714</v>
      </c>
      <c r="N190" s="629">
        <v>31.885428564285718</v>
      </c>
      <c r="O190" s="629">
        <v>6.5058570588571429</v>
      </c>
    </row>
    <row r="191" spans="11:15">
      <c r="M191" s="629"/>
      <c r="N191" s="629"/>
      <c r="O191" s="629"/>
    </row>
    <row r="192" spans="11:15">
      <c r="M192" s="629"/>
      <c r="N192" s="629"/>
      <c r="O192" s="629"/>
    </row>
    <row r="193" spans="13:15">
      <c r="M193" s="629"/>
      <c r="N193" s="629"/>
      <c r="O193" s="629"/>
    </row>
    <row r="194" spans="13:15">
      <c r="M194" s="629"/>
      <c r="N194" s="629"/>
      <c r="O194" s="629"/>
    </row>
    <row r="195" spans="13:15">
      <c r="M195" s="629"/>
      <c r="N195" s="629"/>
      <c r="O195" s="629"/>
    </row>
    <row r="197" spans="13:15">
      <c r="M197" s="276" t="s">
        <v>256</v>
      </c>
      <c r="N197" s="276" t="s">
        <v>257</v>
      </c>
      <c r="O197" s="276" t="s">
        <v>258</v>
      </c>
    </row>
  </sheetData>
  <mergeCells count="2">
    <mergeCell ref="A3:G3"/>
    <mergeCell ref="A35:G3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21"/>
  <sheetViews>
    <sheetView showGridLines="0" view="pageBreakPreview" zoomScaleNormal="100" zoomScaleSheetLayoutView="100" zoomScalePageLayoutView="85" workbookViewId="0">
      <selection activeCell="Y186" sqref="Y186:Y190"/>
    </sheetView>
  </sheetViews>
  <sheetFormatPr baseColWidth="10" defaultColWidth="9.28515625" defaultRowHeight="10.199999999999999"/>
  <cols>
    <col min="10" max="11" width="9.28515625" customWidth="1"/>
    <col min="13" max="16" width="9.28515625" style="277"/>
    <col min="17" max="17" width="11.7109375" style="277" bestFit="1" customWidth="1"/>
    <col min="18" max="18" width="15.140625" style="277" customWidth="1"/>
    <col min="19" max="19" width="14.28515625" style="277" customWidth="1"/>
    <col min="20" max="20" width="14.42578125" style="277" customWidth="1"/>
    <col min="21" max="21" width="9.42578125" style="277" bestFit="1" customWidth="1"/>
    <col min="22" max="22" width="14.7109375" style="277" customWidth="1"/>
    <col min="23" max="23" width="9.42578125" style="277" customWidth="1"/>
    <col min="24" max="24" width="9.7109375" style="277" bestFit="1" customWidth="1"/>
    <col min="25" max="25" width="9.42578125" style="277" bestFit="1" customWidth="1"/>
    <col min="26" max="26" width="9.28515625" style="747"/>
    <col min="27" max="35" width="9.28515625" style="662"/>
  </cols>
  <sheetData>
    <row r="1" spans="1:25" ht="11.25" customHeight="1"/>
    <row r="2" spans="1:25" ht="11.25" customHeight="1">
      <c r="A2" s="289"/>
      <c r="B2" s="290"/>
      <c r="C2" s="290"/>
      <c r="D2" s="290"/>
      <c r="E2" s="290"/>
      <c r="F2" s="290"/>
      <c r="G2" s="174"/>
      <c r="H2" s="174"/>
      <c r="I2" s="132"/>
    </row>
    <row r="3" spans="1:25" ht="11.25" customHeight="1">
      <c r="A3" s="132"/>
      <c r="B3" s="132"/>
      <c r="C3" s="132"/>
      <c r="D3" s="132"/>
      <c r="E3" s="132"/>
      <c r="F3" s="132"/>
      <c r="G3" s="138"/>
      <c r="H3" s="138"/>
      <c r="I3" s="138"/>
      <c r="J3" s="148"/>
      <c r="K3" s="148"/>
      <c r="L3" s="148"/>
      <c r="O3" s="277" t="s">
        <v>255</v>
      </c>
      <c r="P3" s="582"/>
      <c r="Q3" s="277" t="s">
        <v>531</v>
      </c>
      <c r="R3" s="277" t="s">
        <v>532</v>
      </c>
      <c r="S3" s="277" t="s">
        <v>259</v>
      </c>
      <c r="T3" s="277" t="s">
        <v>260</v>
      </c>
      <c r="U3" s="277" t="s">
        <v>261</v>
      </c>
      <c r="V3" s="277" t="s">
        <v>262</v>
      </c>
      <c r="W3" s="277" t="s">
        <v>535</v>
      </c>
      <c r="X3" s="277" t="s">
        <v>536</v>
      </c>
      <c r="Y3" s="277" t="s">
        <v>537</v>
      </c>
    </row>
    <row r="4" spans="1:25" ht="11.25" customHeight="1">
      <c r="A4" s="132"/>
      <c r="B4" s="132"/>
      <c r="C4" s="132"/>
      <c r="D4" s="132"/>
      <c r="E4" s="132"/>
      <c r="F4" s="132"/>
      <c r="G4" s="138"/>
      <c r="H4" s="138"/>
      <c r="I4" s="138"/>
      <c r="J4" s="148"/>
      <c r="K4" s="148"/>
      <c r="L4" s="148"/>
      <c r="N4" s="771">
        <v>2020</v>
      </c>
      <c r="O4" s="771"/>
      <c r="P4" s="773">
        <v>1</v>
      </c>
      <c r="Q4" s="770">
        <v>12.763571330479184</v>
      </c>
      <c r="R4" s="770">
        <v>7.4842857292720009</v>
      </c>
      <c r="S4" s="770">
        <v>176.20814078194715</v>
      </c>
      <c r="T4" s="770">
        <v>130.2321406773155</v>
      </c>
      <c r="U4" s="770">
        <v>24.27742849077493</v>
      </c>
      <c r="V4" s="770">
        <v>14.514315741402715</v>
      </c>
      <c r="W4" s="770">
        <v>2.278571367263786</v>
      </c>
      <c r="X4" s="770">
        <v>468.15499877929659</v>
      </c>
      <c r="Y4" s="770">
        <v>152.80385916573601</v>
      </c>
    </row>
    <row r="5" spans="1:25" ht="11.25" customHeight="1">
      <c r="A5" s="176"/>
      <c r="B5" s="176"/>
      <c r="C5" s="176"/>
      <c r="D5" s="176"/>
      <c r="E5" s="176"/>
      <c r="F5" s="176"/>
      <c r="G5" s="176"/>
      <c r="H5" s="176"/>
      <c r="I5" s="176"/>
      <c r="J5" s="24"/>
      <c r="K5" s="24"/>
      <c r="L5" s="131"/>
      <c r="N5" s="771"/>
      <c r="O5" s="771"/>
      <c r="P5" s="773">
        <v>2</v>
      </c>
      <c r="Q5" s="770">
        <v>13.386285781428571</v>
      </c>
      <c r="R5" s="770">
        <v>6.9174285272857139</v>
      </c>
      <c r="S5" s="770">
        <v>159.75199889999999</v>
      </c>
      <c r="T5" s="770">
        <v>106.97614288285715</v>
      </c>
      <c r="U5" s="770">
        <v>30.680286678571431</v>
      </c>
      <c r="V5" s="770">
        <v>13.21958133142857</v>
      </c>
      <c r="W5" s="770">
        <v>1.8857142757142857</v>
      </c>
      <c r="X5" s="770">
        <v>213.59428187142859</v>
      </c>
      <c r="Y5" s="770">
        <v>97.949856347142855</v>
      </c>
    </row>
    <row r="6" spans="1:25" ht="11.25" customHeight="1">
      <c r="A6" s="132"/>
      <c r="B6" s="291"/>
      <c r="C6" s="292"/>
      <c r="D6" s="293"/>
      <c r="E6" s="293"/>
      <c r="F6" s="177"/>
      <c r="G6" s="178"/>
      <c r="H6" s="178"/>
      <c r="I6" s="179"/>
      <c r="J6" s="24"/>
      <c r="K6" s="24"/>
      <c r="L6" s="19"/>
      <c r="N6" s="771"/>
      <c r="O6" s="771"/>
      <c r="P6" s="773">
        <v>3</v>
      </c>
      <c r="Q6" s="770">
        <v>15.196428435714285</v>
      </c>
      <c r="R6" s="770">
        <v>11.330428599714283</v>
      </c>
      <c r="S6" s="770">
        <v>243.87700107142857</v>
      </c>
      <c r="T6" s="770">
        <v>137.04186028571428</v>
      </c>
      <c r="U6" s="770">
        <v>40.240000044285715</v>
      </c>
      <c r="V6" s="770">
        <v>16.855534282857143</v>
      </c>
      <c r="W6" s="770">
        <v>6.3075712748571418</v>
      </c>
      <c r="X6" s="770">
        <v>247.26214164285713</v>
      </c>
      <c r="Y6" s="770">
        <v>78.131857190000005</v>
      </c>
    </row>
    <row r="7" spans="1:25" ht="11.25" customHeight="1">
      <c r="A7" s="132"/>
      <c r="B7" s="180"/>
      <c r="C7" s="180"/>
      <c r="D7" s="181"/>
      <c r="E7" s="181"/>
      <c r="F7" s="177"/>
      <c r="G7" s="178"/>
      <c r="H7" s="178"/>
      <c r="I7" s="179"/>
      <c r="J7" s="25"/>
      <c r="K7" s="25"/>
      <c r="L7" s="22"/>
      <c r="N7" s="771"/>
      <c r="O7" s="771"/>
      <c r="P7" s="773">
        <v>4</v>
      </c>
      <c r="Q7" s="770">
        <v>16.57199968714286</v>
      </c>
      <c r="R7" s="770">
        <v>12.821999958571428</v>
      </c>
      <c r="S7" s="770">
        <v>236.61043005714285</v>
      </c>
      <c r="T7" s="770">
        <v>121.29742760000001</v>
      </c>
      <c r="U7" s="770">
        <v>26.470714297142855</v>
      </c>
      <c r="V7" s="770">
        <v>22.011848449999999</v>
      </c>
      <c r="W7" s="770">
        <v>4.3669999327142861</v>
      </c>
      <c r="X7" s="770">
        <v>212.78856985714287</v>
      </c>
      <c r="Y7" s="770">
        <v>52.875</v>
      </c>
    </row>
    <row r="8" spans="1:25" ht="11.25" customHeight="1">
      <c r="A8" s="132"/>
      <c r="B8" s="182"/>
      <c r="C8" s="132"/>
      <c r="D8" s="156"/>
      <c r="E8" s="156"/>
      <c r="F8" s="177"/>
      <c r="G8" s="178"/>
      <c r="H8" s="178"/>
      <c r="I8" s="179"/>
      <c r="J8" s="23"/>
      <c r="K8" s="23"/>
      <c r="L8" s="24"/>
      <c r="N8" s="771"/>
      <c r="O8" s="771"/>
      <c r="P8" s="773">
        <v>5</v>
      </c>
      <c r="Q8" s="770">
        <v>25.675428661428576</v>
      </c>
      <c r="R8" s="770">
        <v>18.254856927142857</v>
      </c>
      <c r="S8" s="770">
        <v>392.82542635714287</v>
      </c>
      <c r="T8" s="770">
        <v>216.11300005714287</v>
      </c>
      <c r="U8" s="770">
        <v>48.707714625714289</v>
      </c>
      <c r="V8" s="770">
        <v>14.496191432857142</v>
      </c>
      <c r="W8" s="770">
        <v>2.6891428574285712</v>
      </c>
      <c r="X8" s="770">
        <v>410.15428595714286</v>
      </c>
      <c r="Y8" s="770">
        <v>99.128998899999985</v>
      </c>
    </row>
    <row r="9" spans="1:25" ht="11.25" customHeight="1">
      <c r="A9" s="132"/>
      <c r="B9" s="182"/>
      <c r="C9" s="132"/>
      <c r="D9" s="156"/>
      <c r="E9" s="156"/>
      <c r="F9" s="177"/>
      <c r="G9" s="178"/>
      <c r="H9" s="178"/>
      <c r="I9" s="179"/>
      <c r="J9" s="25"/>
      <c r="K9" s="26"/>
      <c r="L9" s="22"/>
      <c r="N9" s="771"/>
      <c r="O9" s="771"/>
      <c r="P9" s="773">
        <v>6</v>
      </c>
      <c r="Q9" s="770">
        <v>22.638571330479174</v>
      </c>
      <c r="R9" s="770">
        <v>17.332571574619813</v>
      </c>
      <c r="S9" s="770">
        <v>448.59157017299066</v>
      </c>
      <c r="T9" s="770">
        <v>221.35714285714261</v>
      </c>
      <c r="U9" s="770">
        <v>51.925000326974022</v>
      </c>
      <c r="V9" s="770">
        <v>17.659045491899729</v>
      </c>
      <c r="W9" s="770">
        <v>9.7964284079415354</v>
      </c>
      <c r="X9" s="770">
        <v>622.45499965122758</v>
      </c>
      <c r="Y9" s="770">
        <v>151.47385733468144</v>
      </c>
    </row>
    <row r="10" spans="1:25" ht="11.25" customHeight="1">
      <c r="A10" s="132"/>
      <c r="B10" s="182"/>
      <c r="C10" s="132"/>
      <c r="D10" s="156"/>
      <c r="E10" s="156"/>
      <c r="F10" s="177"/>
      <c r="G10" s="178"/>
      <c r="H10" s="178"/>
      <c r="I10" s="179"/>
      <c r="J10" s="25"/>
      <c r="K10" s="25"/>
      <c r="L10" s="22"/>
      <c r="N10" s="771"/>
      <c r="O10" s="771"/>
      <c r="P10" s="773">
        <v>7</v>
      </c>
      <c r="Q10" s="770">
        <v>24.818285805714286</v>
      </c>
      <c r="R10" s="770">
        <v>19.436000279999998</v>
      </c>
      <c r="S10" s="770">
        <v>374.25799560000002</v>
      </c>
      <c r="T10" s="770">
        <v>142.54771639999998</v>
      </c>
      <c r="U10" s="770">
        <v>37.997142247142854</v>
      </c>
      <c r="V10" s="770">
        <v>23.642735891428568</v>
      </c>
      <c r="W10" s="770">
        <v>10.810714449000001</v>
      </c>
      <c r="X10" s="770">
        <v>434.32357352857144</v>
      </c>
      <c r="Y10" s="770">
        <v>148.12728554285715</v>
      </c>
    </row>
    <row r="11" spans="1:25" ht="11.25" customHeight="1">
      <c r="A11" s="132"/>
      <c r="B11" s="156"/>
      <c r="C11" s="132"/>
      <c r="D11" s="156"/>
      <c r="E11" s="156"/>
      <c r="F11" s="177"/>
      <c r="G11" s="178"/>
      <c r="H11" s="178"/>
      <c r="I11" s="179"/>
      <c r="J11" s="25"/>
      <c r="K11" s="25"/>
      <c r="L11" s="22"/>
      <c r="N11" s="771"/>
      <c r="O11" s="771">
        <v>8</v>
      </c>
      <c r="P11" s="773">
        <v>8</v>
      </c>
      <c r="Q11" s="770">
        <v>16.877285957336387</v>
      </c>
      <c r="R11" s="770">
        <v>13.084142684936484</v>
      </c>
      <c r="S11" s="770">
        <v>289.19357081821948</v>
      </c>
      <c r="T11" s="770">
        <v>162.01200212751087</v>
      </c>
      <c r="U11" s="770">
        <v>30.780285699026873</v>
      </c>
      <c r="V11" s="770">
        <v>23.681545802525072</v>
      </c>
      <c r="W11" s="770">
        <v>21.290571621486073</v>
      </c>
      <c r="X11" s="770">
        <v>403.40571376255542</v>
      </c>
      <c r="Y11" s="770">
        <v>143.28899928501644</v>
      </c>
    </row>
    <row r="12" spans="1:25" ht="11.25" customHeight="1">
      <c r="A12" s="132"/>
      <c r="B12" s="156"/>
      <c r="C12" s="132"/>
      <c r="D12" s="156"/>
      <c r="E12" s="156"/>
      <c r="F12" s="177"/>
      <c r="G12" s="178"/>
      <c r="H12" s="178"/>
      <c r="I12" s="179"/>
      <c r="J12" s="25"/>
      <c r="K12" s="25"/>
      <c r="L12" s="22"/>
      <c r="N12" s="771"/>
      <c r="O12" s="771"/>
      <c r="P12" s="773">
        <v>9</v>
      </c>
      <c r="Q12" s="770">
        <v>20.463000162857146</v>
      </c>
      <c r="R12" s="770">
        <v>16.131428717142857</v>
      </c>
      <c r="S12" s="770">
        <v>302.38613892857137</v>
      </c>
      <c r="T12" s="770">
        <v>174.72028894285717</v>
      </c>
      <c r="U12" s="770">
        <v>36.13400023285714</v>
      </c>
      <c r="V12" s="770">
        <v>23.625475747142854</v>
      </c>
      <c r="W12" s="770">
        <v>11.064000130142858</v>
      </c>
      <c r="X12" s="770">
        <v>388.35356794285718</v>
      </c>
      <c r="Y12" s="770">
        <v>84.357999531428575</v>
      </c>
    </row>
    <row r="13" spans="1:25" ht="11.25" customHeight="1">
      <c r="A13" s="132"/>
      <c r="B13" s="156"/>
      <c r="C13" s="132"/>
      <c r="D13" s="156"/>
      <c r="E13" s="156"/>
      <c r="F13" s="177"/>
      <c r="G13" s="178"/>
      <c r="H13" s="178"/>
      <c r="I13" s="179"/>
      <c r="J13" s="23"/>
      <c r="K13" s="23"/>
      <c r="L13" s="24"/>
      <c r="N13" s="771"/>
      <c r="O13" s="771"/>
      <c r="P13" s="773">
        <v>10</v>
      </c>
      <c r="Q13" s="770">
        <v>20.001714159999999</v>
      </c>
      <c r="R13" s="770">
        <v>16.133428572857145</v>
      </c>
      <c r="S13" s="770">
        <v>219.49971445714283</v>
      </c>
      <c r="T13" s="770">
        <v>118.91071428571429</v>
      </c>
      <c r="U13" s="770">
        <v>22.61842863857143</v>
      </c>
      <c r="V13" s="770">
        <v>23.72583552857143</v>
      </c>
      <c r="W13" s="770">
        <v>5.0324285712857142</v>
      </c>
      <c r="X13" s="770">
        <v>317.96785625714284</v>
      </c>
      <c r="Y13" s="770">
        <v>76.472572329999977</v>
      </c>
    </row>
    <row r="14" spans="1:25" ht="11.25" customHeight="1">
      <c r="A14" s="132"/>
      <c r="B14" s="156"/>
      <c r="C14" s="132"/>
      <c r="D14" s="156"/>
      <c r="E14" s="156"/>
      <c r="F14" s="177"/>
      <c r="G14" s="178"/>
      <c r="H14" s="178"/>
      <c r="I14" s="179"/>
      <c r="J14" s="25"/>
      <c r="K14" s="26"/>
      <c r="L14" s="22"/>
      <c r="N14" s="771"/>
      <c r="O14" s="771"/>
      <c r="P14" s="773">
        <v>11</v>
      </c>
      <c r="Q14" s="770">
        <v>20.464285714285715</v>
      </c>
      <c r="R14" s="770">
        <v>16.275285719999999</v>
      </c>
      <c r="S14" s="770">
        <v>210.39014761428572</v>
      </c>
      <c r="T14" s="770">
        <v>145.36899785714286</v>
      </c>
      <c r="U14" s="770">
        <v>39.343428748571434</v>
      </c>
      <c r="V14" s="770">
        <v>23.714347295714287</v>
      </c>
      <c r="W14" s="770">
        <v>12.165999821428571</v>
      </c>
      <c r="X14" s="770">
        <v>377.62500435714281</v>
      </c>
      <c r="Y14" s="770">
        <v>110.78628649857141</v>
      </c>
    </row>
    <row r="15" spans="1:25" ht="11.25" customHeight="1">
      <c r="A15" s="132"/>
      <c r="B15" s="156"/>
      <c r="C15" s="132"/>
      <c r="D15" s="156"/>
      <c r="E15" s="156"/>
      <c r="F15" s="177"/>
      <c r="G15" s="178"/>
      <c r="H15" s="178"/>
      <c r="I15" s="179"/>
      <c r="J15" s="25"/>
      <c r="K15" s="26"/>
      <c r="L15" s="22"/>
      <c r="N15" s="771"/>
      <c r="O15" s="771"/>
      <c r="P15" s="773">
        <v>12</v>
      </c>
      <c r="Q15" s="770">
        <v>23.032714026314846</v>
      </c>
      <c r="R15" s="770">
        <v>20.180714198521169</v>
      </c>
      <c r="S15" s="770">
        <v>335.19785417829189</v>
      </c>
      <c r="T15" s="770">
        <v>171.26185716901472</v>
      </c>
      <c r="U15" s="770">
        <v>46.286999838692772</v>
      </c>
      <c r="V15" s="770">
        <v>23.623331614903002</v>
      </c>
      <c r="W15" s="770">
        <v>11.119714055742502</v>
      </c>
      <c r="X15" s="770">
        <v>380.85929216657314</v>
      </c>
      <c r="Y15" s="770">
        <v>113.32999965122723</v>
      </c>
    </row>
    <row r="16" spans="1:25" ht="11.25" customHeight="1">
      <c r="A16" s="132"/>
      <c r="B16" s="156"/>
      <c r="C16" s="132"/>
      <c r="D16" s="156"/>
      <c r="E16" s="156"/>
      <c r="F16" s="177"/>
      <c r="G16" s="178"/>
      <c r="H16" s="178"/>
      <c r="I16" s="179"/>
      <c r="J16" s="25"/>
      <c r="K16" s="26"/>
      <c r="L16" s="22"/>
      <c r="N16" s="771"/>
      <c r="O16" s="771"/>
      <c r="P16" s="773">
        <v>13</v>
      </c>
      <c r="Q16" s="770">
        <v>27.558857236589642</v>
      </c>
      <c r="R16" s="770">
        <v>21.319143022809669</v>
      </c>
      <c r="S16" s="770">
        <v>569.31741768973188</v>
      </c>
      <c r="T16" s="770">
        <v>241.59529113769531</v>
      </c>
      <c r="U16" s="770">
        <v>63.414285387311629</v>
      </c>
      <c r="V16" s="770">
        <v>22.128154209681874</v>
      </c>
      <c r="W16" s="770">
        <v>6.0048571995326432</v>
      </c>
      <c r="X16" s="770">
        <v>332.15285818917374</v>
      </c>
      <c r="Y16" s="770">
        <v>97.158571515764294</v>
      </c>
    </row>
    <row r="17" spans="1:25" ht="11.25" customHeight="1">
      <c r="A17" s="132"/>
      <c r="B17" s="156"/>
      <c r="C17" s="132"/>
      <c r="D17" s="156"/>
      <c r="E17" s="156"/>
      <c r="F17" s="177"/>
      <c r="G17" s="178"/>
      <c r="H17" s="178"/>
      <c r="I17" s="179"/>
      <c r="J17" s="25"/>
      <c r="K17" s="26"/>
      <c r="L17" s="22"/>
      <c r="N17" s="771"/>
      <c r="O17" s="771"/>
      <c r="P17" s="773">
        <v>14</v>
      </c>
      <c r="Q17" s="770">
        <v>18.795857294285714</v>
      </c>
      <c r="R17" s="770">
        <v>18.168000220000003</v>
      </c>
      <c r="S17" s="770">
        <v>298.48543221428571</v>
      </c>
      <c r="T17" s="770">
        <v>156.28586031428571</v>
      </c>
      <c r="U17" s="770">
        <v>40.567142485714285</v>
      </c>
      <c r="V17" s="770">
        <v>21.36</v>
      </c>
      <c r="W17" s="770">
        <v>4.6619999238571435</v>
      </c>
      <c r="X17" s="770">
        <v>272.16142927142863</v>
      </c>
      <c r="Y17" s="770">
        <v>87.023999895714283</v>
      </c>
    </row>
    <row r="18" spans="1:25" ht="11.25" customHeight="1">
      <c r="A18" s="905" t="s">
        <v>552</v>
      </c>
      <c r="B18" s="905"/>
      <c r="C18" s="905"/>
      <c r="D18" s="905"/>
      <c r="E18" s="905"/>
      <c r="F18" s="905"/>
      <c r="G18" s="905"/>
      <c r="H18" s="905"/>
      <c r="I18" s="905"/>
      <c r="J18" s="905"/>
      <c r="K18" s="905"/>
      <c r="L18" s="905"/>
      <c r="N18" s="771"/>
      <c r="O18" s="771"/>
      <c r="P18" s="773">
        <v>15</v>
      </c>
      <c r="Q18" s="770">
        <v>16.380999974285714</v>
      </c>
      <c r="R18" s="770">
        <v>14.786285537142858</v>
      </c>
      <c r="S18" s="770">
        <v>196.30642698571427</v>
      </c>
      <c r="T18" s="770">
        <v>126.20242854857143</v>
      </c>
      <c r="U18" s="770">
        <v>27.609000341428576</v>
      </c>
      <c r="V18" s="770">
        <v>23.601429802857144</v>
      </c>
      <c r="W18" s="770">
        <v>2.5870000464285714</v>
      </c>
      <c r="X18" s="770">
        <v>174.17928642857143</v>
      </c>
      <c r="Y18" s="770">
        <v>56.692000798571428</v>
      </c>
    </row>
    <row r="19" spans="1:25" ht="11.25" customHeight="1">
      <c r="A19" s="25"/>
      <c r="B19" s="156"/>
      <c r="C19" s="132"/>
      <c r="D19" s="156"/>
      <c r="E19" s="156"/>
      <c r="F19" s="177"/>
      <c r="G19" s="178"/>
      <c r="H19" s="178"/>
      <c r="I19" s="179"/>
      <c r="J19" s="25"/>
      <c r="K19" s="26"/>
      <c r="L19" s="22"/>
      <c r="N19" s="771"/>
      <c r="O19" s="771">
        <v>16</v>
      </c>
      <c r="P19" s="773">
        <v>16</v>
      </c>
      <c r="Q19" s="770">
        <v>15.142857142857142</v>
      </c>
      <c r="R19" s="770">
        <v>11.113285608857142</v>
      </c>
      <c r="S19" s="770">
        <v>144.25785718571427</v>
      </c>
      <c r="T19" s="770">
        <v>112.32742854857143</v>
      </c>
      <c r="U19" s="770">
        <v>23.319143022857144</v>
      </c>
      <c r="V19" s="770">
        <v>16.145714351428573</v>
      </c>
      <c r="W19" s="770">
        <v>1.9568571534285717</v>
      </c>
      <c r="X19" s="770">
        <v>124.01500048571428</v>
      </c>
      <c r="Y19" s="770">
        <v>41.578285762857142</v>
      </c>
    </row>
    <row r="20" spans="1:25" ht="11.25" customHeight="1">
      <c r="A20" s="132"/>
      <c r="B20" s="156"/>
      <c r="C20" s="132"/>
      <c r="D20" s="156"/>
      <c r="E20" s="156"/>
      <c r="F20" s="177"/>
      <c r="G20" s="178"/>
      <c r="H20" s="178"/>
      <c r="I20" s="179"/>
      <c r="J20" s="25"/>
      <c r="K20" s="26"/>
      <c r="L20" s="22"/>
      <c r="N20" s="771"/>
      <c r="O20" s="771"/>
      <c r="P20" s="773">
        <v>17</v>
      </c>
      <c r="Q20" s="770">
        <v>14.535142626081141</v>
      </c>
      <c r="R20" s="770">
        <v>7.95871441704886</v>
      </c>
      <c r="S20" s="770">
        <v>118.61742946079741</v>
      </c>
      <c r="T20" s="770">
        <v>86.636999947684131</v>
      </c>
      <c r="U20" s="770">
        <v>19.662570953369116</v>
      </c>
      <c r="V20" s="770">
        <v>14.007261548723459</v>
      </c>
      <c r="W20" s="770">
        <v>2.0897142546517471</v>
      </c>
      <c r="X20" s="770">
        <v>109.72071402413471</v>
      </c>
      <c r="Y20" s="770">
        <v>32.277857099260544</v>
      </c>
    </row>
    <row r="21" spans="1:25" ht="11.25" customHeight="1">
      <c r="A21" s="132"/>
      <c r="B21" s="156"/>
      <c r="C21" s="132"/>
      <c r="D21" s="156"/>
      <c r="E21" s="156"/>
      <c r="F21" s="177"/>
      <c r="G21" s="178"/>
      <c r="H21" s="178"/>
      <c r="I21" s="179"/>
      <c r="J21" s="25"/>
      <c r="K21" s="29"/>
      <c r="L21" s="30"/>
      <c r="N21" s="771"/>
      <c r="O21" s="771"/>
      <c r="P21" s="773">
        <v>18</v>
      </c>
      <c r="Q21" s="770">
        <v>15.919285638571427</v>
      </c>
      <c r="R21" s="770">
        <v>12.133857388142859</v>
      </c>
      <c r="S21" s="770">
        <v>119.46943012857146</v>
      </c>
      <c r="T21" s="770">
        <v>95.79771531714286</v>
      </c>
      <c r="U21" s="770">
        <v>21.329571314285715</v>
      </c>
      <c r="V21" s="770">
        <v>12.484048571428572</v>
      </c>
      <c r="W21" s="770">
        <v>2.074857081857143</v>
      </c>
      <c r="X21" s="770">
        <v>121.69785745714287</v>
      </c>
      <c r="Y21" s="770">
        <v>27.218570980000003</v>
      </c>
    </row>
    <row r="22" spans="1:25" ht="11.25" customHeight="1">
      <c r="A22" s="137"/>
      <c r="B22" s="156"/>
      <c r="C22" s="132"/>
      <c r="D22" s="156"/>
      <c r="E22" s="156"/>
      <c r="F22" s="177"/>
      <c r="G22" s="178"/>
      <c r="H22" s="178"/>
      <c r="I22" s="179"/>
      <c r="J22" s="25"/>
      <c r="K22" s="26"/>
      <c r="L22" s="22"/>
      <c r="N22" s="771"/>
      <c r="O22" s="771"/>
      <c r="P22" s="773">
        <v>19</v>
      </c>
      <c r="Q22" s="770">
        <v>16.148714472857144</v>
      </c>
      <c r="R22" s="770">
        <v>14.776714189999998</v>
      </c>
      <c r="S22" s="770">
        <v>179.62085941428572</v>
      </c>
      <c r="T22" s="770">
        <v>63.654857091428575</v>
      </c>
      <c r="U22" s="770">
        <v>18.961428234285709</v>
      </c>
      <c r="V22" s="770">
        <v>11.436902861999998</v>
      </c>
      <c r="W22" s="770">
        <v>1.6491428614285712</v>
      </c>
      <c r="X22" s="770">
        <v>98.23285565285714</v>
      </c>
      <c r="Y22" s="770">
        <v>23.996714454285712</v>
      </c>
    </row>
    <row r="23" spans="1:25" ht="11.25" customHeight="1">
      <c r="A23" s="137"/>
      <c r="B23" s="156"/>
      <c r="C23" s="132"/>
      <c r="D23" s="156"/>
      <c r="E23" s="156"/>
      <c r="F23" s="177"/>
      <c r="G23" s="178"/>
      <c r="H23" s="178"/>
      <c r="I23" s="179"/>
      <c r="J23" s="25"/>
      <c r="K23" s="26"/>
      <c r="L23" s="22"/>
      <c r="N23" s="771"/>
      <c r="O23" s="771"/>
      <c r="P23" s="773">
        <v>20</v>
      </c>
      <c r="Q23" s="770">
        <v>13.91285719</v>
      </c>
      <c r="R23" s="770">
        <v>10.484285559</v>
      </c>
      <c r="S23" s="770">
        <v>132.41042655714287</v>
      </c>
      <c r="T23" s="770">
        <v>63.017857142857146</v>
      </c>
      <c r="U23" s="770">
        <v>17.724285941428572</v>
      </c>
      <c r="V23" s="770">
        <v>12.01881</v>
      </c>
      <c r="W23" s="770">
        <v>1.6491428614285712</v>
      </c>
      <c r="X23" s="770">
        <v>74.486427307142861</v>
      </c>
      <c r="Y23" s="770">
        <v>27.218570980000003</v>
      </c>
    </row>
    <row r="24" spans="1:25" ht="11.25" customHeight="1">
      <c r="A24" s="137"/>
      <c r="B24" s="156"/>
      <c r="C24" s="132"/>
      <c r="D24" s="156"/>
      <c r="E24" s="156"/>
      <c r="F24" s="177"/>
      <c r="G24" s="178"/>
      <c r="H24" s="178"/>
      <c r="I24" s="179"/>
      <c r="J24" s="26"/>
      <c r="K24" s="26"/>
      <c r="L24" s="22"/>
      <c r="N24" s="771"/>
      <c r="O24" s="771"/>
      <c r="P24" s="773">
        <v>21</v>
      </c>
      <c r="Q24" s="770">
        <v>12.832571710859</v>
      </c>
      <c r="R24" s="770">
        <v>8.7072857448032899</v>
      </c>
      <c r="S24" s="770">
        <v>118.96285901750787</v>
      </c>
      <c r="T24" s="770">
        <v>55.553428649902308</v>
      </c>
      <c r="U24" s="770">
        <v>14.547714369637587</v>
      </c>
      <c r="V24" s="770">
        <v>11.963334356035457</v>
      </c>
      <c r="W24" s="770">
        <v>1.6175714560917398</v>
      </c>
      <c r="X24" s="770">
        <v>66.354285648890865</v>
      </c>
      <c r="Y24" s="770">
        <v>17.639571326119512</v>
      </c>
    </row>
    <row r="25" spans="1:25" ht="11.25" customHeight="1">
      <c r="A25" s="137"/>
      <c r="B25" s="156"/>
      <c r="C25" s="132"/>
      <c r="D25" s="156"/>
      <c r="E25" s="156"/>
      <c r="F25" s="177"/>
      <c r="G25" s="178"/>
      <c r="H25" s="178"/>
      <c r="I25" s="179"/>
      <c r="J25" s="25"/>
      <c r="K25" s="29"/>
      <c r="L25" s="30"/>
      <c r="N25" s="771"/>
      <c r="O25" s="771"/>
      <c r="P25" s="773">
        <v>22</v>
      </c>
      <c r="Q25" s="770">
        <v>11.589857237142857</v>
      </c>
      <c r="R25" s="770">
        <v>7.6087141037142851</v>
      </c>
      <c r="S25" s="770">
        <v>92.527713229999989</v>
      </c>
      <c r="T25" s="770">
        <v>48.85114288285714</v>
      </c>
      <c r="U25" s="770">
        <v>12.851142882857143</v>
      </c>
      <c r="V25" s="770">
        <v>11.972144264285713</v>
      </c>
      <c r="W25" s="770">
        <v>1.7258571555714286</v>
      </c>
      <c r="X25" s="770">
        <v>60.742857795714293</v>
      </c>
      <c r="Y25" s="770">
        <v>13.389714241428573</v>
      </c>
    </row>
    <row r="26" spans="1:25" ht="11.25" customHeight="1">
      <c r="A26" s="137"/>
      <c r="B26" s="156"/>
      <c r="C26" s="132"/>
      <c r="D26" s="156"/>
      <c r="E26" s="156"/>
      <c r="F26" s="138"/>
      <c r="G26" s="138"/>
      <c r="H26" s="138"/>
      <c r="I26" s="138"/>
      <c r="J26" s="23"/>
      <c r="K26" s="26"/>
      <c r="L26" s="22"/>
      <c r="N26" s="771"/>
      <c r="O26" s="771"/>
      <c r="P26" s="773">
        <v>23</v>
      </c>
      <c r="Q26" s="770">
        <v>10.866000038571428</v>
      </c>
      <c r="R26" s="770">
        <v>6.6898570742857144</v>
      </c>
      <c r="S26" s="770">
        <v>86.262142725714284</v>
      </c>
      <c r="T26" s="770">
        <v>49.02971431142857</v>
      </c>
      <c r="U26" s="770">
        <v>13.300571305714286</v>
      </c>
      <c r="V26" s="770">
        <v>12.060297148571431</v>
      </c>
      <c r="W26" s="770">
        <v>2.2755714314285713</v>
      </c>
      <c r="X26" s="770">
        <v>60.932143074285719</v>
      </c>
      <c r="Y26" s="770">
        <v>13.06000001</v>
      </c>
    </row>
    <row r="27" spans="1:25" ht="11.25" customHeight="1">
      <c r="A27" s="137"/>
      <c r="B27" s="156"/>
      <c r="C27" s="132"/>
      <c r="D27" s="156"/>
      <c r="E27" s="156"/>
      <c r="F27" s="138"/>
      <c r="G27" s="138"/>
      <c r="H27" s="138"/>
      <c r="I27" s="138"/>
      <c r="J27" s="23"/>
      <c r="K27" s="26"/>
      <c r="L27" s="22"/>
      <c r="N27" s="771"/>
      <c r="O27" s="771">
        <v>24</v>
      </c>
      <c r="P27" s="773">
        <v>24</v>
      </c>
      <c r="Q27" s="770">
        <v>10.893428530011814</v>
      </c>
      <c r="R27" s="770">
        <v>6.3937142235892095</v>
      </c>
      <c r="S27" s="770">
        <v>80.154999869210343</v>
      </c>
      <c r="T27" s="770">
        <v>39.363000052315797</v>
      </c>
      <c r="U27" s="770">
        <v>11.205857140677287</v>
      </c>
      <c r="V27" s="770">
        <v>12.025059972490542</v>
      </c>
      <c r="W27" s="770">
        <v>2.2755714314324473</v>
      </c>
      <c r="X27" s="770">
        <v>56.771429334367994</v>
      </c>
      <c r="Y27" s="770">
        <v>10.094714164733857</v>
      </c>
    </row>
    <row r="28" spans="1:25" ht="11.25" customHeight="1">
      <c r="A28" s="136"/>
      <c r="B28" s="138"/>
      <c r="C28" s="138"/>
      <c r="D28" s="138"/>
      <c r="E28" s="138"/>
      <c r="F28" s="138"/>
      <c r="G28" s="138"/>
      <c r="H28" s="138"/>
      <c r="I28" s="138"/>
      <c r="J28" s="25"/>
      <c r="K28" s="26"/>
      <c r="L28" s="22"/>
      <c r="N28" s="771"/>
      <c r="O28" s="771"/>
      <c r="P28" s="773">
        <v>25</v>
      </c>
      <c r="Q28" s="770">
        <v>9.7685713087142858</v>
      </c>
      <c r="R28" s="770">
        <v>5.4858571460000007</v>
      </c>
      <c r="S28" s="770">
        <v>71.438000270000003</v>
      </c>
      <c r="T28" s="770">
        <v>31.88514287142857</v>
      </c>
      <c r="U28" s="770">
        <v>9.1724285395714276</v>
      </c>
      <c r="V28" s="770">
        <v>11.867550168571428</v>
      </c>
      <c r="W28" s="770">
        <v>1.7577142885714285</v>
      </c>
      <c r="X28" s="770">
        <v>51.780714305714291</v>
      </c>
      <c r="Y28" s="770">
        <v>9.1595716474285691</v>
      </c>
    </row>
    <row r="29" spans="1:25" ht="11.25" customHeight="1">
      <c r="A29" s="136"/>
      <c r="B29" s="138"/>
      <c r="C29" s="138"/>
      <c r="D29" s="138"/>
      <c r="E29" s="138"/>
      <c r="F29" s="138"/>
      <c r="G29" s="138"/>
      <c r="H29" s="138"/>
      <c r="I29" s="138"/>
      <c r="J29" s="25"/>
      <c r="K29" s="26"/>
      <c r="L29" s="22"/>
      <c r="N29" s="771"/>
      <c r="O29" s="771"/>
      <c r="P29" s="773">
        <v>26</v>
      </c>
      <c r="Q29" s="770">
        <v>9.3011428291428579</v>
      </c>
      <c r="R29" s="770">
        <v>5.6422856875714285</v>
      </c>
      <c r="S29" s="770">
        <v>70.798141479999998</v>
      </c>
      <c r="T29" s="770">
        <v>29.80342864857143</v>
      </c>
      <c r="U29" s="770">
        <v>8.6642858641428564</v>
      </c>
      <c r="V29" s="770">
        <v>11.961507115714285</v>
      </c>
      <c r="W29" s="770">
        <v>1.7387143204285713</v>
      </c>
      <c r="X29" s="770">
        <v>47.265713828571435</v>
      </c>
      <c r="Y29" s="770">
        <v>8.8348572594285706</v>
      </c>
    </row>
    <row r="30" spans="1:25" ht="11.25" customHeight="1">
      <c r="A30" s="136"/>
      <c r="B30" s="138"/>
      <c r="C30" s="138"/>
      <c r="D30" s="138"/>
      <c r="E30" s="138"/>
      <c r="F30" s="138"/>
      <c r="G30" s="138"/>
      <c r="H30" s="138"/>
      <c r="I30" s="138"/>
      <c r="J30" s="25"/>
      <c r="K30" s="26"/>
      <c r="L30" s="22"/>
      <c r="N30" s="771"/>
      <c r="O30" s="771"/>
      <c r="P30" s="773">
        <v>27</v>
      </c>
      <c r="Q30" s="770">
        <v>9.0898572376796078</v>
      </c>
      <c r="R30" s="770">
        <v>4.8411428587777223</v>
      </c>
      <c r="S30" s="770">
        <v>72.323284694126613</v>
      </c>
      <c r="T30" s="770">
        <v>28.875142778669062</v>
      </c>
      <c r="U30" s="770">
        <v>8.3150001253400507</v>
      </c>
      <c r="V30" s="770">
        <v>12.125935554504371</v>
      </c>
      <c r="W30" s="770">
        <v>2.0545714242117699</v>
      </c>
      <c r="X30" s="770">
        <v>44.601428440638877</v>
      </c>
      <c r="Y30" s="770">
        <v>8.4665715353829452</v>
      </c>
    </row>
    <row r="31" spans="1:25" ht="11.25" customHeight="1">
      <c r="A31" s="136"/>
      <c r="B31" s="138"/>
      <c r="C31" s="138"/>
      <c r="D31" s="138"/>
      <c r="E31" s="138"/>
      <c r="F31" s="138"/>
      <c r="G31" s="138"/>
      <c r="H31" s="138"/>
      <c r="I31" s="138"/>
      <c r="J31" s="25"/>
      <c r="K31" s="26"/>
      <c r="L31" s="22"/>
      <c r="N31" s="771"/>
      <c r="O31" s="771"/>
      <c r="P31" s="773">
        <v>28</v>
      </c>
      <c r="Q31" s="770">
        <v>8.3315715788571421</v>
      </c>
      <c r="R31" s="770">
        <v>4.0902857780000001</v>
      </c>
      <c r="S31" s="770">
        <v>70.352427891428562</v>
      </c>
      <c r="T31" s="770">
        <v>27.071428571428573</v>
      </c>
      <c r="U31" s="770">
        <v>7.9792855807142846</v>
      </c>
      <c r="V31" s="770">
        <v>12.036131450000001</v>
      </c>
      <c r="W31" s="770">
        <v>1.862857103571429</v>
      </c>
      <c r="X31" s="770">
        <v>42.742857252857149</v>
      </c>
      <c r="Y31" s="770">
        <v>7.6952857290000001</v>
      </c>
    </row>
    <row r="32" spans="1:25" ht="11.25" customHeight="1">
      <c r="A32" s="136"/>
      <c r="B32" s="138"/>
      <c r="C32" s="138"/>
      <c r="D32" s="138"/>
      <c r="E32" s="138"/>
      <c r="F32" s="138"/>
      <c r="G32" s="138"/>
      <c r="H32" s="138"/>
      <c r="I32" s="138"/>
      <c r="J32" s="26"/>
      <c r="K32" s="26"/>
      <c r="L32" s="22"/>
      <c r="N32" s="771"/>
      <c r="O32" s="771"/>
      <c r="P32" s="773">
        <v>29</v>
      </c>
      <c r="Q32" s="770">
        <v>8.7399999755714273</v>
      </c>
      <c r="R32" s="770">
        <v>3.3690000857142857</v>
      </c>
      <c r="S32" s="770">
        <v>69.363000051428585</v>
      </c>
      <c r="T32" s="770">
        <v>26.369142805714286</v>
      </c>
      <c r="U32" s="770">
        <v>7.2952857698571441</v>
      </c>
      <c r="V32" s="770">
        <v>12.01250158142857</v>
      </c>
      <c r="W32" s="770">
        <v>2.1428571427142855</v>
      </c>
      <c r="X32" s="770">
        <v>40.262857164285712</v>
      </c>
      <c r="Y32" s="770">
        <v>7.1297142847142867</v>
      </c>
    </row>
    <row r="33" spans="1:25" ht="11.25" customHeight="1">
      <c r="A33" s="136"/>
      <c r="B33" s="138"/>
      <c r="C33" s="138"/>
      <c r="D33" s="138"/>
      <c r="E33" s="138"/>
      <c r="F33" s="138"/>
      <c r="G33" s="138"/>
      <c r="H33" s="138"/>
      <c r="I33" s="138"/>
      <c r="J33" s="25"/>
      <c r="K33" s="26"/>
      <c r="L33" s="22"/>
      <c r="N33" s="771"/>
      <c r="O33" s="771"/>
      <c r="P33" s="773">
        <v>30</v>
      </c>
      <c r="Q33" s="770">
        <v>8.2612857819999999</v>
      </c>
      <c r="R33" s="770">
        <v>3.9334286622857135</v>
      </c>
      <c r="S33" s="770">
        <v>68.101856775714282</v>
      </c>
      <c r="T33" s="770">
        <v>23.077571325714285</v>
      </c>
      <c r="U33" s="770">
        <v>7.5452858379999999</v>
      </c>
      <c r="V33" s="770">
        <v>12.065415654285715</v>
      </c>
      <c r="W33" s="770">
        <v>2.0148571899999999</v>
      </c>
      <c r="X33" s="770">
        <v>39.827141895714291</v>
      </c>
      <c r="Y33" s="770">
        <v>8.1214285577142853</v>
      </c>
    </row>
    <row r="34" spans="1:25" ht="11.25" customHeight="1">
      <c r="A34" s="136"/>
      <c r="B34" s="138"/>
      <c r="C34" s="138"/>
      <c r="D34" s="138"/>
      <c r="E34" s="138"/>
      <c r="F34" s="138"/>
      <c r="G34" s="138"/>
      <c r="H34" s="138"/>
      <c r="I34" s="138"/>
      <c r="J34" s="25"/>
      <c r="K34" s="34"/>
      <c r="L34" s="22"/>
      <c r="N34" s="771"/>
      <c r="O34" s="771"/>
      <c r="P34" s="773">
        <v>31</v>
      </c>
      <c r="Q34" s="770">
        <v>7.5295715331428577</v>
      </c>
      <c r="R34" s="770">
        <v>3.8718570981428577</v>
      </c>
      <c r="S34" s="770">
        <v>66.163572037142856</v>
      </c>
      <c r="T34" s="770">
        <v>20.36314283098493</v>
      </c>
      <c r="U34" s="770">
        <v>7.1267142297142865</v>
      </c>
      <c r="V34" s="770">
        <v>12.064045632857143</v>
      </c>
      <c r="W34" s="770">
        <v>2.0708571672857143</v>
      </c>
      <c r="X34" s="770">
        <v>37.761428834285709</v>
      </c>
      <c r="Y34" s="770">
        <v>8.1097143717142863</v>
      </c>
    </row>
    <row r="35" spans="1:25" ht="11.25" customHeight="1">
      <c r="A35" s="136"/>
      <c r="B35" s="138"/>
      <c r="C35" s="138"/>
      <c r="D35" s="138"/>
      <c r="E35" s="138"/>
      <c r="F35" s="138"/>
      <c r="G35" s="138"/>
      <c r="H35" s="138"/>
      <c r="I35" s="138"/>
      <c r="J35" s="25"/>
      <c r="K35" s="34"/>
      <c r="L35" s="38"/>
      <c r="N35" s="771"/>
      <c r="O35" s="771">
        <v>32</v>
      </c>
      <c r="P35" s="773">
        <v>32</v>
      </c>
      <c r="Q35" s="770">
        <v>7.1332857268197154</v>
      </c>
      <c r="R35" s="770">
        <v>3.9694285733359158</v>
      </c>
      <c r="S35" s="770">
        <v>69.589143480573355</v>
      </c>
      <c r="T35" s="770">
        <v>20.36</v>
      </c>
      <c r="U35" s="770">
        <v>6.828428472791396</v>
      </c>
      <c r="V35" s="770">
        <v>11.89809417724604</v>
      </c>
      <c r="W35" s="770">
        <v>1.7728571551186658</v>
      </c>
      <c r="X35" s="770">
        <v>37.760714394705587</v>
      </c>
      <c r="Y35" s="770">
        <v>10.538714272635294</v>
      </c>
    </row>
    <row r="36" spans="1:25" ht="11.25" customHeight="1">
      <c r="A36" s="136"/>
      <c r="B36" s="138"/>
      <c r="C36" s="138"/>
      <c r="D36" s="138"/>
      <c r="E36" s="138"/>
      <c r="F36" s="138"/>
      <c r="G36" s="138"/>
      <c r="H36" s="138"/>
      <c r="I36" s="138"/>
      <c r="J36" s="25"/>
      <c r="K36" s="29"/>
      <c r="L36" s="22"/>
      <c r="N36" s="771"/>
      <c r="O36" s="771"/>
      <c r="P36" s="773">
        <v>33</v>
      </c>
      <c r="Q36" s="770">
        <v>7.307000092</v>
      </c>
      <c r="R36" s="770">
        <v>4.0542857307142848</v>
      </c>
      <c r="S36" s="770">
        <v>67.52914374142857</v>
      </c>
      <c r="T36" s="770">
        <v>23.369000025714286</v>
      </c>
      <c r="U36" s="770">
        <v>6.6690000125714279</v>
      </c>
      <c r="V36" s="770">
        <v>11.954105787142856</v>
      </c>
      <c r="W36" s="770">
        <v>1.7154285907142857</v>
      </c>
      <c r="X36" s="770">
        <v>38.402142115714284</v>
      </c>
      <c r="Y36" s="770">
        <v>6.1292857952857149</v>
      </c>
    </row>
    <row r="37" spans="1:25" ht="11.25" customHeight="1">
      <c r="A37" s="136"/>
      <c r="B37" s="138"/>
      <c r="C37" s="138"/>
      <c r="D37" s="138"/>
      <c r="E37" s="138"/>
      <c r="F37" s="138"/>
      <c r="G37" s="138"/>
      <c r="H37" s="138"/>
      <c r="I37" s="138"/>
      <c r="J37" s="25"/>
      <c r="K37" s="29"/>
      <c r="L37" s="22"/>
      <c r="N37" s="771"/>
      <c r="O37" s="771"/>
      <c r="P37" s="773">
        <v>34</v>
      </c>
      <c r="Q37" s="770">
        <v>6.8864285605714288</v>
      </c>
      <c r="R37" s="770">
        <v>3.8852857181428568</v>
      </c>
      <c r="S37" s="770">
        <v>67.307859692857136</v>
      </c>
      <c r="T37" s="770">
        <v>24.434428622857144</v>
      </c>
      <c r="U37" s="770">
        <v>6.6477142742857138</v>
      </c>
      <c r="V37" s="770">
        <v>11.958392961428572</v>
      </c>
      <c r="W37" s="770">
        <v>2.26100002</v>
      </c>
      <c r="X37" s="770">
        <v>36.792856487142856</v>
      </c>
      <c r="Y37" s="770">
        <v>6.0765714645714288</v>
      </c>
    </row>
    <row r="38" spans="1:25" ht="11.25" customHeight="1">
      <c r="A38" s="136"/>
      <c r="B38" s="138"/>
      <c r="C38" s="138"/>
      <c r="D38" s="138"/>
      <c r="E38" s="138"/>
      <c r="F38" s="138"/>
      <c r="G38" s="138"/>
      <c r="H38" s="138"/>
      <c r="I38" s="138"/>
      <c r="J38" s="25"/>
      <c r="K38" s="29"/>
      <c r="L38" s="22"/>
      <c r="N38" s="771"/>
      <c r="O38" s="771"/>
      <c r="P38" s="773">
        <v>35</v>
      </c>
      <c r="Q38" s="770">
        <v>6.9537143707275364</v>
      </c>
      <c r="R38" s="770">
        <v>3.3560000147138283</v>
      </c>
      <c r="S38" s="770">
        <v>62.870428357805473</v>
      </c>
      <c r="T38" s="770">
        <v>21.077428545270632</v>
      </c>
      <c r="U38" s="770">
        <v>6.0071428843906904</v>
      </c>
      <c r="V38" s="770">
        <v>12.309941428048228</v>
      </c>
      <c r="W38" s="770">
        <v>1.5178571258272411</v>
      </c>
      <c r="X38" s="770">
        <v>37.991428375244077</v>
      </c>
      <c r="Y38" s="770">
        <v>5.9287142923900031</v>
      </c>
    </row>
    <row r="39" spans="1:25" ht="11.25" customHeight="1">
      <c r="N39" s="771"/>
      <c r="O39" s="771"/>
      <c r="P39" s="773">
        <v>36</v>
      </c>
      <c r="Q39" s="770">
        <v>6.8990000316074882</v>
      </c>
      <c r="R39" s="770">
        <v>3.1212857110159686</v>
      </c>
      <c r="S39" s="770">
        <v>65.621286119733483</v>
      </c>
      <c r="T39" s="770">
        <v>23.857142857142815</v>
      </c>
      <c r="U39" s="770">
        <v>6.0528572627476231</v>
      </c>
      <c r="V39" s="770">
        <v>12.697084290640644</v>
      </c>
      <c r="W39" s="770">
        <v>1.0650000040020247</v>
      </c>
      <c r="X39" s="770">
        <v>40.24999999999995</v>
      </c>
      <c r="Y39" s="770">
        <v>6.6625714302062962</v>
      </c>
    </row>
    <row r="40" spans="1:25" ht="11.25" customHeight="1">
      <c r="A40" s="905" t="s">
        <v>551</v>
      </c>
      <c r="B40" s="905"/>
      <c r="C40" s="905"/>
      <c r="D40" s="905"/>
      <c r="E40" s="905"/>
      <c r="F40" s="905"/>
      <c r="G40" s="905"/>
      <c r="H40" s="905"/>
      <c r="I40" s="905"/>
      <c r="J40" s="905"/>
      <c r="K40" s="905"/>
      <c r="L40" s="905"/>
      <c r="N40" s="771"/>
      <c r="O40" s="771"/>
      <c r="P40" s="773">
        <v>37</v>
      </c>
      <c r="Q40" s="770">
        <v>6.6838571003505107</v>
      </c>
      <c r="R40" s="770">
        <v>3.6978571414947474</v>
      </c>
      <c r="S40" s="770">
        <v>65.927430289132204</v>
      </c>
      <c r="T40" s="770">
        <v>21.696428571428545</v>
      </c>
      <c r="U40" s="770">
        <v>5.992857115609298</v>
      </c>
      <c r="V40" s="770">
        <v>12.722499983651257</v>
      </c>
      <c r="W40" s="770">
        <v>1.5737142903464156</v>
      </c>
      <c r="X40" s="770">
        <v>41.220714024135006</v>
      </c>
      <c r="Y40" s="770">
        <v>6.7525714465549971</v>
      </c>
    </row>
    <row r="41" spans="1:25" ht="11.25" customHeight="1">
      <c r="N41" s="771"/>
      <c r="O41" s="771"/>
      <c r="P41" s="773">
        <v>38</v>
      </c>
      <c r="Q41" s="770">
        <v>7.5399999618530247</v>
      </c>
      <c r="R41" s="770">
        <v>4.336428608285714</v>
      </c>
      <c r="S41" s="770">
        <v>68.259427751813561</v>
      </c>
      <c r="T41" s="770">
        <v>32.958285740443614</v>
      </c>
      <c r="U41" s="770">
        <v>6.3054285049438423</v>
      </c>
      <c r="V41" s="770">
        <v>12.757261548723429</v>
      </c>
      <c r="W41" s="770">
        <v>1.6808571304593714</v>
      </c>
      <c r="X41" s="770">
        <v>38.451428549630243</v>
      </c>
      <c r="Y41" s="770">
        <v>6.3287143026079411</v>
      </c>
    </row>
    <row r="42" spans="1:25" ht="11.25" customHeight="1">
      <c r="A42" s="136"/>
      <c r="B42" s="138"/>
      <c r="C42" s="138"/>
      <c r="D42" s="138"/>
      <c r="E42" s="138"/>
      <c r="F42" s="138"/>
      <c r="G42" s="138"/>
      <c r="H42" s="138"/>
      <c r="I42" s="138"/>
      <c r="N42" s="771"/>
      <c r="O42" s="771"/>
      <c r="P42" s="773">
        <v>39</v>
      </c>
      <c r="Q42" s="770">
        <v>6.875</v>
      </c>
      <c r="R42" s="770">
        <v>3.7</v>
      </c>
      <c r="S42" s="770">
        <v>75.159429278571437</v>
      </c>
      <c r="T42" s="770">
        <v>41.827428545714284</v>
      </c>
      <c r="U42" s="770">
        <v>7.6855713981428568</v>
      </c>
      <c r="V42" s="770">
        <v>12.744882855714284</v>
      </c>
      <c r="W42" s="770">
        <v>1.6871428661428571</v>
      </c>
      <c r="X42" s="770">
        <v>41.307143075714286</v>
      </c>
      <c r="Y42" s="770">
        <v>7.4534285069999999</v>
      </c>
    </row>
    <row r="43" spans="1:25" ht="11.25" customHeight="1">
      <c r="A43" s="136"/>
      <c r="B43" s="138"/>
      <c r="C43" s="138"/>
      <c r="D43" s="138"/>
      <c r="E43" s="138"/>
      <c r="F43" s="138"/>
      <c r="G43" s="138"/>
      <c r="H43" s="138"/>
      <c r="I43" s="138"/>
      <c r="N43" s="771"/>
      <c r="O43" s="771">
        <v>40</v>
      </c>
      <c r="P43" s="773">
        <v>40</v>
      </c>
      <c r="Q43" s="770">
        <v>6.0911429268571426</v>
      </c>
      <c r="R43" s="770">
        <v>3.501428569857143</v>
      </c>
      <c r="S43" s="770">
        <v>73.523286004285723</v>
      </c>
      <c r="T43" s="770">
        <v>30.178571428571427</v>
      </c>
      <c r="U43" s="770">
        <v>7.8047143392857157</v>
      </c>
      <c r="V43" s="770">
        <v>13.59601129857143</v>
      </c>
      <c r="W43" s="770">
        <v>1.6130000010000001</v>
      </c>
      <c r="X43" s="770">
        <v>45.036428724285713</v>
      </c>
      <c r="Y43" s="770">
        <v>6.0369999748571432</v>
      </c>
    </row>
    <row r="44" spans="1:25" ht="11.25" customHeight="1">
      <c r="A44" s="136"/>
      <c r="B44" s="138"/>
      <c r="C44" s="138"/>
      <c r="D44" s="138"/>
      <c r="E44" s="138"/>
      <c r="F44" s="138"/>
      <c r="G44" s="138"/>
      <c r="H44" s="138"/>
      <c r="I44" s="138"/>
      <c r="N44" s="771"/>
      <c r="O44" s="771"/>
      <c r="P44" s="773">
        <v>41</v>
      </c>
      <c r="Q44" s="770">
        <v>5.8652857372857152</v>
      </c>
      <c r="R44" s="770">
        <v>4.2169999735714283</v>
      </c>
      <c r="S44" s="770">
        <v>67.761285509999993</v>
      </c>
      <c r="T44" s="770">
        <v>24.547571454285713</v>
      </c>
      <c r="U44" s="770">
        <v>6.762428624428571</v>
      </c>
      <c r="V44" s="770">
        <v>13.258037294285714</v>
      </c>
      <c r="W44" s="770">
        <v>1.8452857051428571</v>
      </c>
      <c r="X44" s="770">
        <v>44.255714417142862</v>
      </c>
      <c r="Y44" s="770">
        <v>6.8767141612857143</v>
      </c>
    </row>
    <row r="45" spans="1:25" ht="11.25" customHeight="1">
      <c r="A45" s="136"/>
      <c r="B45" s="138"/>
      <c r="C45" s="138"/>
      <c r="D45" s="138"/>
      <c r="E45" s="138"/>
      <c r="F45" s="138"/>
      <c r="G45" s="138"/>
      <c r="H45" s="138"/>
      <c r="I45" s="138"/>
      <c r="N45" s="771"/>
      <c r="O45" s="771"/>
      <c r="P45" s="773">
        <v>42</v>
      </c>
      <c r="Q45" s="770">
        <v>6.6280000550406255</v>
      </c>
      <c r="R45" s="770">
        <v>4.7599999564034556</v>
      </c>
      <c r="S45" s="770">
        <v>71.132857186453606</v>
      </c>
      <c r="T45" s="770">
        <v>41.773857116699205</v>
      </c>
      <c r="U45" s="770">
        <v>7.8334286553519048</v>
      </c>
      <c r="V45" s="770">
        <v>12.748987061636742</v>
      </c>
      <c r="W45" s="770">
        <v>1.9990000043596503</v>
      </c>
      <c r="X45" s="770">
        <v>49.407857077462303</v>
      </c>
      <c r="Y45" s="770">
        <v>6.4478571755545433</v>
      </c>
    </row>
    <row r="46" spans="1:25" ht="11.25" customHeight="1">
      <c r="A46" s="136"/>
      <c r="B46" s="138"/>
      <c r="C46" s="138"/>
      <c r="D46" s="138"/>
      <c r="E46" s="138"/>
      <c r="F46" s="138"/>
      <c r="G46" s="138"/>
      <c r="H46" s="138"/>
      <c r="I46" s="138"/>
      <c r="N46" s="771"/>
      <c r="O46" s="771"/>
      <c r="P46" s="773">
        <v>43</v>
      </c>
      <c r="Q46" s="770">
        <v>7.1351429394285715</v>
      </c>
      <c r="R46" s="770">
        <v>5.693714175857143</v>
      </c>
      <c r="S46" s="770">
        <v>76.869857788571409</v>
      </c>
      <c r="T46" s="770">
        <v>39.60114288285714</v>
      </c>
      <c r="U46" s="770">
        <v>6.4934286387142857</v>
      </c>
      <c r="V46" s="770">
        <v>12.771309988571426</v>
      </c>
      <c r="W46" s="770">
        <v>1.5481428758571429</v>
      </c>
      <c r="X46" s="770">
        <v>49.056428090000004</v>
      </c>
      <c r="Y46" s="770">
        <v>6.2457143240000006</v>
      </c>
    </row>
    <row r="47" spans="1:25" ht="11.25" customHeight="1">
      <c r="A47" s="136"/>
      <c r="B47" s="138"/>
      <c r="C47" s="138"/>
      <c r="D47" s="138"/>
      <c r="E47" s="138"/>
      <c r="F47" s="138"/>
      <c r="G47" s="138"/>
      <c r="H47" s="138"/>
      <c r="I47" s="138"/>
      <c r="N47" s="771"/>
      <c r="O47" s="771"/>
      <c r="P47" s="773">
        <v>44</v>
      </c>
      <c r="Q47" s="770">
        <v>6.1070000102857147</v>
      </c>
      <c r="R47" s="770">
        <v>4.3958570957142857</v>
      </c>
      <c r="S47" s="770">
        <v>68.664999825714276</v>
      </c>
      <c r="T47" s="770">
        <v>36.702285765714286</v>
      </c>
      <c r="U47" s="770">
        <v>5.6301428931428577</v>
      </c>
      <c r="V47" s="770">
        <v>13.156308445714286</v>
      </c>
      <c r="W47" s="770">
        <v>1.4392857041428573</v>
      </c>
      <c r="X47" s="770">
        <v>48.241428374285711</v>
      </c>
      <c r="Y47" s="770">
        <v>6.5374285491428568</v>
      </c>
    </row>
    <row r="48" spans="1:25">
      <c r="A48" s="136"/>
      <c r="B48" s="138"/>
      <c r="C48" s="138"/>
      <c r="D48" s="138"/>
      <c r="E48" s="138"/>
      <c r="F48" s="138"/>
      <c r="G48" s="138"/>
      <c r="H48" s="138"/>
      <c r="I48" s="138"/>
      <c r="N48" s="771"/>
      <c r="O48" s="771"/>
      <c r="P48" s="773">
        <v>45</v>
      </c>
      <c r="Q48" s="770">
        <v>5.6735714502857144</v>
      </c>
      <c r="R48" s="770">
        <v>4.5134285178571432</v>
      </c>
      <c r="S48" s="770">
        <v>62.049999781428575</v>
      </c>
      <c r="T48" s="770">
        <v>27.797571454285713</v>
      </c>
      <c r="U48" s="770">
        <v>5.3054286411428562</v>
      </c>
      <c r="V48" s="770">
        <v>12.687737055714285</v>
      </c>
      <c r="W48" s="770">
        <v>1.380714297142857</v>
      </c>
      <c r="X48" s="770">
        <v>46.33071463571428</v>
      </c>
      <c r="Y48" s="770">
        <v>6.183142798285715</v>
      </c>
    </row>
    <row r="49" spans="1:25">
      <c r="A49" s="136"/>
      <c r="B49" s="138"/>
      <c r="C49" s="138"/>
      <c r="D49" s="138"/>
      <c r="E49" s="138"/>
      <c r="F49" s="138"/>
      <c r="G49" s="138"/>
      <c r="H49" s="138"/>
      <c r="I49" s="138"/>
      <c r="N49" s="771"/>
      <c r="O49" s="771"/>
      <c r="P49" s="773">
        <v>46</v>
      </c>
      <c r="Q49" s="770">
        <v>5.9637143271428581</v>
      </c>
      <c r="R49" s="770">
        <v>5.3014286587142854</v>
      </c>
      <c r="S49" s="770">
        <v>57.546571460000003</v>
      </c>
      <c r="T49" s="770">
        <v>32.208285740000001</v>
      </c>
      <c r="U49" s="770">
        <v>5.1785714285714288</v>
      </c>
      <c r="V49" s="770">
        <v>13.157975741428572</v>
      </c>
      <c r="W49" s="770">
        <v>1.3845714331428574</v>
      </c>
      <c r="X49" s="770">
        <v>44.693571362857142</v>
      </c>
      <c r="Y49" s="770">
        <v>7.3267143794285712</v>
      </c>
    </row>
    <row r="50" spans="1:25">
      <c r="A50" s="136"/>
      <c r="B50" s="138"/>
      <c r="C50" s="138"/>
      <c r="D50" s="138"/>
      <c r="E50" s="138"/>
      <c r="F50" s="138"/>
      <c r="G50" s="138"/>
      <c r="H50" s="138"/>
      <c r="I50" s="138"/>
      <c r="N50" s="771"/>
      <c r="O50" s="771"/>
      <c r="P50" s="773">
        <v>47</v>
      </c>
      <c r="Q50" s="770">
        <v>6.7792857034285712</v>
      </c>
      <c r="R50" s="770">
        <v>3.8094285555714285</v>
      </c>
      <c r="S50" s="770">
        <v>56.944714135714285</v>
      </c>
      <c r="T50" s="770">
        <v>25.351285662857144</v>
      </c>
      <c r="U50" s="770">
        <v>6.1274285315714279</v>
      </c>
      <c r="V50" s="770">
        <v>12.246785572857144</v>
      </c>
      <c r="W50" s="770">
        <v>1.5065714290000003</v>
      </c>
      <c r="X50" s="770">
        <v>42.967857361428564</v>
      </c>
      <c r="Y50" s="770">
        <v>9.6325714934285713</v>
      </c>
    </row>
    <row r="51" spans="1:25">
      <c r="A51" s="136"/>
      <c r="B51" s="138"/>
      <c r="C51" s="138"/>
      <c r="D51" s="138"/>
      <c r="E51" s="138"/>
      <c r="F51" s="138"/>
      <c r="G51" s="138"/>
      <c r="H51" s="138"/>
      <c r="I51" s="138"/>
      <c r="N51" s="771"/>
      <c r="O51" s="771"/>
      <c r="P51" s="773">
        <v>48</v>
      </c>
      <c r="Q51" s="770">
        <v>8.2138571738571429</v>
      </c>
      <c r="R51" s="770">
        <v>5.0787143024285717</v>
      </c>
      <c r="S51" s="770">
        <v>56.829999651428572</v>
      </c>
      <c r="T51" s="770">
        <v>37.994142805714283</v>
      </c>
      <c r="U51" s="770">
        <v>8.188285623714286</v>
      </c>
      <c r="V51" s="770">
        <v>13.367501529999998</v>
      </c>
      <c r="W51" s="770">
        <v>1.0268571504285715</v>
      </c>
      <c r="X51" s="770">
        <v>63.644285474285716</v>
      </c>
      <c r="Y51" s="770">
        <v>13.102857045714286</v>
      </c>
    </row>
    <row r="52" spans="1:25">
      <c r="A52" s="136"/>
      <c r="B52" s="138"/>
      <c r="C52" s="138"/>
      <c r="D52" s="138"/>
      <c r="E52" s="138"/>
      <c r="F52" s="138"/>
      <c r="G52" s="138"/>
      <c r="H52" s="138"/>
      <c r="I52" s="138"/>
      <c r="N52" s="771"/>
      <c r="O52" s="771"/>
      <c r="P52" s="773">
        <v>49</v>
      </c>
      <c r="Q52" s="770">
        <v>17.68042864142857</v>
      </c>
      <c r="R52" s="770">
        <v>12.998142924285714</v>
      </c>
      <c r="S52" s="770">
        <v>90.966000160000007</v>
      </c>
      <c r="T52" s="770">
        <v>88.630856108571422</v>
      </c>
      <c r="U52" s="770">
        <v>14.530285971857142</v>
      </c>
      <c r="V52" s="770">
        <v>13.053452899999998</v>
      </c>
      <c r="W52" s="770">
        <v>1.0737142817142857</v>
      </c>
      <c r="X52" s="770">
        <v>90.734285625714293</v>
      </c>
      <c r="Y52" s="770">
        <v>17.667142595714285</v>
      </c>
    </row>
    <row r="53" spans="1:25">
      <c r="A53" s="136"/>
      <c r="B53" s="138"/>
      <c r="C53" s="138"/>
      <c r="D53" s="138"/>
      <c r="E53" s="138"/>
      <c r="F53" s="138"/>
      <c r="G53" s="138"/>
      <c r="H53" s="138"/>
      <c r="I53" s="138"/>
      <c r="N53" s="771"/>
      <c r="O53" s="771"/>
      <c r="P53" s="773">
        <v>50</v>
      </c>
      <c r="Q53" s="770">
        <v>12.617142812857141</v>
      </c>
      <c r="R53" s="770">
        <v>11.908142771714285</v>
      </c>
      <c r="S53" s="770">
        <v>83.198000225714296</v>
      </c>
      <c r="T53" s="770">
        <v>44.297571454285716</v>
      </c>
      <c r="U53" s="770">
        <v>9.220428467142856</v>
      </c>
      <c r="V53" s="770">
        <v>13.068511554285712</v>
      </c>
      <c r="W53" s="770">
        <v>1.2921428212857144</v>
      </c>
      <c r="X53" s="770">
        <v>57.20714296714285</v>
      </c>
      <c r="Y53" s="770">
        <v>14.238999775714285</v>
      </c>
    </row>
    <row r="54" spans="1:25">
      <c r="A54" s="136"/>
      <c r="B54" s="138"/>
      <c r="C54" s="138"/>
      <c r="D54" s="138"/>
      <c r="E54" s="138"/>
      <c r="F54" s="138"/>
      <c r="G54" s="138"/>
      <c r="H54" s="138"/>
      <c r="I54" s="138"/>
      <c r="N54" s="771"/>
      <c r="O54" s="771"/>
      <c r="P54" s="773">
        <v>51</v>
      </c>
      <c r="Q54" s="770">
        <v>19.502285685714288</v>
      </c>
      <c r="R54" s="770">
        <v>17.91042859142857</v>
      </c>
      <c r="S54" s="770">
        <v>93.582571842857163</v>
      </c>
      <c r="T54" s="770">
        <v>77.60742949714286</v>
      </c>
      <c r="U54" s="770">
        <v>9.7118571817142847</v>
      </c>
      <c r="V54" s="770">
        <v>12.987917082857143</v>
      </c>
      <c r="W54" s="770">
        <v>1.2780000142857142</v>
      </c>
      <c r="X54" s="770">
        <v>76.025713785714288</v>
      </c>
      <c r="Y54" s="770">
        <v>17.224714688571428</v>
      </c>
    </row>
    <row r="55" spans="1:25">
      <c r="A55" s="136"/>
      <c r="B55" s="138"/>
      <c r="C55" s="138"/>
      <c r="D55" s="138"/>
      <c r="E55" s="138"/>
      <c r="F55" s="138"/>
      <c r="G55" s="138"/>
      <c r="H55" s="138"/>
      <c r="I55" s="138"/>
      <c r="N55" s="771"/>
      <c r="O55" s="771">
        <v>52</v>
      </c>
      <c r="P55" s="773">
        <v>52</v>
      </c>
      <c r="Q55" s="770">
        <v>24.478714262857146</v>
      </c>
      <c r="R55" s="770">
        <v>20.052142824285713</v>
      </c>
      <c r="S55" s="770">
        <v>198.89756992857141</v>
      </c>
      <c r="T55" s="770">
        <v>158.34513965714288</v>
      </c>
      <c r="U55" s="770">
        <v>34.910285677142852</v>
      </c>
      <c r="V55" s="770">
        <v>18.967856814285714</v>
      </c>
      <c r="W55" s="770">
        <v>7.1757142371428566</v>
      </c>
      <c r="X55" s="770">
        <v>180.25785610000003</v>
      </c>
      <c r="Y55" s="770">
        <v>54.019857132857133</v>
      </c>
    </row>
    <row r="56" spans="1:25">
      <c r="A56" s="136"/>
      <c r="B56" s="138"/>
      <c r="C56" s="138"/>
      <c r="D56" s="138"/>
      <c r="E56" s="138"/>
      <c r="F56" s="138"/>
      <c r="G56" s="138"/>
      <c r="H56" s="138"/>
      <c r="I56" s="138"/>
      <c r="N56" s="771">
        <v>2021</v>
      </c>
      <c r="O56" s="771"/>
      <c r="P56" s="773">
        <v>1</v>
      </c>
      <c r="Q56" s="770">
        <v>32.471142904285713</v>
      </c>
      <c r="R56" s="770">
        <v>23.040428705714284</v>
      </c>
      <c r="S56" s="770">
        <v>363.19999692857135</v>
      </c>
      <c r="T56" s="770">
        <v>212.58328465714288</v>
      </c>
      <c r="U56" s="770">
        <v>44.205428261428565</v>
      </c>
      <c r="V56" s="770">
        <v>22.357858387142851</v>
      </c>
      <c r="W56" s="770">
        <v>6.7241427552857145</v>
      </c>
      <c r="X56" s="770">
        <v>233.42357307142856</v>
      </c>
      <c r="Y56" s="770">
        <v>70.259001594285721</v>
      </c>
    </row>
    <row r="57" spans="1:25">
      <c r="A57" s="136"/>
      <c r="B57" s="138"/>
      <c r="C57" s="138"/>
      <c r="D57" s="138"/>
      <c r="E57" s="138"/>
      <c r="F57" s="138"/>
      <c r="G57" s="138"/>
      <c r="H57" s="138"/>
      <c r="I57" s="138"/>
      <c r="N57" s="771"/>
      <c r="O57" s="771"/>
      <c r="P57" s="773">
        <v>2</v>
      </c>
      <c r="Q57" s="770">
        <v>29.357571737142859</v>
      </c>
      <c r="R57" s="770">
        <v>22.506999971428574</v>
      </c>
      <c r="S57" s="770">
        <v>323.79400198571426</v>
      </c>
      <c r="T57" s="770">
        <v>154.41086031428571</v>
      </c>
      <c r="U57" s="770">
        <v>27.91428565857143</v>
      </c>
      <c r="V57" s="770">
        <v>16.044107027142857</v>
      </c>
      <c r="W57" s="770">
        <v>3.2384286270000002</v>
      </c>
      <c r="X57" s="770">
        <v>199.51214380000002</v>
      </c>
      <c r="Y57" s="770">
        <v>58.126999447142857</v>
      </c>
    </row>
    <row r="58" spans="1:25">
      <c r="A58" s="136"/>
      <c r="B58" s="138"/>
      <c r="C58" s="138"/>
      <c r="D58" s="138"/>
      <c r="E58" s="138"/>
      <c r="F58" s="138"/>
      <c r="G58" s="138"/>
      <c r="H58" s="138"/>
      <c r="I58" s="138"/>
      <c r="N58" s="771"/>
      <c r="O58" s="771"/>
      <c r="P58" s="773">
        <v>3</v>
      </c>
      <c r="Q58" s="770">
        <v>27.718428745714288</v>
      </c>
      <c r="R58" s="770">
        <v>21.345142638571424</v>
      </c>
      <c r="S58" s="770">
        <v>401.6544320142857</v>
      </c>
      <c r="T58" s="770">
        <v>185.14285714285714</v>
      </c>
      <c r="U58" s="770">
        <v>39.37385668142857</v>
      </c>
      <c r="V58" s="770">
        <v>18.835116929999998</v>
      </c>
      <c r="W58" s="770">
        <v>6.560571466571429</v>
      </c>
      <c r="X58" s="770">
        <v>380.69428361428572</v>
      </c>
      <c r="Y58" s="770">
        <v>74.927428108571434</v>
      </c>
    </row>
    <row r="59" spans="1:25">
      <c r="A59" s="136"/>
      <c r="B59" s="138"/>
      <c r="C59" s="138"/>
      <c r="D59" s="138"/>
      <c r="E59" s="138"/>
      <c r="F59" s="138"/>
      <c r="G59" s="138"/>
      <c r="H59" s="138"/>
      <c r="I59" s="138"/>
      <c r="N59" s="771"/>
      <c r="O59" s="771"/>
      <c r="P59" s="773">
        <v>4</v>
      </c>
      <c r="Q59" s="770">
        <v>30.739285877142859</v>
      </c>
      <c r="R59" s="770">
        <v>24.126143047142854</v>
      </c>
      <c r="S59" s="770">
        <v>367.00971765714274</v>
      </c>
      <c r="T59" s="770">
        <v>156.14856614285716</v>
      </c>
      <c r="U59" s="770">
        <v>23.497714179999999</v>
      </c>
      <c r="V59" s="770">
        <v>16.004641395714284</v>
      </c>
      <c r="W59" s="770">
        <v>5.1067142825714296</v>
      </c>
      <c r="X59" s="770">
        <v>322.4650006857143</v>
      </c>
      <c r="Y59" s="770">
        <v>68.394571574285706</v>
      </c>
    </row>
    <row r="60" spans="1:25">
      <c r="A60" s="136"/>
      <c r="B60" s="138"/>
      <c r="C60" s="138"/>
      <c r="D60" s="138"/>
      <c r="E60" s="138"/>
      <c r="F60" s="138"/>
      <c r="G60" s="138"/>
      <c r="H60" s="138"/>
      <c r="I60" s="138"/>
      <c r="N60" s="771"/>
      <c r="O60" s="771"/>
      <c r="P60" s="773">
        <v>5</v>
      </c>
      <c r="Q60" s="770">
        <v>25.584571565714288</v>
      </c>
      <c r="R60" s="770">
        <v>22.874571391428567</v>
      </c>
      <c r="S60" s="770">
        <v>260.95085362857145</v>
      </c>
      <c r="T60" s="770">
        <v>108.66671425714286</v>
      </c>
      <c r="U60" s="770">
        <v>21.321428571428573</v>
      </c>
      <c r="V60" s="770">
        <v>16.024463924285715</v>
      </c>
      <c r="W60" s="770">
        <v>3.1654285022857147</v>
      </c>
      <c r="X60" s="770">
        <v>203.94785854285715</v>
      </c>
      <c r="Y60" s="770">
        <v>56.864572254285704</v>
      </c>
    </row>
    <row r="61" spans="1:25">
      <c r="A61" s="136"/>
      <c r="B61" s="138"/>
      <c r="C61" s="138"/>
      <c r="D61" s="138"/>
      <c r="E61" s="138"/>
      <c r="F61" s="138"/>
      <c r="G61" s="138"/>
      <c r="H61" s="138"/>
      <c r="I61" s="138"/>
      <c r="N61" s="771"/>
      <c r="O61" s="771"/>
      <c r="P61" s="773">
        <v>6</v>
      </c>
      <c r="Q61" s="770">
        <v>18.677976190476191</v>
      </c>
      <c r="R61" s="770">
        <v>19.115142824285716</v>
      </c>
      <c r="S61" s="770">
        <v>266.1391427142857</v>
      </c>
      <c r="T61" s="770">
        <v>132.98228671428572</v>
      </c>
      <c r="U61" s="770">
        <v>30.396999359999999</v>
      </c>
      <c r="V61" s="770">
        <v>15.963094302857142</v>
      </c>
      <c r="W61" s="770">
        <v>5.8411428927142861</v>
      </c>
      <c r="X61" s="770">
        <v>317.90785435714287</v>
      </c>
      <c r="Y61" s="770">
        <v>60.405000412857149</v>
      </c>
    </row>
    <row r="62" spans="1:25" ht="19.2" customHeight="1">
      <c r="A62" s="136"/>
      <c r="B62" s="138"/>
      <c r="C62" s="138"/>
      <c r="D62" s="138"/>
      <c r="E62" s="138"/>
      <c r="F62" s="138"/>
      <c r="G62" s="138"/>
      <c r="H62" s="138"/>
      <c r="I62" s="138"/>
      <c r="N62" s="771"/>
      <c r="O62" s="771"/>
      <c r="P62" s="773">
        <v>7</v>
      </c>
      <c r="Q62" s="770">
        <v>18.677976190476191</v>
      </c>
      <c r="R62" s="770">
        <v>18.677976190476191</v>
      </c>
      <c r="S62" s="770">
        <v>231.286666666667</v>
      </c>
      <c r="T62" s="770">
        <v>91.321428571428569</v>
      </c>
      <c r="U62" s="770">
        <v>18.5625</v>
      </c>
      <c r="V62" s="770">
        <v>14.07</v>
      </c>
      <c r="W62" s="770">
        <v>3.3580000000000001</v>
      </c>
      <c r="X62" s="770">
        <v>339.78</v>
      </c>
      <c r="Y62" s="770">
        <v>76.87</v>
      </c>
    </row>
    <row r="63" spans="1:25">
      <c r="A63" s="136"/>
      <c r="B63" s="138"/>
      <c r="C63" s="138"/>
      <c r="D63" s="138"/>
      <c r="E63" s="138"/>
      <c r="F63" s="138"/>
      <c r="G63" s="138"/>
      <c r="H63" s="138"/>
      <c r="I63" s="138"/>
      <c r="N63" s="771"/>
      <c r="O63" s="771"/>
      <c r="P63" s="773">
        <v>8</v>
      </c>
      <c r="Q63" s="770">
        <v>15.895833333333314</v>
      </c>
      <c r="R63" s="770">
        <v>8.1069999999999993</v>
      </c>
      <c r="S63" s="770">
        <v>131.62660714285707</v>
      </c>
      <c r="T63" s="770">
        <v>104.375</v>
      </c>
      <c r="U63" s="770">
        <v>21.619</v>
      </c>
      <c r="V63" s="770">
        <v>13.162619047619055</v>
      </c>
      <c r="W63" s="770">
        <v>2.181</v>
      </c>
      <c r="X63" s="770">
        <v>264.85700000000003</v>
      </c>
      <c r="Y63" s="770">
        <v>119.958</v>
      </c>
    </row>
    <row r="64" spans="1:25" ht="6" customHeight="1">
      <c r="A64" s="136"/>
      <c r="B64" s="138"/>
      <c r="C64" s="138"/>
      <c r="D64" s="138"/>
      <c r="E64" s="138"/>
      <c r="F64" s="138"/>
      <c r="G64" s="138"/>
      <c r="H64" s="138"/>
      <c r="I64" s="138"/>
      <c r="N64" s="771"/>
      <c r="O64" s="771"/>
      <c r="P64" s="773">
        <v>9</v>
      </c>
      <c r="Q64" s="770">
        <v>16.03157152448377</v>
      </c>
      <c r="R64" s="770">
        <v>10.70885712759833</v>
      </c>
      <c r="S64" s="770">
        <v>115.81614358084498</v>
      </c>
      <c r="T64" s="770">
        <v>81.571428571428527</v>
      </c>
      <c r="U64" s="770">
        <v>19.778999873570012</v>
      </c>
      <c r="V64" s="770">
        <v>11.839642660958372</v>
      </c>
      <c r="W64" s="770">
        <v>2.5798570939472714</v>
      </c>
      <c r="X64" s="770">
        <v>195.40928431919602</v>
      </c>
      <c r="Y64" s="770">
        <v>71.76285661969861</v>
      </c>
    </row>
    <row r="65" spans="1:25" ht="24.75" customHeight="1">
      <c r="A65" s="878" t="s">
        <v>550</v>
      </c>
      <c r="B65" s="878"/>
      <c r="C65" s="878"/>
      <c r="D65" s="878"/>
      <c r="E65" s="878"/>
      <c r="F65" s="878"/>
      <c r="G65" s="878"/>
      <c r="H65" s="878"/>
      <c r="I65" s="878"/>
      <c r="J65" s="878"/>
      <c r="K65" s="878"/>
      <c r="L65" s="878"/>
      <c r="N65" s="771"/>
      <c r="O65" s="771"/>
      <c r="P65" s="773">
        <v>10</v>
      </c>
      <c r="Q65" s="770">
        <v>28.276142392857142</v>
      </c>
      <c r="R65" s="770">
        <v>21.731714248571429</v>
      </c>
      <c r="S65" s="770">
        <v>254.39099884285716</v>
      </c>
      <c r="T65" s="770">
        <v>146.17256928571427</v>
      </c>
      <c r="U65" s="770">
        <v>29.352285658571429</v>
      </c>
      <c r="V65" s="770">
        <v>10.568511418142858</v>
      </c>
      <c r="W65" s="770">
        <v>2.1962857415714288</v>
      </c>
      <c r="X65" s="770">
        <v>212.2000013</v>
      </c>
      <c r="Y65" s="770">
        <v>56.04871422714286</v>
      </c>
    </row>
    <row r="66" spans="1:25" ht="20.25" customHeight="1">
      <c r="N66" s="771"/>
      <c r="O66" s="771"/>
      <c r="P66" s="773">
        <v>11</v>
      </c>
      <c r="Q66" s="770">
        <v>28.634571619999999</v>
      </c>
      <c r="R66" s="770">
        <v>21.524857657142856</v>
      </c>
      <c r="S66" s="770">
        <v>320.82542418571427</v>
      </c>
      <c r="T66" s="770">
        <v>138.12514602857144</v>
      </c>
      <c r="U66" s="770">
        <v>28.100000654285715</v>
      </c>
      <c r="V66" s="770">
        <v>11.367022922857142</v>
      </c>
      <c r="W66" s="770">
        <v>2.7152857098571426</v>
      </c>
      <c r="X66" s="770">
        <v>229.93857247142856</v>
      </c>
      <c r="Y66" s="770">
        <v>63.309571402857145</v>
      </c>
    </row>
    <row r="67" spans="1:25">
      <c r="N67" s="771"/>
      <c r="O67" s="771"/>
      <c r="P67" s="773">
        <v>12</v>
      </c>
      <c r="Q67" s="770">
        <v>28.223285404285715</v>
      </c>
      <c r="R67" s="770">
        <v>22.087285995714286</v>
      </c>
      <c r="S67" s="770">
        <v>295.67700197142852</v>
      </c>
      <c r="T67" s="770">
        <v>176.22028785714286</v>
      </c>
      <c r="U67" s="770">
        <v>43.393999101428577</v>
      </c>
      <c r="V67" s="770">
        <v>14.060239925714285</v>
      </c>
      <c r="W67" s="770">
        <v>3.625</v>
      </c>
      <c r="X67" s="770">
        <v>287.37429152857146</v>
      </c>
      <c r="Y67" s="770">
        <v>68.27</v>
      </c>
    </row>
    <row r="68" spans="1:25">
      <c r="N68" s="771"/>
      <c r="O68" s="771">
        <v>13</v>
      </c>
      <c r="P68" s="773">
        <v>13</v>
      </c>
      <c r="Q68" s="770">
        <v>27.516571317142855</v>
      </c>
      <c r="R68" s="770">
        <v>23.321285792857143</v>
      </c>
      <c r="S68" s="770">
        <v>358.4028538428571</v>
      </c>
      <c r="T68" s="770">
        <v>161.61914497142857</v>
      </c>
      <c r="U68" s="770">
        <v>39.082286288571431</v>
      </c>
      <c r="V68" s="770">
        <v>20.107797215142853</v>
      </c>
      <c r="W68" s="770">
        <v>4.0744285582857147</v>
      </c>
      <c r="X68" s="770">
        <v>292.37857055714284</v>
      </c>
      <c r="Y68" s="770">
        <v>61.654713765714291</v>
      </c>
    </row>
    <row r="69" spans="1:25">
      <c r="N69" s="771"/>
      <c r="O69" s="771"/>
      <c r="P69" s="773">
        <v>14</v>
      </c>
      <c r="Q69" s="770">
        <v>29.126714707142856</v>
      </c>
      <c r="R69" s="770">
        <v>26.810000011428574</v>
      </c>
      <c r="S69" s="770">
        <v>415.37771607142855</v>
      </c>
      <c r="T69" s="770">
        <v>180.97614180000002</v>
      </c>
      <c r="U69" s="770">
        <v>40.325571332857145</v>
      </c>
      <c r="V69" s="770">
        <v>23.453333172857139</v>
      </c>
      <c r="W69" s="770">
        <v>2.8194285800000003</v>
      </c>
      <c r="X69" s="770">
        <v>281.81714740000001</v>
      </c>
      <c r="Y69" s="770">
        <v>68.710573468571425</v>
      </c>
    </row>
    <row r="70" spans="1:25">
      <c r="N70" s="771"/>
      <c r="O70" s="771"/>
      <c r="P70" s="773">
        <v>15</v>
      </c>
      <c r="Q70" s="770">
        <v>28.420428685714288</v>
      </c>
      <c r="R70" s="770">
        <v>22.159857068571426</v>
      </c>
      <c r="S70" s="770">
        <v>388.02957154285713</v>
      </c>
      <c r="T70" s="770">
        <v>187.79186137142855</v>
      </c>
      <c r="U70" s="770">
        <v>52.19757080285715</v>
      </c>
      <c r="V70" s="770">
        <v>23.194762912857147</v>
      </c>
      <c r="W70" s="770">
        <v>2.7518571105714291</v>
      </c>
      <c r="X70" s="770">
        <v>319.64357211428575</v>
      </c>
      <c r="Y70" s="770">
        <v>74.239000592857138</v>
      </c>
    </row>
    <row r="71" spans="1:25">
      <c r="N71" s="771"/>
      <c r="O71" s="771"/>
      <c r="P71" s="773">
        <v>16</v>
      </c>
      <c r="Q71" s="770">
        <v>21.880999702857146</v>
      </c>
      <c r="R71" s="770">
        <v>20.447000231428571</v>
      </c>
      <c r="S71" s="770">
        <v>189.56900242857142</v>
      </c>
      <c r="T71" s="770">
        <v>107.50585611428572</v>
      </c>
      <c r="U71" s="770">
        <v>28.65042877285714</v>
      </c>
      <c r="V71" s="770">
        <v>18.780238424285709</v>
      </c>
      <c r="W71" s="770">
        <v>1.8839999778571432</v>
      </c>
      <c r="X71" s="770">
        <v>174.665717</v>
      </c>
      <c r="Y71" s="770">
        <v>39.415857042857148</v>
      </c>
    </row>
    <row r="72" spans="1:25">
      <c r="N72" s="771"/>
      <c r="O72" s="771"/>
      <c r="P72" s="773">
        <v>17</v>
      </c>
      <c r="Q72" s="770">
        <v>18.000999994285714</v>
      </c>
      <c r="R72" s="770">
        <v>14.095428602857144</v>
      </c>
      <c r="S72" s="770">
        <v>140.97214290000002</v>
      </c>
      <c r="T72" s="770">
        <v>90.738142825714277</v>
      </c>
      <c r="U72" s="770">
        <v>20.563142504285715</v>
      </c>
      <c r="V72" s="770">
        <v>13.920417241428572</v>
      </c>
      <c r="W72" s="770">
        <v>1.7985714162857143</v>
      </c>
      <c r="X72" s="770">
        <v>112.05499922142857</v>
      </c>
      <c r="Y72" s="770">
        <v>25.886856898571434</v>
      </c>
    </row>
    <row r="73" spans="1:25">
      <c r="N73" s="771"/>
      <c r="O73" s="771"/>
      <c r="P73" s="773">
        <v>18</v>
      </c>
      <c r="Q73" s="770">
        <v>16.076714378571427</v>
      </c>
      <c r="R73" s="770">
        <v>12.509142604285715</v>
      </c>
      <c r="S73" s="770">
        <v>114.69700078571428</v>
      </c>
      <c r="T73" s="770">
        <v>67.130999974285714</v>
      </c>
      <c r="U73" s="770">
        <v>16.68214280285714</v>
      </c>
      <c r="V73" s="770">
        <v>10.773084301857143</v>
      </c>
      <c r="W73" s="770">
        <v>1.8058571475714285</v>
      </c>
      <c r="X73" s="770">
        <v>79.242856705714289</v>
      </c>
      <c r="Y73" s="770">
        <v>19.646428789999998</v>
      </c>
    </row>
    <row r="74" spans="1:25">
      <c r="N74" s="771"/>
      <c r="O74" s="771"/>
      <c r="P74" s="773">
        <v>19</v>
      </c>
      <c r="Q74" s="770">
        <v>15.213571411428573</v>
      </c>
      <c r="R74" s="770">
        <v>8.5715713499999993</v>
      </c>
      <c r="S74" s="770">
        <v>99.656284881428547</v>
      </c>
      <c r="T74" s="770">
        <v>64.428571428571431</v>
      </c>
      <c r="U74" s="770">
        <v>17.039285524285713</v>
      </c>
      <c r="V74" s="770">
        <v>11.989167077142856</v>
      </c>
      <c r="W74" s="770">
        <v>1.8551428488571429</v>
      </c>
      <c r="X74" s="770">
        <v>73.040000915714288</v>
      </c>
      <c r="Y74" s="770">
        <v>16.286999974285717</v>
      </c>
    </row>
    <row r="75" spans="1:25">
      <c r="N75" s="771"/>
      <c r="O75" s="771"/>
      <c r="P75" s="773">
        <v>20</v>
      </c>
      <c r="Q75" s="770">
        <v>14.241714205714286</v>
      </c>
      <c r="R75" s="770">
        <v>7.0702857972857149</v>
      </c>
      <c r="S75" s="770">
        <v>88.480572290000026</v>
      </c>
      <c r="T75" s="770">
        <v>61.482142857142854</v>
      </c>
      <c r="U75" s="770">
        <v>13.813714164285713</v>
      </c>
      <c r="V75" s="770">
        <v>12.071368352857144</v>
      </c>
      <c r="W75" s="770">
        <v>1.7121428761428572</v>
      </c>
      <c r="X75" s="770">
        <v>68.874286108571425</v>
      </c>
      <c r="Y75" s="770">
        <v>14.018428667142857</v>
      </c>
    </row>
    <row r="76" spans="1:25">
      <c r="N76" s="771"/>
      <c r="O76" s="771"/>
      <c r="P76" s="773">
        <v>21</v>
      </c>
      <c r="Q76" s="770">
        <v>14.091571398571428</v>
      </c>
      <c r="R76" s="770">
        <v>7.0830000470000005</v>
      </c>
      <c r="S76" s="770">
        <v>98.34657178714285</v>
      </c>
      <c r="T76" s="770">
        <v>63.72614288285714</v>
      </c>
      <c r="U76" s="770">
        <v>14.927285738571429</v>
      </c>
      <c r="V76" s="770">
        <v>12.066725457142857</v>
      </c>
      <c r="W76" s="770">
        <v>1.9470000094285715</v>
      </c>
      <c r="X76" s="770">
        <v>68.332856858571418</v>
      </c>
      <c r="Y76" s="770">
        <v>14.466285705714286</v>
      </c>
    </row>
    <row r="77" spans="1:25">
      <c r="N77" s="771"/>
      <c r="O77" s="771"/>
      <c r="P77" s="773">
        <v>22</v>
      </c>
      <c r="Q77" s="770">
        <v>12.206428662857144</v>
      </c>
      <c r="R77" s="770">
        <v>6.5260000228571426</v>
      </c>
      <c r="S77" s="770">
        <v>88.19400133428573</v>
      </c>
      <c r="T77" s="770">
        <v>49.041857040000004</v>
      </c>
      <c r="U77" s="770">
        <v>12.11642851</v>
      </c>
      <c r="V77" s="770">
        <v>12.046847342857143</v>
      </c>
      <c r="W77" s="770">
        <v>1.9281428372857143</v>
      </c>
      <c r="X77" s="770">
        <v>60.234999522857144</v>
      </c>
      <c r="Y77" s="770">
        <v>11.637142864285716</v>
      </c>
    </row>
    <row r="78" spans="1:25">
      <c r="N78" s="771"/>
      <c r="O78" s="771"/>
      <c r="P78" s="773">
        <v>23</v>
      </c>
      <c r="Q78" s="770">
        <v>10.714285714285714</v>
      </c>
      <c r="R78" s="770">
        <v>6.0984286581428568</v>
      </c>
      <c r="S78" s="770">
        <v>67.392570495714281</v>
      </c>
      <c r="T78" s="770">
        <v>49.232000077142857</v>
      </c>
      <c r="U78" s="770">
        <v>10.973142897142859</v>
      </c>
      <c r="V78" s="770">
        <v>12.030653000000001</v>
      </c>
      <c r="W78" s="770">
        <v>1.8262857195714286</v>
      </c>
      <c r="X78" s="770">
        <v>55.279285977142862</v>
      </c>
      <c r="Y78" s="770">
        <v>10.373285701857142</v>
      </c>
    </row>
    <row r="79" spans="1:25">
      <c r="N79" s="771"/>
      <c r="O79" s="771"/>
      <c r="P79" s="773">
        <v>24</v>
      </c>
      <c r="Q79" s="770">
        <v>10.648285731428571</v>
      </c>
      <c r="R79" s="770">
        <v>5.3554284574285722</v>
      </c>
      <c r="S79" s="770">
        <v>74.302856445714283</v>
      </c>
      <c r="T79" s="770">
        <v>54.952285765714286</v>
      </c>
      <c r="U79" s="770">
        <v>10.649856976285715</v>
      </c>
      <c r="V79" s="770">
        <v>11.902322768571427</v>
      </c>
      <c r="W79" s="770">
        <v>1.3272857154285713</v>
      </c>
      <c r="X79" s="770">
        <v>49.072856904285722</v>
      </c>
      <c r="Y79" s="770">
        <v>9.3365716934285707</v>
      </c>
    </row>
    <row r="80" spans="1:25">
      <c r="N80" s="771"/>
      <c r="O80" s="771"/>
      <c r="P80" s="773">
        <v>25</v>
      </c>
      <c r="Q80" s="770">
        <v>10.931000164428569</v>
      </c>
      <c r="R80" s="770">
        <v>6.0032857149999996</v>
      </c>
      <c r="S80" s="770">
        <v>70.370715551428574</v>
      </c>
      <c r="T80" s="770">
        <v>39.565571377142859</v>
      </c>
      <c r="U80" s="770">
        <v>8.8067141942857141</v>
      </c>
      <c r="V80" s="770">
        <v>11.966488567142857</v>
      </c>
      <c r="W80" s="770">
        <v>1.2890000087142857</v>
      </c>
      <c r="X80" s="770">
        <v>43.960000174285717</v>
      </c>
      <c r="Y80" s="770">
        <v>8.5024284634285721</v>
      </c>
    </row>
    <row r="81" spans="14:25">
      <c r="N81" s="771"/>
      <c r="O81" s="771">
        <v>26</v>
      </c>
      <c r="P81" s="773">
        <v>26</v>
      </c>
      <c r="Q81" s="770">
        <v>9.871286118714286</v>
      </c>
      <c r="R81" s="770">
        <v>4.9715714455714286</v>
      </c>
      <c r="S81" s="770">
        <v>60.400571005714291</v>
      </c>
      <c r="T81" s="770">
        <v>43.083285740000001</v>
      </c>
      <c r="U81" s="770">
        <v>8.6310001098571423</v>
      </c>
      <c r="V81" s="770">
        <v>11.885477065714285</v>
      </c>
      <c r="W81" s="770">
        <v>1.732857125</v>
      </c>
      <c r="X81" s="770">
        <v>41.416428701428572</v>
      </c>
      <c r="Y81" s="770">
        <v>7.8322857448571428</v>
      </c>
    </row>
    <row r="82" spans="14:25">
      <c r="N82" s="771"/>
      <c r="O82" s="771"/>
      <c r="P82" s="773">
        <v>27</v>
      </c>
      <c r="Q82" s="770">
        <v>9.2658571514285715</v>
      </c>
      <c r="R82" s="770">
        <v>4.8162857462857147</v>
      </c>
      <c r="S82" s="770">
        <v>66.665999275714285</v>
      </c>
      <c r="T82" s="770">
        <v>33.029857091428575</v>
      </c>
      <c r="U82" s="770">
        <v>7.6702857698571432</v>
      </c>
      <c r="V82" s="770">
        <v>11.995894294285714</v>
      </c>
      <c r="W82" s="770">
        <v>1.8799999952857143</v>
      </c>
      <c r="X82" s="770">
        <v>38.669285909999992</v>
      </c>
      <c r="Y82" s="770">
        <v>7.0652857510000002</v>
      </c>
    </row>
    <row r="83" spans="14:25">
      <c r="N83" s="771"/>
      <c r="O83" s="771"/>
      <c r="P83" s="773">
        <v>28</v>
      </c>
      <c r="Q83" s="770">
        <v>8.3581429888571428</v>
      </c>
      <c r="R83" s="770">
        <v>4.1457142830000002</v>
      </c>
      <c r="S83" s="770">
        <v>66.009428840000012</v>
      </c>
      <c r="T83" s="770">
        <v>29.922571454285713</v>
      </c>
      <c r="U83" s="770">
        <v>6.9708570752857142</v>
      </c>
      <c r="V83" s="770">
        <v>11.927797181428572</v>
      </c>
      <c r="W83" s="770">
        <v>1.8718571149999998</v>
      </c>
      <c r="X83" s="770">
        <v>36.412143161428574</v>
      </c>
      <c r="Y83" s="770">
        <v>6.2407143457142853</v>
      </c>
    </row>
    <row r="84" spans="14:25">
      <c r="N84" s="771"/>
      <c r="O84" s="771"/>
      <c r="P84" s="773">
        <v>29</v>
      </c>
      <c r="Q84" s="770">
        <v>8.2642856324285709</v>
      </c>
      <c r="R84" s="770">
        <v>4.2404285498571426</v>
      </c>
      <c r="S84" s="770">
        <v>61.976286207142856</v>
      </c>
      <c r="T84" s="770">
        <v>30.851285662857144</v>
      </c>
      <c r="U84" s="770">
        <v>7.1941427504285702</v>
      </c>
      <c r="V84" s="770">
        <v>12.045535904285714</v>
      </c>
      <c r="W84" s="770">
        <v>1.7868571450000001</v>
      </c>
      <c r="X84" s="770">
        <v>36.787142614285713</v>
      </c>
      <c r="Y84" s="770">
        <v>6.221285752</v>
      </c>
    </row>
    <row r="85" spans="14:25">
      <c r="N85" s="771"/>
      <c r="O85" s="771"/>
      <c r="P85" s="773">
        <v>30</v>
      </c>
      <c r="Q85" s="770">
        <v>7.629714148142857</v>
      </c>
      <c r="R85" s="770">
        <v>3.9339999471428575</v>
      </c>
      <c r="S85" s="770">
        <v>56.385429927142859</v>
      </c>
      <c r="T85" s="770">
        <v>26.327428545714287</v>
      </c>
      <c r="U85" s="770">
        <v>6.6857143130000001</v>
      </c>
      <c r="V85" s="770">
        <v>11.927261488571427</v>
      </c>
      <c r="W85" s="770">
        <v>1.8862856968571431</v>
      </c>
      <c r="X85" s="770">
        <v>39.564285824285712</v>
      </c>
      <c r="Y85" s="770">
        <v>5.7022857667142848</v>
      </c>
    </row>
    <row r="86" spans="14:25">
      <c r="N86" s="771"/>
      <c r="O86" s="771"/>
      <c r="P86" s="773">
        <v>31</v>
      </c>
      <c r="Q86" s="770">
        <v>7.8445713860000001</v>
      </c>
      <c r="R86" s="770">
        <v>4.2642856665714284</v>
      </c>
      <c r="S86" s="770">
        <v>63.196000779999999</v>
      </c>
      <c r="T86" s="770">
        <v>30.940428597142859</v>
      </c>
      <c r="U86" s="770">
        <v>7.3144286019999996</v>
      </c>
      <c r="V86" s="770">
        <v>13.712319918571428</v>
      </c>
      <c r="W86" s="770">
        <v>1.8420000075714285</v>
      </c>
      <c r="X86" s="770">
        <v>41.400714874285711</v>
      </c>
      <c r="Y86" s="770">
        <v>7.1649999617142859</v>
      </c>
    </row>
    <row r="87" spans="14:25">
      <c r="N87" s="771"/>
      <c r="O87" s="771"/>
      <c r="P87" s="773">
        <v>32</v>
      </c>
      <c r="Q87" s="770">
        <v>7.8535714147142865</v>
      </c>
      <c r="R87" s="770">
        <v>4.0602857387142857</v>
      </c>
      <c r="S87" s="770">
        <v>61.839428492857145</v>
      </c>
      <c r="T87" s="770">
        <v>23.267714362857141</v>
      </c>
      <c r="U87" s="770">
        <v>6.1658571107142865</v>
      </c>
      <c r="V87" s="770">
        <v>13.989404405714286</v>
      </c>
      <c r="W87" s="770">
        <v>1.8741428512857143</v>
      </c>
      <c r="X87" s="770">
        <v>39.942857471428567</v>
      </c>
      <c r="Y87" s="770">
        <v>7.2785714695714301</v>
      </c>
    </row>
    <row r="88" spans="14:25">
      <c r="N88" s="771"/>
      <c r="O88" s="771">
        <v>33</v>
      </c>
      <c r="P88" s="773">
        <v>33</v>
      </c>
      <c r="Q88" s="770">
        <v>7.8434285441428573</v>
      </c>
      <c r="R88" s="770">
        <v>3.7991428715714286</v>
      </c>
      <c r="S88" s="770">
        <v>59.987286159999996</v>
      </c>
      <c r="T88" s="770">
        <v>22.755999974285714</v>
      </c>
      <c r="U88" s="770">
        <v>5.9981428554285712</v>
      </c>
      <c r="V88" s="770">
        <v>13.973928587142856</v>
      </c>
      <c r="W88" s="770">
        <v>1.871857132285714</v>
      </c>
      <c r="X88" s="770">
        <v>37.965715135714291</v>
      </c>
      <c r="Y88" s="770">
        <v>5.154142958714286</v>
      </c>
    </row>
    <row r="89" spans="14:25">
      <c r="N89" s="771"/>
      <c r="O89" s="771"/>
      <c r="P89" s="773">
        <v>34</v>
      </c>
      <c r="Q89" s="770">
        <v>8.0232857294285722</v>
      </c>
      <c r="R89" s="770">
        <v>3.6017142020000001</v>
      </c>
      <c r="S89" s="770">
        <v>63.141999381428562</v>
      </c>
      <c r="T89" s="770">
        <v>21.678714208571428</v>
      </c>
      <c r="U89" s="770">
        <v>5.9428571975714277</v>
      </c>
      <c r="V89" s="770">
        <v>14.050774301428572</v>
      </c>
      <c r="W89" s="770">
        <v>1.8375714168571429</v>
      </c>
      <c r="X89" s="770">
        <v>37.97857121285714</v>
      </c>
      <c r="Y89" s="770">
        <v>6.0459999357142857</v>
      </c>
    </row>
    <row r="90" spans="14:25">
      <c r="N90" s="771"/>
      <c r="O90" s="771"/>
      <c r="P90" s="773">
        <v>35</v>
      </c>
      <c r="Q90" s="770">
        <v>9.1238570895714286</v>
      </c>
      <c r="R90" s="770">
        <v>6.7515713490000007</v>
      </c>
      <c r="S90" s="770">
        <v>62.449570247142852</v>
      </c>
      <c r="T90" s="770">
        <v>29.398714337142856</v>
      </c>
      <c r="U90" s="770">
        <v>5.5928570885714288</v>
      </c>
      <c r="V90" s="770">
        <v>13.988035748571429</v>
      </c>
      <c r="W90" s="770">
        <v>1.654571413857143</v>
      </c>
      <c r="X90" s="770">
        <v>37.199285234285711</v>
      </c>
      <c r="Y90" s="770">
        <v>5.7705714702857147</v>
      </c>
    </row>
    <row r="91" spans="14:25">
      <c r="N91" s="771"/>
      <c r="O91" s="771"/>
      <c r="P91" s="773">
        <v>36</v>
      </c>
      <c r="Q91" s="770">
        <v>8.2869999062857129</v>
      </c>
      <c r="R91" s="770">
        <v>5.5024285997142854</v>
      </c>
      <c r="S91" s="770">
        <v>62.160142081428567</v>
      </c>
      <c r="T91" s="770">
        <v>24.535714285714285</v>
      </c>
      <c r="U91" s="770">
        <v>5.7147143908571421</v>
      </c>
      <c r="V91" s="770">
        <v>13.989464348571429</v>
      </c>
      <c r="W91" s="770">
        <v>1.7275714362857142</v>
      </c>
      <c r="X91" s="770">
        <v>36.553570882857137</v>
      </c>
      <c r="Y91" s="770">
        <v>7.9151426724285718</v>
      </c>
    </row>
    <row r="92" spans="14:25">
      <c r="N92" s="771"/>
      <c r="O92" s="771"/>
      <c r="P92" s="773">
        <v>37</v>
      </c>
      <c r="Q92" s="770">
        <v>7.2742856564285701</v>
      </c>
      <c r="R92" s="770">
        <v>5.7037142345714287</v>
      </c>
      <c r="S92" s="770">
        <v>63.491571698571427</v>
      </c>
      <c r="T92" s="770">
        <v>33.851285662857144</v>
      </c>
      <c r="U92" s="770">
        <v>6.5815715108571435</v>
      </c>
      <c r="V92" s="770">
        <v>13.932678497142856</v>
      </c>
      <c r="W92" s="770">
        <v>1.6434285640000001</v>
      </c>
      <c r="X92" s="770">
        <v>36.635714938571432</v>
      </c>
      <c r="Y92" s="770">
        <v>5.2711429254285713</v>
      </c>
    </row>
    <row r="93" spans="14:25">
      <c r="N93" s="771"/>
      <c r="O93" s="771"/>
      <c r="P93" s="773">
        <v>38</v>
      </c>
      <c r="Q93" s="770">
        <v>5.7302856442857149</v>
      </c>
      <c r="R93" s="770">
        <v>4.6181428091428574</v>
      </c>
      <c r="S93" s="770">
        <v>66.366000039999989</v>
      </c>
      <c r="T93" s="770">
        <v>30.833285740000001</v>
      </c>
      <c r="U93" s="770">
        <v>6.3408571651428574</v>
      </c>
      <c r="V93" s="770">
        <v>14.030597005714284</v>
      </c>
      <c r="W93" s="770">
        <v>1.7824285711428571</v>
      </c>
      <c r="X93" s="770">
        <v>36.422143117142859</v>
      </c>
      <c r="Y93" s="770">
        <v>4.8772857188571432</v>
      </c>
    </row>
    <row r="94" spans="14:25">
      <c r="N94" s="771"/>
      <c r="O94" s="771"/>
      <c r="P94" s="773">
        <v>39</v>
      </c>
      <c r="Q94" s="770">
        <v>5.3494285172857152</v>
      </c>
      <c r="R94" s="770">
        <v>4.7248570578571423</v>
      </c>
      <c r="S94" s="770">
        <v>75.45028468428572</v>
      </c>
      <c r="T94" s="770">
        <v>25.431428635714287</v>
      </c>
      <c r="U94" s="770">
        <v>6.8902856279999991</v>
      </c>
      <c r="V94" s="770">
        <v>14.026608604285714</v>
      </c>
      <c r="W94" s="770">
        <v>1.7897142852857144</v>
      </c>
      <c r="X94" s="770">
        <v>36.457856858571432</v>
      </c>
      <c r="Y94" s="770">
        <v>6.1969999587142857</v>
      </c>
    </row>
    <row r="95" spans="14:25">
      <c r="N95" s="771"/>
      <c r="O95" s="771"/>
      <c r="P95" s="773">
        <v>40</v>
      </c>
      <c r="Q95" s="770">
        <v>5.4815714698571432</v>
      </c>
      <c r="R95" s="770">
        <v>5.3951427595714279</v>
      </c>
      <c r="S95" s="770">
        <v>78.309284754285713</v>
      </c>
      <c r="T95" s="770">
        <v>54.744000025714286</v>
      </c>
      <c r="U95" s="770">
        <v>7.7940000801428573</v>
      </c>
      <c r="V95" s="770">
        <v>14.026192801428573</v>
      </c>
      <c r="W95" s="770">
        <v>1.7887142725714287</v>
      </c>
      <c r="X95" s="770">
        <v>44.888571058571429</v>
      </c>
      <c r="Y95" s="770">
        <v>10.280285493285716</v>
      </c>
    </row>
    <row r="96" spans="14:25">
      <c r="N96" s="771"/>
      <c r="O96" s="771"/>
      <c r="P96" s="773">
        <v>41</v>
      </c>
      <c r="Q96" s="770">
        <v>6.414142881000001</v>
      </c>
      <c r="R96" s="770">
        <v>5.6744286329999998</v>
      </c>
      <c r="S96" s="770">
        <v>79.701571872857144</v>
      </c>
      <c r="T96" s="770">
        <v>50.934571402857145</v>
      </c>
      <c r="U96" s="770">
        <v>8.9731427602857146</v>
      </c>
      <c r="V96" s="770">
        <v>14.020297051428571</v>
      </c>
      <c r="W96" s="770">
        <v>1.4745714322857144</v>
      </c>
      <c r="X96" s="770">
        <v>49.243571144285717</v>
      </c>
      <c r="Y96" s="770">
        <v>7.658571379714286</v>
      </c>
    </row>
    <row r="97" spans="14:25">
      <c r="N97" s="771"/>
      <c r="O97" s="771"/>
      <c r="P97" s="773">
        <v>42</v>
      </c>
      <c r="Q97" s="770">
        <v>7.0597143174285719</v>
      </c>
      <c r="R97" s="770">
        <v>5.6411428450000001</v>
      </c>
      <c r="S97" s="770">
        <v>71.140427727142864</v>
      </c>
      <c r="T97" s="770">
        <v>43.184428622857141</v>
      </c>
      <c r="U97" s="770">
        <v>9.1315714969999995</v>
      </c>
      <c r="V97" s="770">
        <v>13.992498534285714</v>
      </c>
      <c r="W97" s="770">
        <v>1.325428571</v>
      </c>
      <c r="X97" s="770">
        <v>38.599999562857143</v>
      </c>
      <c r="Y97" s="770">
        <v>5.9647143228571426</v>
      </c>
    </row>
    <row r="98" spans="14:25">
      <c r="N98" s="771"/>
      <c r="O98" s="771"/>
      <c r="P98" s="773">
        <v>43</v>
      </c>
      <c r="Q98" s="770">
        <v>6.5518571988571432</v>
      </c>
      <c r="R98" s="770">
        <v>5.278142861428571</v>
      </c>
      <c r="S98" s="770">
        <v>66.382999420000004</v>
      </c>
      <c r="T98" s="770">
        <v>36.916714259999999</v>
      </c>
      <c r="U98" s="770">
        <v>8.3171428948571435</v>
      </c>
      <c r="V98" s="770">
        <v>14.015835900000001</v>
      </c>
      <c r="W98" s="770">
        <v>1.3259999922857142</v>
      </c>
      <c r="X98" s="770">
        <v>35.493572237142857</v>
      </c>
      <c r="Y98" s="770">
        <v>6.7207142624285723</v>
      </c>
    </row>
    <row r="99" spans="14:25">
      <c r="N99" s="771"/>
      <c r="O99" s="771">
        <v>44</v>
      </c>
      <c r="P99" s="773">
        <v>44</v>
      </c>
      <c r="Q99" s="770">
        <v>6.2178571565714282</v>
      </c>
      <c r="R99" s="770">
        <v>3.7729999678571429</v>
      </c>
      <c r="S99" s="770">
        <v>67.872285570000003</v>
      </c>
      <c r="T99" s="770">
        <v>41.726285662857144</v>
      </c>
      <c r="U99" s="770">
        <v>8.7617143898571435</v>
      </c>
      <c r="V99" s="770">
        <v>13.927204130000002</v>
      </c>
      <c r="W99" s="770">
        <v>1.0918571607142857</v>
      </c>
      <c r="X99" s="770">
        <v>46.067856924285714</v>
      </c>
      <c r="Y99" s="770">
        <v>5.8240000180000004</v>
      </c>
    </row>
    <row r="100" spans="14:25">
      <c r="N100" s="771"/>
      <c r="O100" s="771"/>
      <c r="P100" s="773">
        <v>45</v>
      </c>
      <c r="Q100" s="770">
        <v>5.7207142285714285</v>
      </c>
      <c r="R100" s="770">
        <v>4.0865714210000004</v>
      </c>
      <c r="S100" s="770">
        <v>64.557143075714279</v>
      </c>
      <c r="T100" s="770">
        <v>47.85114288285714</v>
      </c>
      <c r="U100" s="770">
        <v>8.1029998912857142</v>
      </c>
      <c r="V100" s="770">
        <v>13.944405964285716</v>
      </c>
      <c r="W100" s="770">
        <v>1.1197142941428571</v>
      </c>
      <c r="X100" s="770">
        <v>41.25857108142857</v>
      </c>
      <c r="Y100" s="770">
        <v>7.255428586571429</v>
      </c>
    </row>
    <row r="101" spans="14:25">
      <c r="N101" s="771"/>
      <c r="O101" s="771"/>
      <c r="P101" s="773">
        <v>46</v>
      </c>
      <c r="Q101" s="770">
        <v>5.8224285672857139</v>
      </c>
      <c r="R101" s="770">
        <v>4.1967142989999999</v>
      </c>
      <c r="S101" s="770">
        <v>48.114428929999988</v>
      </c>
      <c r="T101" s="770">
        <v>58.976285662857144</v>
      </c>
      <c r="U101" s="770">
        <v>7.6644285747142851</v>
      </c>
      <c r="V101" s="770">
        <v>14.053689955714287</v>
      </c>
      <c r="W101" s="770">
        <v>1.2584285650000002</v>
      </c>
      <c r="X101" s="770">
        <v>59.822143555714284</v>
      </c>
      <c r="Y101" s="770">
        <v>7.569857052142857</v>
      </c>
    </row>
    <row r="102" spans="14:25">
      <c r="N102" s="771"/>
      <c r="O102" s="771"/>
      <c r="P102" s="773">
        <v>47</v>
      </c>
      <c r="Q102" s="770">
        <v>8.7129998894285716</v>
      </c>
      <c r="R102" s="770">
        <v>6.8662857328571425</v>
      </c>
      <c r="S102" s="770">
        <v>75.949856894285716</v>
      </c>
      <c r="T102" s="770">
        <v>107.95228576857143</v>
      </c>
      <c r="U102" s="770">
        <v>21.278142930000001</v>
      </c>
      <c r="V102" s="770">
        <v>14.02023874</v>
      </c>
      <c r="W102" s="770">
        <v>1.6037142788571426</v>
      </c>
      <c r="X102" s="770">
        <v>58.205000194285724</v>
      </c>
      <c r="Y102" s="770">
        <v>11.491143022142859</v>
      </c>
    </row>
    <row r="103" spans="14:25">
      <c r="N103" s="771"/>
      <c r="O103" s="771"/>
      <c r="P103" s="773">
        <v>48</v>
      </c>
      <c r="Q103" s="770">
        <v>9.7443332226190496</v>
      </c>
      <c r="R103" s="770">
        <v>7.8295714628095201</v>
      </c>
      <c r="S103" s="770">
        <v>115.94985689428501</v>
      </c>
      <c r="T103" s="770">
        <v>116.577285768571</v>
      </c>
      <c r="U103" s="770">
        <v>25.523666837380901</v>
      </c>
      <c r="V103" s="770">
        <v>14.0819443290476</v>
      </c>
      <c r="W103" s="770">
        <v>1.686999981</v>
      </c>
      <c r="X103" s="770">
        <v>108.646</v>
      </c>
      <c r="Y103" s="770">
        <v>11.491143022142859</v>
      </c>
    </row>
    <row r="104" spans="14:25">
      <c r="N104" s="771"/>
      <c r="O104" s="771"/>
      <c r="P104" s="773">
        <v>49</v>
      </c>
      <c r="Q104" s="770">
        <v>15.740428922857143</v>
      </c>
      <c r="R104" s="770">
        <v>16.272571155571431</v>
      </c>
      <c r="S104" s="770">
        <v>179.40442985714284</v>
      </c>
      <c r="T104" s="770">
        <v>143.97028568571429</v>
      </c>
      <c r="U104" s="770">
        <v>24.464857102857142</v>
      </c>
      <c r="V104" s="770">
        <v>14.414462907142859</v>
      </c>
      <c r="W104" s="770">
        <v>1.509857126857143</v>
      </c>
      <c r="X104" s="770">
        <v>183.08428410000002</v>
      </c>
      <c r="Y104" s="770">
        <v>11.52</v>
      </c>
    </row>
    <row r="105" spans="14:25">
      <c r="N105" s="771"/>
      <c r="O105" s="771"/>
      <c r="P105" s="773">
        <v>50</v>
      </c>
      <c r="Q105" s="770">
        <v>11.458857127</v>
      </c>
      <c r="R105" s="770">
        <v>8.6871428825714272</v>
      </c>
      <c r="S105" s="770">
        <v>180.05014475714285</v>
      </c>
      <c r="T105" s="770">
        <v>105.38685716857142</v>
      </c>
      <c r="U105" s="770">
        <v>15.326142855714284</v>
      </c>
      <c r="V105" s="770">
        <v>14.382619995714284</v>
      </c>
      <c r="W105" s="770">
        <v>1.5802857021428574</v>
      </c>
      <c r="X105" s="770">
        <v>192.18500408571427</v>
      </c>
      <c r="Y105" s="770">
        <v>63.42214257285714</v>
      </c>
    </row>
    <row r="106" spans="14:25">
      <c r="N106" s="771"/>
      <c r="O106" s="771"/>
      <c r="P106" s="773">
        <v>51</v>
      </c>
      <c r="Q106" s="770">
        <v>9.4554285322857137</v>
      </c>
      <c r="R106" s="770">
        <v>4.7284286361428576</v>
      </c>
      <c r="S106" s="770">
        <v>179.9772862142857</v>
      </c>
      <c r="T106" s="770">
        <v>14.57142870857143</v>
      </c>
      <c r="U106" s="770">
        <v>5</v>
      </c>
      <c r="V106" s="770">
        <v>13.809047154285716</v>
      </c>
      <c r="W106" s="770">
        <v>1.0052857144285714</v>
      </c>
      <c r="X106" s="770">
        <v>189.54214041428571</v>
      </c>
      <c r="Y106" s="770">
        <v>105.71028573142858</v>
      </c>
    </row>
    <row r="107" spans="14:25">
      <c r="N107" s="771"/>
      <c r="O107" s="771">
        <v>52</v>
      </c>
      <c r="P107" s="773">
        <v>52</v>
      </c>
      <c r="Q107" s="770">
        <v>10.030285698</v>
      </c>
      <c r="R107" s="770">
        <v>6.3814284807142858</v>
      </c>
      <c r="S107" s="770">
        <v>180.17299980000001</v>
      </c>
      <c r="T107" s="770">
        <v>59.892857142857146</v>
      </c>
      <c r="U107" s="770">
        <v>9.771428653000001</v>
      </c>
      <c r="V107" s="770">
        <v>13.759048734285715</v>
      </c>
      <c r="W107" s="770">
        <v>1.2590000118571429</v>
      </c>
      <c r="X107" s="770">
        <v>169.73285565714286</v>
      </c>
      <c r="Y107" s="770">
        <v>86.07714135142858</v>
      </c>
    </row>
    <row r="108" spans="14:25">
      <c r="N108" s="771">
        <v>2022</v>
      </c>
      <c r="O108" s="771"/>
      <c r="P108" s="773">
        <v>1</v>
      </c>
      <c r="Q108" s="770">
        <v>11.54385730142857</v>
      </c>
      <c r="R108" s="770">
        <v>6.3410000120000003</v>
      </c>
      <c r="S108" s="770">
        <v>180.25871278571432</v>
      </c>
      <c r="T108" s="770">
        <v>53.005857194285717</v>
      </c>
      <c r="U108" s="770">
        <v>8.6221429277142843</v>
      </c>
      <c r="V108" s="770">
        <v>12.151368549999999</v>
      </c>
      <c r="W108" s="770">
        <v>1.4929999965714287</v>
      </c>
      <c r="X108" s="770">
        <v>101.56500134142858</v>
      </c>
      <c r="Y108" s="770">
        <v>45.721570695714284</v>
      </c>
    </row>
    <row r="109" spans="14:25">
      <c r="N109" s="771"/>
      <c r="O109" s="771"/>
      <c r="P109" s="773">
        <v>2</v>
      </c>
      <c r="Q109" s="770">
        <v>10.532571247428569</v>
      </c>
      <c r="R109" s="770">
        <v>5.6152856691428568</v>
      </c>
      <c r="S109" s="770">
        <v>180.17585754285713</v>
      </c>
      <c r="T109" s="770">
        <v>85.154714317142862</v>
      </c>
      <c r="U109" s="770">
        <v>16.483285767857144</v>
      </c>
      <c r="V109" s="770">
        <v>15.379761560000002</v>
      </c>
      <c r="W109" s="770">
        <v>4.383714250142857</v>
      </c>
      <c r="X109" s="770">
        <v>191.4592830114286</v>
      </c>
      <c r="Y109" s="770">
        <v>44.29957117428571</v>
      </c>
    </row>
    <row r="110" spans="14:25">
      <c r="N110" s="771"/>
      <c r="O110" s="771"/>
      <c r="P110" s="773">
        <v>3</v>
      </c>
      <c r="Q110" s="770">
        <v>12.373285701428571</v>
      </c>
      <c r="R110" s="770">
        <v>6.7777144562857146</v>
      </c>
      <c r="S110" s="770">
        <v>180.45157077142858</v>
      </c>
      <c r="T110" s="770">
        <v>79.166570397142863</v>
      </c>
      <c r="U110" s="770">
        <v>14.234428677142859</v>
      </c>
      <c r="V110" s="770">
        <v>13.331011501428572</v>
      </c>
      <c r="W110" s="770">
        <v>3.4292857477142862</v>
      </c>
      <c r="X110" s="770">
        <v>222.21500070000002</v>
      </c>
      <c r="Y110" s="770">
        <v>55.850142344285707</v>
      </c>
    </row>
    <row r="111" spans="14:25">
      <c r="N111" s="771"/>
      <c r="O111" s="771"/>
      <c r="P111" s="773">
        <v>4</v>
      </c>
      <c r="Q111" s="770">
        <v>13.78142860857143</v>
      </c>
      <c r="R111" s="770">
        <v>10.307714326428572</v>
      </c>
      <c r="S111" s="770">
        <v>200.41585867142899</v>
      </c>
      <c r="T111" s="770">
        <v>156.24399677142856</v>
      </c>
      <c r="U111" s="770">
        <v>35.655428067142857</v>
      </c>
      <c r="V111" s="770">
        <v>12.147084100000001</v>
      </c>
      <c r="W111" s="770">
        <v>5.8837143019999996</v>
      </c>
      <c r="X111" s="770">
        <v>439.25357492857148</v>
      </c>
      <c r="Y111" s="770">
        <v>129.95414407142854</v>
      </c>
    </row>
    <row r="112" spans="14:25">
      <c r="N112" s="771"/>
      <c r="O112" s="771"/>
      <c r="P112" s="773">
        <v>5</v>
      </c>
      <c r="Q112" s="770">
        <v>16.13685744</v>
      </c>
      <c r="R112" s="770">
        <v>10.226857389000001</v>
      </c>
      <c r="S112" s="770">
        <v>288.91129194285719</v>
      </c>
      <c r="T112" s="770">
        <v>182</v>
      </c>
      <c r="U112" s="770">
        <v>43.192856380000002</v>
      </c>
      <c r="V112" s="770">
        <v>11.764999934285715</v>
      </c>
      <c r="W112" s="770">
        <v>5.8837143019999996</v>
      </c>
      <c r="X112" s="770">
        <v>404.03070942857141</v>
      </c>
      <c r="Y112" s="770">
        <v>128.39200045714284</v>
      </c>
    </row>
    <row r="113" spans="14:25">
      <c r="N113" s="771"/>
      <c r="O113" s="772">
        <v>6</v>
      </c>
      <c r="P113" s="771">
        <v>6</v>
      </c>
      <c r="Q113" s="770">
        <v>18.235713957142856</v>
      </c>
      <c r="R113" s="770">
        <v>10.726285798285716</v>
      </c>
      <c r="S113" s="770">
        <v>435.79956928571431</v>
      </c>
      <c r="T113" s="770">
        <v>179.08343068571426</v>
      </c>
      <c r="U113" s="770">
        <v>33.553428921428569</v>
      </c>
      <c r="V113" s="770">
        <v>11.749167034285714</v>
      </c>
      <c r="W113" s="770">
        <v>5.6551427840000006</v>
      </c>
      <c r="X113" s="770">
        <v>420.1207101</v>
      </c>
      <c r="Y113" s="770">
        <v>133.21328737142855</v>
      </c>
    </row>
    <row r="114" spans="14:25">
      <c r="N114" s="771"/>
      <c r="O114" s="771"/>
      <c r="P114" s="771">
        <v>7</v>
      </c>
      <c r="Q114" s="770">
        <v>20.117499826428599</v>
      </c>
      <c r="R114" s="770">
        <v>12.450857264642901</v>
      </c>
      <c r="S114" s="770">
        <v>435.79956928571403</v>
      </c>
      <c r="T114" s="770">
        <v>195.28190973333301</v>
      </c>
      <c r="U114" s="770">
        <v>35.365238643809498</v>
      </c>
      <c r="V114" s="770">
        <v>10.9661612507143</v>
      </c>
      <c r="W114" s="770">
        <v>2.0952857050000002</v>
      </c>
      <c r="X114" s="770">
        <v>427.15742450542803</v>
      </c>
      <c r="Y114" s="770">
        <v>133.77895393333301</v>
      </c>
    </row>
    <row r="115" spans="14:25">
      <c r="N115" s="771"/>
      <c r="O115" s="771"/>
      <c r="P115" s="771">
        <v>8</v>
      </c>
      <c r="Q115" s="770">
        <v>25.340999875749826</v>
      </c>
      <c r="R115" s="770">
        <v>18.084142684936488</v>
      </c>
      <c r="S115" s="770">
        <v>441.50872366768942</v>
      </c>
      <c r="T115" s="770">
        <v>167.45813860212002</v>
      </c>
      <c r="U115" s="770">
        <v>52.961428506033734</v>
      </c>
      <c r="V115" s="770">
        <v>11.586785861424</v>
      </c>
      <c r="W115" s="770">
        <v>3.7204570871142901</v>
      </c>
      <c r="X115" s="770">
        <v>294.89857700892827</v>
      </c>
      <c r="Y115" s="770">
        <v>69.417142050606813</v>
      </c>
    </row>
    <row r="116" spans="14:25">
      <c r="N116" s="771"/>
      <c r="O116" s="771"/>
      <c r="P116" s="771">
        <v>9</v>
      </c>
      <c r="Q116" s="770">
        <v>27.784285954285711</v>
      </c>
      <c r="R116" s="770">
        <v>17.056714467142857</v>
      </c>
      <c r="S116" s="770">
        <v>390.83399745714286</v>
      </c>
      <c r="T116" s="770">
        <v>152.44642748571428</v>
      </c>
      <c r="U116" s="770">
        <v>60.130286080000005</v>
      </c>
      <c r="V116" s="770">
        <v>15.540178571428571</v>
      </c>
      <c r="W116" s="770">
        <v>4.1637142385755217</v>
      </c>
      <c r="X116" s="770">
        <v>302.25500487142864</v>
      </c>
      <c r="Y116" s="770">
        <v>186.68128532857142</v>
      </c>
    </row>
    <row r="117" spans="14:25">
      <c r="N117" s="771"/>
      <c r="O117" s="771"/>
      <c r="P117" s="771">
        <v>10</v>
      </c>
      <c r="Q117" s="770">
        <v>28.093753942631899</v>
      </c>
      <c r="R117" s="770">
        <v>19.095928647332201</v>
      </c>
      <c r="S117" s="770">
        <v>377.74852497494402</v>
      </c>
      <c r="T117" s="770">
        <v>177.15485925714287</v>
      </c>
      <c r="U117" s="770">
        <v>62.624940787617</v>
      </c>
      <c r="V117" s="770">
        <v>12.489226658966601</v>
      </c>
      <c r="W117" s="770">
        <v>4.8724285875714282</v>
      </c>
      <c r="X117" s="770">
        <v>288.89999999999998</v>
      </c>
      <c r="Y117" s="770">
        <v>146.131261154827</v>
      </c>
    </row>
    <row r="118" spans="14:25">
      <c r="N118" s="771"/>
      <c r="O118" s="771"/>
      <c r="P118" s="771">
        <v>11</v>
      </c>
      <c r="Q118" s="770">
        <v>33.420857293265151</v>
      </c>
      <c r="R118" s="770">
        <v>21.210571697780029</v>
      </c>
      <c r="S118" s="770">
        <v>559.81058175223166</v>
      </c>
      <c r="T118" s="770">
        <v>223.70857456752233</v>
      </c>
      <c r="U118" s="770">
        <v>65.082142966134157</v>
      </c>
      <c r="V118" s="770">
        <v>15.861725670950701</v>
      </c>
      <c r="W118" s="770">
        <v>3.3848571777343723</v>
      </c>
      <c r="X118" s="770">
        <v>414.23214285714226</v>
      </c>
      <c r="Y118" s="770">
        <v>110.17142813546286</v>
      </c>
    </row>
    <row r="119" spans="14:25">
      <c r="N119" s="771"/>
      <c r="O119" s="771"/>
      <c r="P119" s="771">
        <v>12</v>
      </c>
      <c r="Q119" s="770">
        <v>23.805857249668641</v>
      </c>
      <c r="R119" s="770">
        <v>19.053143092564113</v>
      </c>
      <c r="S119" s="770">
        <v>323.97713797432982</v>
      </c>
      <c r="T119" s="770">
        <v>151.51800210135301</v>
      </c>
      <c r="U119" s="770">
        <v>38.394142695835612</v>
      </c>
      <c r="V119" s="770">
        <v>15.601665633065315</v>
      </c>
      <c r="W119" s="770">
        <v>2.6404285430908159</v>
      </c>
      <c r="X119" s="770">
        <v>293.36786106654517</v>
      </c>
      <c r="Y119" s="770">
        <v>81.900570460728204</v>
      </c>
    </row>
    <row r="120" spans="14:25">
      <c r="N120" s="771"/>
      <c r="O120" s="771">
        <v>13</v>
      </c>
      <c r="P120" s="771">
        <v>13</v>
      </c>
      <c r="Q120" s="770">
        <v>28.491428571428571</v>
      </c>
      <c r="R120" s="770">
        <v>22.648571428571426</v>
      </c>
      <c r="S120" s="770">
        <v>381.44857142857143</v>
      </c>
      <c r="T120" s="770">
        <v>178.99571428571431</v>
      </c>
      <c r="U120" s="770">
        <v>36.35</v>
      </c>
      <c r="V120" s="770">
        <v>14.272857142857143</v>
      </c>
      <c r="W120" s="770">
        <v>2.0657142857142858</v>
      </c>
      <c r="X120" s="770">
        <v>268.19142857142862</v>
      </c>
      <c r="Y120" s="770">
        <v>61.771428571428579</v>
      </c>
    </row>
    <row r="121" spans="14:25">
      <c r="N121" s="771"/>
      <c r="O121" s="771"/>
      <c r="P121" s="771">
        <v>14</v>
      </c>
      <c r="Q121" s="770">
        <v>27.723999840872604</v>
      </c>
      <c r="R121" s="770">
        <v>25.617999758039169</v>
      </c>
      <c r="S121" s="770">
        <v>593.21614728655084</v>
      </c>
      <c r="T121" s="770">
        <v>183.63700212751101</v>
      </c>
      <c r="U121" s="770">
        <v>45.316000257219557</v>
      </c>
      <c r="V121" s="770">
        <v>12.459285599844744</v>
      </c>
      <c r="W121" s="770">
        <v>1.8045714242117685</v>
      </c>
      <c r="X121" s="770">
        <v>229.34857395717026</v>
      </c>
      <c r="Y121" s="770">
        <v>46.260999952043754</v>
      </c>
    </row>
    <row r="122" spans="14:25">
      <c r="N122" s="771"/>
      <c r="O122" s="771"/>
      <c r="P122" s="771">
        <v>15</v>
      </c>
      <c r="Q122" s="770">
        <v>22.026428767142853</v>
      </c>
      <c r="R122" s="770">
        <v>20.249143055714288</v>
      </c>
      <c r="S122" s="770">
        <v>348.80585371428572</v>
      </c>
      <c r="T122" s="770">
        <v>124.73814282857143</v>
      </c>
      <c r="U122" s="770">
        <v>26.343714578571426</v>
      </c>
      <c r="V122" s="770">
        <v>12.322202818571428</v>
      </c>
      <c r="W122" s="770">
        <v>1.5654285974285713</v>
      </c>
      <c r="X122" s="770">
        <v>215.08928787142855</v>
      </c>
      <c r="Y122" s="770">
        <v>36.220571791428576</v>
      </c>
    </row>
    <row r="123" spans="14:25">
      <c r="N123" s="771"/>
      <c r="O123" s="771"/>
      <c r="P123" s="771">
        <v>16</v>
      </c>
      <c r="Q123" s="770">
        <v>15.928285734994029</v>
      </c>
      <c r="R123" s="770">
        <v>13.163428579057927</v>
      </c>
      <c r="S123" s="770">
        <v>176.68314470563573</v>
      </c>
      <c r="T123" s="770">
        <v>78.339428492954767</v>
      </c>
      <c r="U123" s="770">
        <v>19.653713771275072</v>
      </c>
      <c r="V123" s="770">
        <v>12.955415725707971</v>
      </c>
      <c r="W123" s="770">
        <v>1.6847143173217742</v>
      </c>
      <c r="X123" s="770">
        <v>128.73071398053784</v>
      </c>
      <c r="Y123" s="770">
        <v>27.017142704554924</v>
      </c>
    </row>
    <row r="124" spans="14:25">
      <c r="N124" s="771"/>
      <c r="O124" s="771"/>
      <c r="P124" s="771">
        <v>17</v>
      </c>
      <c r="Q124" s="770">
        <v>14.988285734993999</v>
      </c>
      <c r="R124" s="770">
        <v>14.963714392629401</v>
      </c>
      <c r="S124" s="770">
        <v>174.68314470563601</v>
      </c>
      <c r="T124" s="770">
        <v>73.639428492954806</v>
      </c>
      <c r="U124" s="770">
        <v>18.143000000000001</v>
      </c>
      <c r="V124" s="770">
        <v>13.5886286328445</v>
      </c>
      <c r="W124" s="770">
        <v>1.80400003721498</v>
      </c>
      <c r="X124" s="770">
        <v>118.43833195974599</v>
      </c>
      <c r="Y124" s="770">
        <v>26.255714235187</v>
      </c>
    </row>
    <row r="125" spans="14:25">
      <c r="N125" s="771"/>
      <c r="O125" s="771"/>
      <c r="P125" s="771">
        <v>18</v>
      </c>
      <c r="Q125" s="770">
        <v>13.782857142857143</v>
      </c>
      <c r="R125" s="770">
        <v>9.805714285714286</v>
      </c>
      <c r="S125" s="770">
        <v>119.01714285714286</v>
      </c>
      <c r="T125" s="770">
        <v>55.180000000000007</v>
      </c>
      <c r="U125" s="770">
        <v>17.828571428571429</v>
      </c>
      <c r="V125" s="770">
        <v>12.145714285714286</v>
      </c>
      <c r="W125" s="770">
        <v>1.5071428571428569</v>
      </c>
      <c r="X125" s="770">
        <v>73.115714285714276</v>
      </c>
      <c r="Y125" s="770">
        <v>16.581428571428575</v>
      </c>
    </row>
    <row r="126" spans="14:25">
      <c r="N126" s="771"/>
      <c r="O126" s="771"/>
      <c r="P126" s="771">
        <v>19</v>
      </c>
      <c r="Q126" s="770">
        <v>12.89642851693287</v>
      </c>
      <c r="R126" s="770">
        <v>8.2621427263532308</v>
      </c>
      <c r="S126" s="770">
        <v>110.76885659354043</v>
      </c>
      <c r="T126" s="770">
        <v>59.773714338030103</v>
      </c>
      <c r="U126" s="770">
        <v>15.455142838614288</v>
      </c>
      <c r="V126" s="770">
        <v>11.9720828192574</v>
      </c>
      <c r="W126" s="770">
        <v>1.5408571277345884</v>
      </c>
      <c r="X126" s="770">
        <v>69.296428135463117</v>
      </c>
      <c r="Y126" s="770">
        <v>69.459999084472599</v>
      </c>
    </row>
    <row r="127" spans="14:25">
      <c r="N127" s="771"/>
      <c r="O127" s="771"/>
      <c r="P127" s="771">
        <v>20</v>
      </c>
      <c r="Q127" s="770">
        <v>12.223428453717887</v>
      </c>
      <c r="R127" s="770">
        <v>8.1970000267028773</v>
      </c>
      <c r="S127" s="770">
        <v>101.37014225551034</v>
      </c>
      <c r="T127" s="770">
        <v>76.803571428571416</v>
      </c>
      <c r="U127" s="770">
        <v>17.032571247645741</v>
      </c>
      <c r="V127" s="770">
        <v>12.044524329049228</v>
      </c>
      <c r="W127" s="770">
        <v>1.2638571347509076</v>
      </c>
      <c r="X127" s="770">
        <v>62.86000006539475</v>
      </c>
      <c r="Y127" s="770">
        <v>66.260002136230398</v>
      </c>
    </row>
    <row r="128" spans="14:25">
      <c r="N128" s="771"/>
      <c r="O128" s="771"/>
      <c r="P128" s="771">
        <v>21</v>
      </c>
      <c r="Q128" s="770">
        <v>10.884428433009543</v>
      </c>
      <c r="R128" s="770">
        <v>7.9334286281040693</v>
      </c>
      <c r="S128" s="770">
        <v>97.459857395716909</v>
      </c>
      <c r="T128" s="770">
        <v>50.738285609653985</v>
      </c>
      <c r="U128" s="770">
        <v>13.328000204903701</v>
      </c>
      <c r="V128" s="770">
        <v>12.004824365888286</v>
      </c>
      <c r="W128" s="770">
        <v>1.5594285896846185</v>
      </c>
      <c r="X128" s="770">
        <v>54.305714198521159</v>
      </c>
      <c r="Y128" s="770">
        <v>65.75</v>
      </c>
    </row>
    <row r="129" spans="14:25">
      <c r="N129" s="771"/>
      <c r="O129" s="771">
        <v>22</v>
      </c>
      <c r="P129" s="771">
        <v>22</v>
      </c>
      <c r="Q129" s="770">
        <v>10.348285540285715</v>
      </c>
      <c r="R129" s="770">
        <v>7.5271429334285713</v>
      </c>
      <c r="S129" s="770">
        <v>89.468571255714281</v>
      </c>
      <c r="T129" s="770">
        <v>47.993857245714288</v>
      </c>
      <c r="U129" s="770">
        <v>14.01614271</v>
      </c>
      <c r="V129" s="770">
        <v>12.003629958571429</v>
      </c>
      <c r="W129" s="770">
        <v>1.5562856965714285</v>
      </c>
      <c r="X129" s="770">
        <v>53.467142922857143</v>
      </c>
      <c r="Y129" s="770">
        <v>65.72000122</v>
      </c>
    </row>
    <row r="130" spans="14:25">
      <c r="N130" s="771"/>
      <c r="O130" s="771"/>
      <c r="P130" s="771">
        <v>23</v>
      </c>
      <c r="Q130" s="770">
        <v>9.2024285452706458</v>
      </c>
      <c r="R130" s="770">
        <v>7.8158572060721223</v>
      </c>
      <c r="S130" s="770">
        <v>76.892712184361002</v>
      </c>
      <c r="T130" s="770">
        <v>57.958285740443614</v>
      </c>
      <c r="U130" s="770">
        <v>15.881571360996745</v>
      </c>
      <c r="V130" s="770">
        <v>11.987857137407543</v>
      </c>
      <c r="W130" s="770">
        <v>1.6308571440832915</v>
      </c>
      <c r="X130" s="770">
        <v>51.62714331490649</v>
      </c>
      <c r="Y130" s="770">
        <v>10.504285676138702</v>
      </c>
    </row>
    <row r="131" spans="14:25">
      <c r="N131" s="771"/>
      <c r="O131" s="771"/>
      <c r="P131" s="771">
        <v>24</v>
      </c>
      <c r="Q131" s="770">
        <v>9.7554287231428578</v>
      </c>
      <c r="R131" s="770">
        <v>6.7071426938571426</v>
      </c>
      <c r="S131" s="770">
        <v>81.342571802857151</v>
      </c>
      <c r="T131" s="770">
        <v>44.565714157142857</v>
      </c>
      <c r="U131" s="770">
        <v>11.95571436</v>
      </c>
      <c r="V131" s="770">
        <v>11.995954241428569</v>
      </c>
      <c r="W131" s="770">
        <v>1.5964285474285715</v>
      </c>
      <c r="X131" s="770">
        <v>52.48000008857143</v>
      </c>
      <c r="Y131" s="770">
        <v>8.8472856794285715</v>
      </c>
    </row>
    <row r="132" spans="14:25">
      <c r="N132" s="771"/>
      <c r="O132" s="771"/>
      <c r="P132" s="771">
        <v>25</v>
      </c>
      <c r="Q132" s="770">
        <v>9.0029998505714293</v>
      </c>
      <c r="R132" s="770">
        <v>5.0975714409999995</v>
      </c>
      <c r="S132" s="770">
        <v>74.786714827142859</v>
      </c>
      <c r="T132" s="770">
        <v>37.470142908571425</v>
      </c>
      <c r="U132" s="770">
        <v>10.698285784285716</v>
      </c>
      <c r="V132" s="770">
        <v>12.037141528571428</v>
      </c>
      <c r="W132" s="770">
        <v>1.5865714718571431</v>
      </c>
      <c r="X132" s="770">
        <v>52.899999890000004</v>
      </c>
      <c r="Y132" s="770">
        <v>7.1708572252857135</v>
      </c>
    </row>
    <row r="133" spans="14:25">
      <c r="N133" s="771"/>
      <c r="O133" s="771"/>
      <c r="P133" s="771">
        <v>26</v>
      </c>
      <c r="Q133" s="770">
        <v>8.8088571004285718</v>
      </c>
      <c r="R133" s="770">
        <v>4.9562855787142857</v>
      </c>
      <c r="S133" s="770">
        <v>70.028570991428566</v>
      </c>
      <c r="T133" s="770">
        <v>32.059714182857142</v>
      </c>
      <c r="U133" s="770">
        <v>11.252857207571427</v>
      </c>
      <c r="V133" s="770">
        <v>12.019521304285714</v>
      </c>
      <c r="W133" s="770">
        <v>2.0531428372857143</v>
      </c>
      <c r="X133" s="770">
        <v>50.610000065714296</v>
      </c>
      <c r="Y133" s="770">
        <v>6.7431428091428582</v>
      </c>
    </row>
    <row r="134" spans="14:25">
      <c r="N134" s="771"/>
      <c r="O134" s="771"/>
      <c r="P134" s="771">
        <v>27</v>
      </c>
      <c r="Q134" s="770">
        <v>8.6749999188571429</v>
      </c>
      <c r="R134" s="770">
        <v>5.8004284587142854</v>
      </c>
      <c r="S134" s="770">
        <v>73.483713422857136</v>
      </c>
      <c r="T134" s="770">
        <v>28.196285791428572</v>
      </c>
      <c r="U134" s="770">
        <v>8.894857134285715</v>
      </c>
      <c r="V134" s="770">
        <v>12.048987115714286</v>
      </c>
      <c r="W134" s="770">
        <v>1.7931428807142857</v>
      </c>
      <c r="X134" s="770">
        <v>39.56999969571428</v>
      </c>
      <c r="Y134" s="770">
        <v>6.9555713788571438</v>
      </c>
    </row>
    <row r="135" spans="14:25">
      <c r="N135" s="771"/>
      <c r="O135" s="771"/>
      <c r="P135" s="771">
        <v>28</v>
      </c>
      <c r="Q135" s="770">
        <v>8.5319998604285718</v>
      </c>
      <c r="R135" s="770">
        <v>4.793428557285714</v>
      </c>
      <c r="S135" s="770">
        <v>71.609712874285705</v>
      </c>
      <c r="T135" s="770">
        <v>29.315428597142859</v>
      </c>
      <c r="U135" s="770">
        <v>8.5744282858571417</v>
      </c>
      <c r="V135" s="770">
        <v>13.016607148571428</v>
      </c>
      <c r="W135" s="770">
        <v>1.5484285694285713</v>
      </c>
      <c r="X135" s="770">
        <v>37.367143358571425</v>
      </c>
      <c r="Y135" s="770">
        <v>7.7912856511428572</v>
      </c>
    </row>
    <row r="136" spans="14:25">
      <c r="N136" s="771"/>
      <c r="O136" s="771"/>
      <c r="P136" s="771">
        <v>29</v>
      </c>
      <c r="Q136" s="770">
        <v>7.5015713146754646</v>
      </c>
      <c r="R136" s="770">
        <v>4.1201429026467418</v>
      </c>
      <c r="S136" s="770">
        <v>70.704857962472062</v>
      </c>
      <c r="T136" s="770">
        <v>28.869000026157888</v>
      </c>
      <c r="U136" s="770">
        <v>8.3951428277151887</v>
      </c>
      <c r="V136" s="770">
        <v>11.558748653956785</v>
      </c>
      <c r="W136" s="770">
        <v>1.8301428726741213</v>
      </c>
      <c r="X136" s="770">
        <v>34.207142421177402</v>
      </c>
      <c r="Y136" s="770">
        <v>7.1859999213899801</v>
      </c>
    </row>
    <row r="137" spans="14:25">
      <c r="N137" s="771"/>
      <c r="O137" s="771"/>
      <c r="P137" s="771">
        <v>30</v>
      </c>
      <c r="Q137" s="770">
        <v>6.9631428037142857</v>
      </c>
      <c r="R137" s="770">
        <v>3.7525714465714288</v>
      </c>
      <c r="S137" s="770">
        <v>70.704857962857133</v>
      </c>
      <c r="T137" s="770">
        <v>27.43799999714286</v>
      </c>
      <c r="U137" s="770">
        <v>8.4329999515714285</v>
      </c>
      <c r="V137" s="770">
        <v>11.530537195714285</v>
      </c>
      <c r="W137" s="770">
        <v>1.7351428440000001</v>
      </c>
      <c r="X137" s="770">
        <v>33.177856990000002</v>
      </c>
      <c r="Y137" s="770">
        <v>10.289285525142857</v>
      </c>
    </row>
    <row r="138" spans="14:25">
      <c r="N138" s="771"/>
      <c r="O138" s="771"/>
      <c r="P138" s="771">
        <v>31</v>
      </c>
      <c r="Q138" s="770">
        <v>6.8165713718959227</v>
      </c>
      <c r="R138" s="770">
        <v>3.3494285855974431</v>
      </c>
      <c r="S138" s="770">
        <v>63.379999978201695</v>
      </c>
      <c r="T138" s="770">
        <v>26.440285818917356</v>
      </c>
      <c r="U138" s="770">
        <v>7.6332857949393071</v>
      </c>
      <c r="V138" s="770">
        <v>13.242675645010754</v>
      </c>
      <c r="W138" s="770">
        <v>1.6478571380887672</v>
      </c>
      <c r="X138" s="770">
        <v>31.918571744646293</v>
      </c>
      <c r="Y138" s="770">
        <v>7.0418571063450344</v>
      </c>
    </row>
    <row r="139" spans="14:25">
      <c r="N139" s="771"/>
      <c r="O139" s="771"/>
      <c r="P139" s="771">
        <v>32</v>
      </c>
      <c r="Q139" s="770">
        <v>6.7767143249511674</v>
      </c>
      <c r="R139" s="770">
        <v>3.2958571570260142</v>
      </c>
      <c r="S139" s="770">
        <v>71.012714930943048</v>
      </c>
      <c r="T139" s="770">
        <v>46.172571454729322</v>
      </c>
      <c r="U139" s="770">
        <v>10.471999985831093</v>
      </c>
      <c r="V139" s="770">
        <v>14.178215708051356</v>
      </c>
      <c r="W139" s="770">
        <v>1.7564285823277028</v>
      </c>
      <c r="X139" s="770">
        <v>36.164285932268385</v>
      </c>
      <c r="Y139" s="770">
        <v>6.8281428813934264</v>
      </c>
    </row>
    <row r="140" spans="14:25">
      <c r="N140" s="771"/>
      <c r="O140" s="771"/>
      <c r="P140" s="771">
        <v>33</v>
      </c>
      <c r="Q140" s="770">
        <v>6.6272856167142846</v>
      </c>
      <c r="R140" s="770">
        <v>3.2975714547142858</v>
      </c>
      <c r="S140" s="770">
        <v>68.504143305714294</v>
      </c>
      <c r="T140" s="770">
        <v>27.946428571428573</v>
      </c>
      <c r="U140" s="770">
        <v>7.9560000554285706</v>
      </c>
      <c r="V140" s="770">
        <v>14.038035665714288</v>
      </c>
      <c r="W140" s="770">
        <v>1.7424285411428571</v>
      </c>
      <c r="X140" s="770">
        <v>35.879999975714291</v>
      </c>
      <c r="Y140" s="770">
        <v>5.7674285684285715</v>
      </c>
    </row>
    <row r="141" spans="14:25">
      <c r="N141" s="771"/>
      <c r="O141" s="771">
        <v>34</v>
      </c>
      <c r="P141" s="771">
        <v>34</v>
      </c>
      <c r="Q141" s="770">
        <v>6.5701428822857153</v>
      </c>
      <c r="R141" s="770">
        <v>3.5422857148571425</v>
      </c>
      <c r="S141" s="770">
        <v>67.757142747142865</v>
      </c>
      <c r="T141" s="770">
        <v>25.892714362857141</v>
      </c>
      <c r="U141" s="770">
        <v>7.6575713838571433</v>
      </c>
      <c r="V141" s="770">
        <v>13.967680111428573</v>
      </c>
      <c r="W141" s="770">
        <v>1.731428572</v>
      </c>
      <c r="X141" s="770">
        <v>38.545714242857137</v>
      </c>
      <c r="Y141" s="770">
        <v>2.1432857171428572</v>
      </c>
    </row>
    <row r="142" spans="14:25">
      <c r="N142" s="771"/>
      <c r="O142" s="771"/>
      <c r="P142" s="771">
        <v>35</v>
      </c>
      <c r="Q142" s="770">
        <v>6.5428572382245695</v>
      </c>
      <c r="R142" s="770">
        <v>3.660142830439971</v>
      </c>
      <c r="S142" s="770">
        <v>64.803571428571402</v>
      </c>
      <c r="T142" s="770">
        <v>24.232000078473732</v>
      </c>
      <c r="U142" s="770">
        <v>6.8082856450762028</v>
      </c>
      <c r="V142" s="770">
        <v>14.05898720877507</v>
      </c>
      <c r="W142" s="770">
        <v>1.7037142855780412</v>
      </c>
      <c r="X142" s="770">
        <v>40.62499999999995</v>
      </c>
      <c r="Y142" s="770">
        <v>7.1627143110547582</v>
      </c>
    </row>
    <row r="143" spans="14:25">
      <c r="N143" s="771"/>
      <c r="O143" s="771"/>
      <c r="P143" s="771">
        <v>36</v>
      </c>
      <c r="Q143" s="770">
        <v>6.3227143287142855</v>
      </c>
      <c r="R143" s="770">
        <v>4.3679998937142859</v>
      </c>
      <c r="S143" s="770">
        <v>61.738000054285713</v>
      </c>
      <c r="T143" s="770">
        <v>22.238142831428572</v>
      </c>
      <c r="U143" s="770">
        <v>6.3390000000000004</v>
      </c>
      <c r="V143" s="770">
        <v>14.080715725714285</v>
      </c>
      <c r="W143" s="770">
        <v>1.4800000019999999</v>
      </c>
      <c r="X143" s="770">
        <v>39.675715311428569</v>
      </c>
      <c r="Y143" s="770">
        <v>5.1081428868571424</v>
      </c>
    </row>
    <row r="144" spans="14:25">
      <c r="N144" s="771"/>
      <c r="O144" s="771"/>
      <c r="P144" s="771">
        <v>37</v>
      </c>
      <c r="Q144" s="770">
        <v>6.2865810394126704</v>
      </c>
      <c r="R144" s="770">
        <v>3.77252543796107</v>
      </c>
      <c r="S144" s="770">
        <v>59.887714115714203</v>
      </c>
      <c r="T144" s="770">
        <v>22.866306149296399</v>
      </c>
      <c r="U144" s="770">
        <v>5.7651427948238201</v>
      </c>
      <c r="V144" s="770">
        <v>14.0125123574527</v>
      </c>
      <c r="W144" s="770">
        <v>1.63901983647542</v>
      </c>
      <c r="X144" s="770">
        <v>42.048215323571398</v>
      </c>
      <c r="Y144" s="770">
        <v>5.8057857581702397</v>
      </c>
    </row>
    <row r="145" spans="14:25">
      <c r="N145" s="771"/>
      <c r="O145" s="771"/>
      <c r="P145" s="771">
        <v>38</v>
      </c>
      <c r="Q145" s="770">
        <v>5.793857097625728</v>
      </c>
      <c r="R145" s="770">
        <v>4.5530000073569106</v>
      </c>
      <c r="S145" s="770">
        <v>64.924144199916256</v>
      </c>
      <c r="T145" s="770">
        <v>29.702428545270628</v>
      </c>
      <c r="U145" s="770">
        <v>6.6742858205522735</v>
      </c>
      <c r="V145" s="770">
        <v>13.981904302324526</v>
      </c>
      <c r="W145" s="770">
        <v>1.5090000288827028</v>
      </c>
      <c r="X145" s="770">
        <v>43.403571537562748</v>
      </c>
      <c r="Y145" s="770">
        <v>6.7047142982482857</v>
      </c>
    </row>
    <row r="146" spans="14:25">
      <c r="N146" s="771"/>
      <c r="O146" s="771"/>
      <c r="P146" s="771">
        <v>39</v>
      </c>
      <c r="Q146" s="770">
        <v>5.9811427934285719</v>
      </c>
      <c r="R146" s="770">
        <v>3.9475713797142857</v>
      </c>
      <c r="S146" s="770">
        <v>70.514285495714276</v>
      </c>
      <c r="T146" s="770">
        <v>38.059571402857145</v>
      </c>
      <c r="U146" s="770">
        <v>7.1607142177142862</v>
      </c>
      <c r="V146" s="770">
        <v>14.00559575142857</v>
      </c>
      <c r="W146" s="770">
        <v>1.4841428652857143</v>
      </c>
      <c r="X146" s="770">
        <v>39.662857054285716</v>
      </c>
      <c r="Y146" s="770">
        <v>3.8321428128571426</v>
      </c>
    </row>
    <row r="147" spans="14:25">
      <c r="N147" s="771"/>
      <c r="O147" s="771"/>
      <c r="P147" s="771">
        <v>40</v>
      </c>
      <c r="Q147" s="770">
        <v>5.635571479797358</v>
      </c>
      <c r="R147" s="770">
        <v>4.196571486336838</v>
      </c>
      <c r="S147" s="770">
        <v>63.012999943324473</v>
      </c>
      <c r="T147" s="770">
        <v>36.791714259556329</v>
      </c>
      <c r="U147" s="770">
        <v>7.419142927442274</v>
      </c>
      <c r="V147" s="770">
        <v>14.040832792009573</v>
      </c>
      <c r="W147" s="770">
        <v>1.3278571452413228</v>
      </c>
      <c r="X147" s="770">
        <v>38.878571646554072</v>
      </c>
      <c r="Y147" s="770">
        <v>6.02885715450559</v>
      </c>
    </row>
    <row r="148" spans="14:25">
      <c r="N148" s="771"/>
      <c r="O148" s="771"/>
      <c r="P148" s="771">
        <v>41</v>
      </c>
      <c r="Q148" s="770">
        <v>5.5000561646503403</v>
      </c>
      <c r="R148" s="770">
        <v>4.2840944572134498</v>
      </c>
      <c r="S148" s="770">
        <v>66.388028771146395</v>
      </c>
      <c r="T148" s="770">
        <v>43.221755070626699</v>
      </c>
      <c r="U148" s="770">
        <v>6.8784286265785504</v>
      </c>
      <c r="V148" s="770">
        <v>14.068372771605899</v>
      </c>
      <c r="W148" s="770">
        <v>1.3502551701649099</v>
      </c>
      <c r="X148" s="770">
        <v>39.9741191131004</v>
      </c>
      <c r="Y148" s="770">
        <v>6.1968265237028799</v>
      </c>
    </row>
    <row r="149" spans="14:25">
      <c r="N149" s="771"/>
      <c r="O149" s="771"/>
      <c r="P149" s="771">
        <v>42</v>
      </c>
      <c r="Q149" s="770">
        <v>4.9938571794285718</v>
      </c>
      <c r="R149" s="770">
        <v>4</v>
      </c>
      <c r="S149" s="770">
        <v>62.769999368571426</v>
      </c>
      <c r="T149" s="770">
        <v>38</v>
      </c>
      <c r="U149" s="770">
        <v>9.4662852974285716</v>
      </c>
      <c r="V149" s="770">
        <v>14.016308650000001</v>
      </c>
      <c r="W149" s="770">
        <v>1.3397142717142856</v>
      </c>
      <c r="X149" s="770">
        <v>40.656428200000001</v>
      </c>
      <c r="Y149" s="770">
        <v>9.5699999659999992</v>
      </c>
    </row>
    <row r="150" spans="14:25">
      <c r="N150" s="771"/>
      <c r="O150" s="771"/>
      <c r="P150" s="771">
        <v>43</v>
      </c>
      <c r="Q150" s="770">
        <v>5.6268571444920088</v>
      </c>
      <c r="R150" s="770">
        <v>4.612428597041534</v>
      </c>
      <c r="S150" s="770">
        <v>52.281571524483752</v>
      </c>
      <c r="T150" s="770">
        <v>34.410571507045155</v>
      </c>
      <c r="U150" s="770">
        <v>5.7607142584664448</v>
      </c>
      <c r="V150" s="770">
        <v>14.078072684151758</v>
      </c>
      <c r="W150" s="770">
        <v>1.3554285253797185</v>
      </c>
      <c r="X150" s="770">
        <v>41.783572060721227</v>
      </c>
      <c r="Y150" s="770">
        <v>9.7359999247959532</v>
      </c>
    </row>
    <row r="151" spans="14:25">
      <c r="N151" s="771"/>
      <c r="O151" s="771">
        <v>44</v>
      </c>
      <c r="P151" s="771">
        <v>44</v>
      </c>
      <c r="Q151" s="770">
        <v>5.2291429382857144</v>
      </c>
      <c r="R151" s="770">
        <v>4.4097143239999994</v>
      </c>
      <c r="S151" s="770">
        <v>53.939428057142855</v>
      </c>
      <c r="T151" s="770">
        <v>27.107142857142858</v>
      </c>
      <c r="U151" s="770">
        <v>5.9262857437142857</v>
      </c>
      <c r="V151" s="770">
        <v>13.987262724285713</v>
      </c>
      <c r="W151" s="770">
        <v>1.3972857167142858</v>
      </c>
      <c r="X151" s="770">
        <v>40.991428375714285</v>
      </c>
      <c r="Y151" s="770">
        <v>9.787285668857141</v>
      </c>
    </row>
    <row r="152" spans="14:25">
      <c r="N152" s="771"/>
      <c r="O152" s="771"/>
      <c r="P152" s="771">
        <v>45</v>
      </c>
      <c r="Q152" s="770">
        <v>5.4345714705330943</v>
      </c>
      <c r="R152" s="770">
        <v>3.90100002288818</v>
      </c>
      <c r="S152" s="770">
        <v>62.510428837367428</v>
      </c>
      <c r="T152" s="770">
        <v>29.329142979213128</v>
      </c>
      <c r="U152" s="770">
        <v>5.2147143227713402</v>
      </c>
      <c r="V152" s="770">
        <v>13.874702862330802</v>
      </c>
      <c r="W152" s="770">
        <v>1.3508571045739299</v>
      </c>
      <c r="X152" s="770">
        <v>40.139285496302975</v>
      </c>
      <c r="Y152" s="770">
        <v>8.3278572218758669</v>
      </c>
    </row>
    <row r="153" spans="14:25">
      <c r="N153" s="771"/>
      <c r="O153" s="771"/>
      <c r="P153" s="771">
        <v>46</v>
      </c>
      <c r="Q153" s="770">
        <v>5.3250000135714286</v>
      </c>
      <c r="R153" s="770">
        <v>3.9275713648571431</v>
      </c>
      <c r="S153" s="770">
        <v>53.200286319999996</v>
      </c>
      <c r="T153" s="770">
        <v>26.72028568857143</v>
      </c>
      <c r="U153" s="770">
        <v>6.1838571684285712</v>
      </c>
      <c r="V153" s="770">
        <v>14.021962847142857</v>
      </c>
      <c r="W153" s="770">
        <v>1.3508571042857143</v>
      </c>
      <c r="X153" s="770">
        <v>39.383571627142864</v>
      </c>
      <c r="Y153" s="770">
        <v>8.9714284620000004</v>
      </c>
    </row>
    <row r="154" spans="14:25">
      <c r="N154" s="771"/>
      <c r="O154" s="771"/>
      <c r="P154" s="771">
        <v>47</v>
      </c>
      <c r="Q154" s="770">
        <v>5.2195714201245949</v>
      </c>
      <c r="R154" s="770">
        <v>4.3361428805759958</v>
      </c>
      <c r="S154" s="770">
        <v>58.334714617047958</v>
      </c>
      <c r="T154" s="770">
        <v>27.404714311872173</v>
      </c>
      <c r="U154" s="770">
        <v>5.6749998501368912</v>
      </c>
      <c r="V154" s="770">
        <v>12.869702747889887</v>
      </c>
      <c r="W154" s="770">
        <v>1.3509999513626101</v>
      </c>
      <c r="X154" s="770">
        <v>41.750000544956698</v>
      </c>
      <c r="Y154" s="770">
        <v>7.719999926430833</v>
      </c>
    </row>
    <row r="155" spans="14:25">
      <c r="N155" s="771"/>
      <c r="O155" s="771"/>
      <c r="P155" s="771">
        <v>48</v>
      </c>
      <c r="Q155" s="770">
        <v>5.7077142170497295</v>
      </c>
      <c r="R155" s="770">
        <v>4.0250000272478319</v>
      </c>
      <c r="S155" s="770">
        <v>50.089571816580602</v>
      </c>
      <c r="T155" s="770">
        <v>25.464285714285698</v>
      </c>
      <c r="U155" s="770">
        <v>5.2590000288827037</v>
      </c>
      <c r="V155" s="770">
        <v>12.914761407034687</v>
      </c>
      <c r="W155" s="770">
        <v>1.3509999513626101</v>
      </c>
      <c r="X155" s="770">
        <v>40.275714329310787</v>
      </c>
      <c r="Y155" s="770">
        <v>9.8602855546133554</v>
      </c>
    </row>
    <row r="156" spans="14:25">
      <c r="N156" s="771"/>
      <c r="O156" s="771"/>
      <c r="P156" s="771">
        <v>49</v>
      </c>
      <c r="Q156" s="770">
        <v>6.1595714432857145</v>
      </c>
      <c r="R156" s="770">
        <v>3.979571376428571</v>
      </c>
      <c r="S156" s="770">
        <v>60.034714289999997</v>
      </c>
      <c r="T156" s="770">
        <v>26.208285740000001</v>
      </c>
      <c r="U156" s="770">
        <v>4.6138571330000007</v>
      </c>
      <c r="V156" s="770">
        <v>13.072690148571429</v>
      </c>
      <c r="W156" s="770">
        <v>1.3818571054285713</v>
      </c>
      <c r="X156" s="770">
        <v>41.965714589999997</v>
      </c>
      <c r="Y156" s="770">
        <v>10.514714377142857</v>
      </c>
    </row>
    <row r="157" spans="14:25">
      <c r="N157" s="771"/>
      <c r="O157" s="771"/>
      <c r="P157" s="771">
        <v>50</v>
      </c>
      <c r="Q157" s="770">
        <v>8.2302858491428559</v>
      </c>
      <c r="R157" s="770">
        <v>4.227428538571429</v>
      </c>
      <c r="S157" s="770">
        <v>60.558143069999993</v>
      </c>
      <c r="T157" s="770">
        <v>47.559571402857145</v>
      </c>
      <c r="U157" s="770">
        <v>9.325571467571427</v>
      </c>
      <c r="V157" s="770">
        <v>12.378569737142858</v>
      </c>
      <c r="W157" s="770">
        <v>2.3402857099999999</v>
      </c>
      <c r="X157" s="770">
        <v>44.681428635714283</v>
      </c>
      <c r="Y157" s="770">
        <v>13.792428560000001</v>
      </c>
    </row>
    <row r="158" spans="14:25">
      <c r="N158" s="771"/>
      <c r="O158" s="771"/>
      <c r="P158" s="771">
        <v>51</v>
      </c>
      <c r="Q158" s="770">
        <v>8.6974285665714284</v>
      </c>
      <c r="R158" s="770">
        <v>4.2828571114285712</v>
      </c>
      <c r="S158" s="770">
        <v>76.682998657142861</v>
      </c>
      <c r="T158" s="770">
        <v>47.559571402857145</v>
      </c>
      <c r="U158" s="770">
        <v>9.325571467571427</v>
      </c>
      <c r="V158" s="770">
        <v>13.595178467142899</v>
      </c>
      <c r="W158" s="770">
        <v>2.1075714314285716</v>
      </c>
      <c r="X158" s="770">
        <v>58.199286324285715</v>
      </c>
      <c r="Y158" s="770">
        <v>17.965714182857145</v>
      </c>
    </row>
    <row r="159" spans="14:25">
      <c r="N159" s="771"/>
      <c r="O159" s="771">
        <v>52</v>
      </c>
      <c r="P159" s="771">
        <v>52</v>
      </c>
      <c r="Q159" s="770">
        <v>12.067857061428571</v>
      </c>
      <c r="R159" s="770">
        <v>5.9124286172857135</v>
      </c>
      <c r="S159" s="770">
        <v>82.013715471428569</v>
      </c>
      <c r="T159" s="770">
        <v>71.637142725714284</v>
      </c>
      <c r="U159" s="770">
        <v>27.029714380142856</v>
      </c>
      <c r="V159" s="770">
        <v>13.1345855185714</v>
      </c>
      <c r="W159" s="770">
        <v>1.4207143104285713</v>
      </c>
      <c r="X159" s="770">
        <v>49.959429059999998</v>
      </c>
      <c r="Y159" s="770">
        <v>13.465142795714286</v>
      </c>
    </row>
    <row r="160" spans="14:25">
      <c r="N160" s="277">
        <v>2023</v>
      </c>
      <c r="P160" s="277">
        <v>1</v>
      </c>
      <c r="Q160" s="770">
        <v>15.932143074285715</v>
      </c>
      <c r="R160" s="770">
        <v>11.847142697285713</v>
      </c>
      <c r="S160" s="770">
        <v>128.12399947142856</v>
      </c>
      <c r="T160" s="770">
        <v>120.91071428857143</v>
      </c>
      <c r="U160" s="770">
        <v>7.7642858370000001</v>
      </c>
      <c r="V160" s="770">
        <v>11.095357077142859</v>
      </c>
      <c r="W160" s="770">
        <v>1.6364285774285714</v>
      </c>
      <c r="X160" s="770">
        <v>66.995713914285716</v>
      </c>
      <c r="Y160" s="770">
        <v>22.307714735714285</v>
      </c>
    </row>
    <row r="161" spans="15:25">
      <c r="P161" s="774">
        <v>2</v>
      </c>
      <c r="Q161" s="770">
        <v>13.622000012857143</v>
      </c>
      <c r="R161" s="770">
        <v>10.387571334714284</v>
      </c>
      <c r="S161" s="770">
        <v>121.34800174285715</v>
      </c>
      <c r="T161" s="770">
        <v>63.964285714285715</v>
      </c>
      <c r="U161" s="770">
        <v>8.3012856074285715</v>
      </c>
      <c r="V161" s="770">
        <v>10.665118488571428</v>
      </c>
      <c r="W161" s="770">
        <v>1.4351428745714288</v>
      </c>
      <c r="X161" s="770">
        <v>61.672285351428577</v>
      </c>
      <c r="Y161" s="770">
        <v>20.728857314285712</v>
      </c>
    </row>
    <row r="162" spans="15:25">
      <c r="P162" s="277">
        <v>3</v>
      </c>
      <c r="Q162" s="770">
        <v>14.96771430969237</v>
      </c>
      <c r="R162" s="770">
        <v>12.343428543635765</v>
      </c>
      <c r="S162" s="770">
        <v>86.206856863839235</v>
      </c>
      <c r="T162" s="770">
        <v>66.660714285714292</v>
      </c>
      <c r="U162" s="770">
        <v>13.8641426903861</v>
      </c>
      <c r="V162" s="770">
        <v>10.825061389378083</v>
      </c>
      <c r="W162" s="770">
        <v>1.1248571532113172</v>
      </c>
      <c r="X162" s="770">
        <v>45.978571755545445</v>
      </c>
      <c r="Y162" s="770">
        <v>14.135142598833328</v>
      </c>
    </row>
    <row r="163" spans="15:25">
      <c r="P163" s="277">
        <v>4</v>
      </c>
      <c r="Q163" s="770">
        <v>13.91128580857143</v>
      </c>
      <c r="R163" s="770">
        <v>11.180999892285714</v>
      </c>
      <c r="S163" s="770">
        <v>104.57885634428571</v>
      </c>
      <c r="T163" s="770">
        <v>85.190571371428561</v>
      </c>
      <c r="U163" s="770">
        <v>19.117857387142859</v>
      </c>
      <c r="V163" s="770">
        <v>11.076488631428571</v>
      </c>
      <c r="W163" s="770">
        <v>1.6419999940000001</v>
      </c>
      <c r="X163" s="770">
        <v>48.097142900000001</v>
      </c>
      <c r="Y163" s="770">
        <v>12.892857279999999</v>
      </c>
    </row>
    <row r="164" spans="15:25">
      <c r="P164" s="277">
        <v>5</v>
      </c>
      <c r="Q164" s="770">
        <v>16.3</v>
      </c>
      <c r="R164" s="770">
        <v>12.37</v>
      </c>
      <c r="S164" s="770">
        <v>154.74</v>
      </c>
      <c r="T164" s="770">
        <v>146.63999999999999</v>
      </c>
      <c r="U164" s="770">
        <v>16.501999999999999</v>
      </c>
      <c r="V164" s="770">
        <v>11.3279158734791</v>
      </c>
      <c r="W164" s="770">
        <v>3.9329999999999998</v>
      </c>
      <c r="X164" s="770">
        <v>92.98</v>
      </c>
      <c r="Y164" s="770">
        <v>30.6</v>
      </c>
    </row>
    <row r="165" spans="15:25">
      <c r="P165" s="277">
        <v>6</v>
      </c>
      <c r="Q165" s="770">
        <v>21.669000080653571</v>
      </c>
      <c r="R165" s="770">
        <v>15.139999934605159</v>
      </c>
      <c r="S165" s="770">
        <v>309.78528267996586</v>
      </c>
      <c r="T165" s="770">
        <v>176.99399893624403</v>
      </c>
      <c r="U165" s="770">
        <v>28.743571690150638</v>
      </c>
      <c r="V165" s="770">
        <v>20.581607409885926</v>
      </c>
      <c r="W165" s="770">
        <v>7.3275715282985106</v>
      </c>
      <c r="X165" s="770">
        <v>131.38999938964815</v>
      </c>
      <c r="Y165" s="770">
        <v>52.329999651227638</v>
      </c>
    </row>
    <row r="166" spans="15:25">
      <c r="P166" s="277">
        <v>7</v>
      </c>
      <c r="Q166" s="770">
        <v>23.23</v>
      </c>
      <c r="R166" s="770">
        <v>16.53</v>
      </c>
      <c r="S166" s="770">
        <v>292.54257421428571</v>
      </c>
      <c r="T166" s="770">
        <v>150.71</v>
      </c>
      <c r="U166" s="770">
        <v>26.15</v>
      </c>
      <c r="V166" s="770">
        <v>23.86</v>
      </c>
      <c r="W166" s="770">
        <v>5.78</v>
      </c>
      <c r="X166" s="770">
        <v>150.34</v>
      </c>
      <c r="Y166" s="770">
        <v>59.46</v>
      </c>
    </row>
    <row r="167" spans="15:25">
      <c r="O167" s="277">
        <v>8</v>
      </c>
      <c r="P167" s="277">
        <v>8</v>
      </c>
      <c r="Q167" s="770">
        <v>30.719714572857139</v>
      </c>
      <c r="R167" s="770">
        <v>21.736999784285718</v>
      </c>
      <c r="S167" s="770">
        <v>394.95185634285707</v>
      </c>
      <c r="T167" s="770">
        <v>196.54171534285712</v>
      </c>
      <c r="U167" s="770">
        <v>45.88742882857143</v>
      </c>
      <c r="V167" s="770">
        <v>17.428035462857142</v>
      </c>
      <c r="W167" s="770">
        <v>2.5667143377142865</v>
      </c>
      <c r="X167" s="770">
        <v>130.17400032857142</v>
      </c>
      <c r="Y167" s="770">
        <v>32.804857528571425</v>
      </c>
    </row>
    <row r="168" spans="15:25">
      <c r="P168" s="277">
        <v>9</v>
      </c>
      <c r="Q168" s="770">
        <v>22.826571600777726</v>
      </c>
      <c r="R168" s="770">
        <v>16.407857349940684</v>
      </c>
      <c r="S168" s="770">
        <v>266.61928667340914</v>
      </c>
      <c r="T168" s="770">
        <v>110.57742745535673</v>
      </c>
      <c r="U168" s="770">
        <v>28.721428462437206</v>
      </c>
      <c r="V168" s="770">
        <v>10.229164259774327</v>
      </c>
      <c r="W168" s="770">
        <v>1.7610000031334958</v>
      </c>
      <c r="X168" s="770">
        <v>94.120000566754854</v>
      </c>
      <c r="Y168" s="770">
        <v>24.390714100428941</v>
      </c>
    </row>
    <row r="169" spans="15:25">
      <c r="P169" s="277">
        <v>10</v>
      </c>
      <c r="Q169" s="770">
        <v>21.89857155857143</v>
      </c>
      <c r="R169" s="770">
        <v>14.010285651428573</v>
      </c>
      <c r="S169" s="770">
        <v>184.85557120000001</v>
      </c>
      <c r="T169" s="770">
        <v>94.220285682857138</v>
      </c>
      <c r="U169" s="770">
        <v>24.092285701428573</v>
      </c>
      <c r="V169" s="770">
        <v>9.952202933142857</v>
      </c>
      <c r="W169" s="770">
        <v>1.6931428228105772</v>
      </c>
      <c r="X169" s="770">
        <v>64.657857077142864</v>
      </c>
      <c r="Y169" s="770">
        <v>22.884571348571431</v>
      </c>
    </row>
    <row r="170" spans="15:25">
      <c r="P170" s="277">
        <v>11</v>
      </c>
      <c r="Q170" s="770">
        <v>27.571428843906915</v>
      </c>
      <c r="R170" s="770">
        <v>20.770999908447244</v>
      </c>
      <c r="S170" s="770">
        <v>247.99328395298497</v>
      </c>
      <c r="T170" s="770">
        <v>119.81542750767285</v>
      </c>
      <c r="U170" s="770">
        <v>36.970714841570135</v>
      </c>
      <c r="V170" s="770">
        <v>10.030357224600632</v>
      </c>
      <c r="W170" s="770">
        <v>1.6931428228105772</v>
      </c>
      <c r="X170" s="770">
        <v>92.970001220702912</v>
      </c>
      <c r="Y170" s="770">
        <v>34.45442908150806</v>
      </c>
    </row>
    <row r="171" spans="15:25">
      <c r="P171" s="277">
        <v>12</v>
      </c>
      <c r="Q171" s="770">
        <v>24.635714395714281</v>
      </c>
      <c r="R171" s="770">
        <v>20.710142951428569</v>
      </c>
      <c r="S171" s="770">
        <v>277.09400067142855</v>
      </c>
      <c r="T171" s="770">
        <v>120.231999</v>
      </c>
      <c r="U171" s="770">
        <v>35.331428525714287</v>
      </c>
      <c r="V171" s="770">
        <v>9.9896429611428594</v>
      </c>
      <c r="W171" s="770">
        <v>3.407428588428572</v>
      </c>
      <c r="X171" s="770">
        <v>280.39857048571423</v>
      </c>
      <c r="Y171" s="770">
        <v>76.830001284285714</v>
      </c>
    </row>
    <row r="172" spans="15:25">
      <c r="P172" s="277">
        <v>13</v>
      </c>
      <c r="Q172" s="770">
        <v>20.13</v>
      </c>
      <c r="R172" s="770">
        <v>17.697571481428572</v>
      </c>
      <c r="S172" s="770">
        <v>314.86642892857134</v>
      </c>
      <c r="T172" s="770">
        <v>181.93442862857142</v>
      </c>
      <c r="U172" s="770">
        <v>43.063000269999996</v>
      </c>
      <c r="V172" s="770">
        <v>16.947618347857141</v>
      </c>
      <c r="W172" s="770">
        <v>8.7692857471428578</v>
      </c>
      <c r="X172" s="770">
        <v>214.80214364285712</v>
      </c>
      <c r="Y172" s="770">
        <v>62.251857214285721</v>
      </c>
    </row>
    <row r="173" spans="15:25">
      <c r="P173" s="277">
        <v>14</v>
      </c>
      <c r="Q173" s="770">
        <v>19.794714245714285</v>
      </c>
      <c r="R173" s="770">
        <v>15.424571310000001</v>
      </c>
      <c r="S173" s="770">
        <v>246.36571175714286</v>
      </c>
      <c r="T173" s="770">
        <v>126.89285714285714</v>
      </c>
      <c r="U173" s="770">
        <v>36.577857699999996</v>
      </c>
      <c r="V173" s="770">
        <v>11.487677300714285</v>
      </c>
      <c r="W173" s="770">
        <v>4.3440000669999996</v>
      </c>
      <c r="X173" s="770">
        <v>185.27571324285717</v>
      </c>
      <c r="Y173" s="770">
        <v>47.981285095714284</v>
      </c>
    </row>
    <row r="174" spans="15:25">
      <c r="P174" s="277">
        <v>15</v>
      </c>
      <c r="Q174" s="770">
        <v>16.827428545270614</v>
      </c>
      <c r="R174" s="770">
        <v>13.644285610743902</v>
      </c>
      <c r="S174" s="770">
        <v>194.54785592215356</v>
      </c>
      <c r="T174" s="770">
        <v>95.922428676060008</v>
      </c>
      <c r="U174" s="770">
        <v>21.657714026314832</v>
      </c>
      <c r="V174" s="770">
        <v>9.0023798261369929</v>
      </c>
      <c r="W174" s="770">
        <v>2.7139999525887584</v>
      </c>
      <c r="X174" s="770">
        <v>140.86500113350971</v>
      </c>
      <c r="Y174" s="770">
        <v>40.005713871547108</v>
      </c>
    </row>
    <row r="175" spans="15:25">
      <c r="O175" s="277">
        <v>16</v>
      </c>
      <c r="P175" s="277">
        <v>16</v>
      </c>
      <c r="Q175" s="770">
        <v>16.516999999999999</v>
      </c>
      <c r="R175" s="770">
        <v>13.566000000000001</v>
      </c>
      <c r="S175" s="770">
        <v>124.93465999999998</v>
      </c>
      <c r="T175" s="770">
        <v>80.701999999999998</v>
      </c>
      <c r="U175" s="770">
        <v>17.350999999999999</v>
      </c>
      <c r="V175" s="770">
        <v>9.1519999999999992</v>
      </c>
      <c r="W175" s="770">
        <v>1.9339999999999999</v>
      </c>
      <c r="X175" s="770">
        <v>94.683000000000007</v>
      </c>
      <c r="Y175" s="770">
        <v>25.149166666666666</v>
      </c>
    </row>
    <row r="176" spans="15:25">
      <c r="P176" s="277">
        <v>17</v>
      </c>
      <c r="Q176" s="770">
        <v>15.246857370000001</v>
      </c>
      <c r="R176" s="770">
        <v>10.292142732428571</v>
      </c>
      <c r="S176" s="770">
        <v>97.393165588333332</v>
      </c>
      <c r="T176" s="770">
        <v>55.785714285714285</v>
      </c>
      <c r="U176" s="770">
        <v>13.676856995714287</v>
      </c>
      <c r="V176" s="770">
        <v>9.4439299447142862</v>
      </c>
      <c r="W176" s="770">
        <v>1.63</v>
      </c>
      <c r="X176" s="770">
        <v>65.052142551428574</v>
      </c>
      <c r="Y176" s="770">
        <v>19.712285721428572</v>
      </c>
    </row>
    <row r="177" spans="15:25">
      <c r="P177" s="277">
        <v>18</v>
      </c>
      <c r="Q177" s="770">
        <v>14.46657139914373</v>
      </c>
      <c r="R177" s="770">
        <v>9.2318571635654951</v>
      </c>
      <c r="S177" s="770">
        <v>77.381712777273933</v>
      </c>
      <c r="T177" s="770">
        <v>45.077285766601527</v>
      </c>
      <c r="U177" s="770">
        <v>11.102999959673172</v>
      </c>
      <c r="V177" s="770">
        <v>9.9751769474574132</v>
      </c>
      <c r="W177" s="770">
        <v>1.68928570406777</v>
      </c>
      <c r="X177" s="770">
        <v>54.70571463448654</v>
      </c>
      <c r="Y177" s="770">
        <v>14.60414287022177</v>
      </c>
    </row>
    <row r="178" spans="15:25">
      <c r="P178" s="277">
        <v>19</v>
      </c>
      <c r="Q178" s="770">
        <v>14.411857195714287</v>
      </c>
      <c r="R178" s="770">
        <v>11.184000082714286</v>
      </c>
      <c r="S178" s="770">
        <v>111.58071461571429</v>
      </c>
      <c r="T178" s="770">
        <v>143.95242746</v>
      </c>
      <c r="U178" s="770">
        <v>28.217143328571431</v>
      </c>
      <c r="V178" s="770">
        <v>10.429345675714286</v>
      </c>
      <c r="W178" s="770">
        <v>1.6611428601428571</v>
      </c>
      <c r="X178" s="770">
        <v>100.44000134428572</v>
      </c>
      <c r="Y178" s="770">
        <v>19.104285921428573</v>
      </c>
    </row>
    <row r="179" spans="15:25">
      <c r="P179" s="277">
        <v>20</v>
      </c>
      <c r="Q179" s="770">
        <v>13.445142882210858</v>
      </c>
      <c r="R179" s="770">
        <v>7.7474286215645893</v>
      </c>
      <c r="S179" s="770">
        <v>89.146713256835753</v>
      </c>
      <c r="T179" s="770">
        <v>64.565428597586461</v>
      </c>
      <c r="U179" s="770">
        <v>16.260714122227231</v>
      </c>
      <c r="V179" s="770">
        <v>10.446011407034684</v>
      </c>
      <c r="W179" s="770">
        <v>1.8321428469249157</v>
      </c>
      <c r="X179" s="770">
        <v>77.941428048270041</v>
      </c>
      <c r="Y179" s="770">
        <v>15.358714376177058</v>
      </c>
    </row>
    <row r="180" spans="15:25">
      <c r="P180" s="277">
        <v>21</v>
      </c>
      <c r="Q180" s="770">
        <v>11.638999999999999</v>
      </c>
      <c r="R180" s="770">
        <v>7.3238333333333339</v>
      </c>
      <c r="S180" s="770">
        <v>78.5</v>
      </c>
      <c r="T180" s="770">
        <v>46.94</v>
      </c>
      <c r="U180" s="770">
        <v>12.207000000000001</v>
      </c>
      <c r="V180" s="770">
        <v>10.39517857142857</v>
      </c>
      <c r="W180" s="770">
        <v>1.5392857142857144</v>
      </c>
      <c r="X180" s="770">
        <v>57.008000000000003</v>
      </c>
      <c r="Y180" s="770">
        <v>11.814404761904761</v>
      </c>
    </row>
    <row r="181" spans="15:25">
      <c r="P181" s="277">
        <v>22</v>
      </c>
      <c r="Q181" s="770">
        <v>12.144000052857143</v>
      </c>
      <c r="R181" s="770">
        <v>8.7331427847142855</v>
      </c>
      <c r="S181" s="770">
        <v>72.335334774999993</v>
      </c>
      <c r="T181" s="770">
        <v>42.863000051428571</v>
      </c>
      <c r="U181" s="770">
        <v>12.157142775857142</v>
      </c>
      <c r="V181" s="770">
        <v>10.565415654285715</v>
      </c>
      <c r="W181" s="770">
        <v>1.8451428412857145</v>
      </c>
      <c r="X181" s="770">
        <v>50.488571167142858</v>
      </c>
      <c r="Y181" s="770">
        <v>10.892857143142859</v>
      </c>
    </row>
    <row r="182" spans="15:25">
      <c r="P182" s="277">
        <v>23</v>
      </c>
      <c r="Q182" s="770">
        <v>11.882714407784578</v>
      </c>
      <c r="R182" s="770">
        <v>9.8902856963021399</v>
      </c>
      <c r="S182" s="770">
        <v>67.575428553989909</v>
      </c>
      <c r="T182" s="770">
        <v>37.190428597586461</v>
      </c>
      <c r="U182" s="770">
        <v>9.1034287043980147</v>
      </c>
      <c r="V182" s="770">
        <v>10.358035632542157</v>
      </c>
      <c r="W182" s="770">
        <v>1.6434285470417513</v>
      </c>
      <c r="X182" s="770">
        <v>42.077856881277846</v>
      </c>
      <c r="Y182" s="770">
        <v>8.5582857131957972</v>
      </c>
    </row>
    <row r="183" spans="15:25">
      <c r="P183" s="277">
        <v>24</v>
      </c>
      <c r="Q183" s="770">
        <v>11.349571364571428</v>
      </c>
      <c r="R183" s="770">
        <v>7.1754286628571426</v>
      </c>
      <c r="S183" s="770">
        <v>61.094286782857139</v>
      </c>
      <c r="T183" s="770">
        <v>34.446571351428574</v>
      </c>
      <c r="U183" s="770">
        <v>8.6151429584285726</v>
      </c>
      <c r="V183" s="770">
        <v>10.618989942857143</v>
      </c>
      <c r="W183" s="770">
        <v>1.6729999951428574</v>
      </c>
      <c r="X183" s="770">
        <v>37.627999442857138</v>
      </c>
      <c r="Y183" s="770">
        <v>7.9084286007142861</v>
      </c>
    </row>
    <row r="184" spans="15:25">
      <c r="P184" s="277">
        <v>25</v>
      </c>
      <c r="Q184" s="770">
        <v>10.676285608285713</v>
      </c>
      <c r="R184" s="770">
        <v>5.9687142712857142</v>
      </c>
      <c r="S184" s="770">
        <v>62.802570887142849</v>
      </c>
      <c r="T184" s="770">
        <v>30.250142780000001</v>
      </c>
      <c r="U184" s="770">
        <v>7.9434285844285721</v>
      </c>
      <c r="V184" s="770">
        <v>10.550834245714286</v>
      </c>
      <c r="W184" s="770">
        <v>1.6924285804285712</v>
      </c>
      <c r="X184" s="770">
        <v>34.431428635714283</v>
      </c>
      <c r="Y184" s="770">
        <v>6.9182857105714293</v>
      </c>
    </row>
    <row r="185" spans="15:25">
      <c r="P185" s="277">
        <v>26</v>
      </c>
      <c r="Q185" s="770">
        <v>10.526285716428571</v>
      </c>
      <c r="R185" s="770">
        <v>7.0281428774285715</v>
      </c>
      <c r="S185" s="770">
        <v>57.371285574285714</v>
      </c>
      <c r="T185" s="770">
        <v>27.273857117142857</v>
      </c>
      <c r="U185" s="770">
        <v>7.2757142611428574</v>
      </c>
      <c r="V185" s="770">
        <v>10.577082905714287</v>
      </c>
      <c r="W185" s="770">
        <v>1.6492857082857142</v>
      </c>
      <c r="X185" s="770">
        <v>33.420857565714293</v>
      </c>
      <c r="Y185" s="770">
        <v>6.4889999999999999</v>
      </c>
    </row>
    <row r="186" spans="15:25">
      <c r="P186" s="277">
        <v>27</v>
      </c>
      <c r="Q186" s="770">
        <v>10.480428559439513</v>
      </c>
      <c r="R186" s="770">
        <v>6.6732856546129415</v>
      </c>
      <c r="S186" s="770">
        <v>54.740000043596503</v>
      </c>
      <c r="T186" s="770">
        <v>24.833428519112715</v>
      </c>
      <c r="U186" s="770">
        <v>6.8057142666407975</v>
      </c>
      <c r="V186" s="770">
        <v>10.403569902692471</v>
      </c>
      <c r="W186" s="770">
        <v>1.6811428410666298</v>
      </c>
      <c r="X186" s="770">
        <v>29.930713926042788</v>
      </c>
      <c r="Y186" s="770">
        <v>6.4041427884783033</v>
      </c>
    </row>
    <row r="187" spans="15:25">
      <c r="P187" s="277">
        <v>28</v>
      </c>
      <c r="Q187" s="770">
        <v>10.320000103428571</v>
      </c>
      <c r="R187" s="770">
        <v>6.1684285575714286</v>
      </c>
      <c r="S187" s="770">
        <v>56.718999589999996</v>
      </c>
      <c r="T187" s="770">
        <v>23.232142857142858</v>
      </c>
      <c r="U187" s="770">
        <v>6.3595714567142849</v>
      </c>
      <c r="V187" s="770">
        <v>10.362797193</v>
      </c>
      <c r="W187" s="770">
        <v>1.8932857174285711</v>
      </c>
      <c r="X187" s="770">
        <v>29.310714177142859</v>
      </c>
      <c r="Y187" s="770">
        <v>6.0921429905714293</v>
      </c>
    </row>
    <row r="188" spans="15:25">
      <c r="P188" s="277">
        <v>29</v>
      </c>
      <c r="Q188" s="770">
        <v>9.7921428681428573</v>
      </c>
      <c r="R188" s="770">
        <v>6.7612857135714277</v>
      </c>
      <c r="S188" s="770">
        <v>50.593142918571424</v>
      </c>
      <c r="T188" s="770">
        <v>22.916714259999999</v>
      </c>
      <c r="U188" s="770">
        <v>6.3718571662857135</v>
      </c>
      <c r="V188" s="770">
        <v>10.495358602857142</v>
      </c>
      <c r="W188" s="770">
        <v>1.7762857165714283</v>
      </c>
      <c r="X188" s="770">
        <v>30.493714469999997</v>
      </c>
      <c r="Y188" s="770">
        <v>7.2885714941428574</v>
      </c>
    </row>
    <row r="189" spans="15:25">
      <c r="P189" s="277">
        <v>30</v>
      </c>
      <c r="Q189" s="770">
        <v>9.35528571265084</v>
      </c>
      <c r="R189" s="770">
        <v>6.0741428307124519</v>
      </c>
      <c r="S189" s="770">
        <v>46.488000052315826</v>
      </c>
      <c r="T189" s="770">
        <v>22</v>
      </c>
      <c r="U189" s="770">
        <v>5.9559999193463957</v>
      </c>
      <c r="V189" s="770">
        <v>10.428927012852231</v>
      </c>
      <c r="W189" s="770">
        <v>1.9438571589333615</v>
      </c>
      <c r="X189" s="770">
        <v>33.544999803815529</v>
      </c>
      <c r="Y189" s="770">
        <v>5.8061428751264241</v>
      </c>
    </row>
    <row r="190" spans="15:25">
      <c r="O190" s="277">
        <v>31</v>
      </c>
      <c r="P190" s="277">
        <v>31</v>
      </c>
      <c r="Q190" s="770">
        <v>9.1287142208571428</v>
      </c>
      <c r="R190" s="770">
        <v>5.9202857185714288</v>
      </c>
      <c r="S190" s="770">
        <v>54.620999472857143</v>
      </c>
      <c r="T190" s="770">
        <v>24.68</v>
      </c>
      <c r="U190" s="770">
        <v>6.04</v>
      </c>
      <c r="V190" s="770">
        <v>10.61</v>
      </c>
      <c r="W190" s="770">
        <v>1.68</v>
      </c>
      <c r="X190" s="770">
        <v>33.45214326</v>
      </c>
      <c r="Y190" s="770">
        <v>5.0824285232857136</v>
      </c>
    </row>
    <row r="191" spans="15:25">
      <c r="P191" s="582"/>
      <c r="Q191" s="750"/>
      <c r="R191" s="750"/>
      <c r="S191" s="750"/>
      <c r="T191" s="750"/>
      <c r="U191" s="750"/>
      <c r="V191" s="750"/>
      <c r="W191" s="750"/>
      <c r="X191" s="750"/>
      <c r="Y191" s="750"/>
    </row>
    <row r="192" spans="15:25">
      <c r="P192" s="582"/>
      <c r="Q192" s="277" t="s">
        <v>531</v>
      </c>
      <c r="R192" s="277" t="s">
        <v>532</v>
      </c>
      <c r="S192" s="277" t="s">
        <v>259</v>
      </c>
      <c r="T192" s="277" t="s">
        <v>260</v>
      </c>
      <c r="U192" s="277" t="s">
        <v>261</v>
      </c>
      <c r="V192" s="277" t="s">
        <v>262</v>
      </c>
      <c r="W192" s="277" t="s">
        <v>535</v>
      </c>
      <c r="X192" s="277" t="s">
        <v>536</v>
      </c>
      <c r="Y192" s="277" t="s">
        <v>537</v>
      </c>
    </row>
    <row r="193" spans="16:25">
      <c r="P193" s="582"/>
      <c r="Q193" s="750"/>
      <c r="R193" s="750"/>
      <c r="S193" s="750"/>
      <c r="T193" s="750"/>
      <c r="U193" s="750"/>
      <c r="V193" s="750"/>
      <c r="W193" s="750"/>
      <c r="X193" s="750"/>
      <c r="Y193" s="750"/>
    </row>
    <row r="194" spans="16:25">
      <c r="P194" s="582"/>
      <c r="Q194" s="750"/>
      <c r="R194" s="750"/>
      <c r="S194" s="750"/>
      <c r="T194" s="750"/>
      <c r="U194" s="750"/>
      <c r="V194" s="750"/>
      <c r="W194" s="750"/>
      <c r="X194" s="750"/>
      <c r="Y194" s="750"/>
    </row>
    <row r="195" spans="16:25">
      <c r="P195" s="582"/>
      <c r="Q195" s="750"/>
      <c r="R195" s="750"/>
      <c r="S195" s="750"/>
      <c r="T195" s="750"/>
      <c r="U195" s="750"/>
      <c r="V195" s="750"/>
      <c r="W195" s="750"/>
      <c r="X195" s="750"/>
      <c r="Y195" s="750"/>
    </row>
    <row r="196" spans="16:25">
      <c r="P196" s="582"/>
      <c r="Q196" s="750"/>
      <c r="R196" s="750"/>
      <c r="S196" s="750"/>
      <c r="T196" s="750"/>
      <c r="U196" s="750"/>
      <c r="V196" s="750"/>
      <c r="W196" s="750"/>
      <c r="X196" s="750"/>
      <c r="Y196" s="750"/>
    </row>
    <row r="197" spans="16:25">
      <c r="P197" s="582"/>
      <c r="Q197" s="750"/>
      <c r="R197" s="750"/>
      <c r="S197" s="750"/>
      <c r="T197" s="750"/>
      <c r="U197" s="750"/>
      <c r="V197" s="750"/>
      <c r="W197" s="750"/>
      <c r="X197" s="750"/>
      <c r="Y197" s="750"/>
    </row>
    <row r="198" spans="16:25">
      <c r="P198" s="582"/>
      <c r="Q198" s="750"/>
      <c r="R198" s="750"/>
      <c r="S198" s="750"/>
      <c r="T198" s="750"/>
      <c r="U198" s="750"/>
      <c r="V198" s="750"/>
      <c r="W198" s="750"/>
      <c r="X198" s="750"/>
      <c r="Y198" s="750"/>
    </row>
    <row r="199" spans="16:25">
      <c r="P199" s="582"/>
      <c r="Q199" s="750"/>
      <c r="R199" s="750"/>
      <c r="S199" s="750"/>
      <c r="T199" s="750"/>
      <c r="U199" s="750"/>
      <c r="V199" s="750"/>
      <c r="W199" s="750"/>
      <c r="X199" s="750"/>
      <c r="Y199" s="750"/>
    </row>
    <row r="200" spans="16:25">
      <c r="P200" s="582"/>
      <c r="Q200" s="750"/>
      <c r="R200" s="750"/>
      <c r="S200" s="750"/>
      <c r="T200" s="750"/>
      <c r="U200" s="750"/>
      <c r="V200" s="750"/>
      <c r="W200" s="750"/>
      <c r="X200" s="750"/>
      <c r="Y200" s="750"/>
    </row>
    <row r="201" spans="16:25">
      <c r="P201" s="582"/>
      <c r="Q201" s="750"/>
      <c r="R201" s="750"/>
      <c r="S201" s="750"/>
      <c r="T201" s="750"/>
      <c r="U201" s="750"/>
      <c r="V201" s="750"/>
      <c r="W201" s="750"/>
      <c r="X201" s="750"/>
      <c r="Y201" s="750"/>
    </row>
    <row r="202" spans="16:25">
      <c r="P202" s="582"/>
      <c r="Q202" s="750"/>
      <c r="R202" s="750"/>
      <c r="S202" s="750"/>
      <c r="T202" s="750"/>
      <c r="U202" s="750"/>
      <c r="V202" s="750"/>
      <c r="W202" s="750"/>
      <c r="X202" s="750"/>
      <c r="Y202" s="750"/>
    </row>
    <row r="203" spans="16:25">
      <c r="P203" s="582"/>
      <c r="Q203" s="750"/>
      <c r="R203" s="750"/>
      <c r="S203" s="750"/>
      <c r="T203" s="750"/>
      <c r="U203" s="750"/>
      <c r="V203" s="750"/>
      <c r="W203" s="750"/>
      <c r="X203" s="750"/>
      <c r="Y203" s="750"/>
    </row>
    <row r="204" spans="16:25">
      <c r="P204" s="582"/>
      <c r="Q204" s="750"/>
      <c r="R204" s="750"/>
      <c r="S204" s="750"/>
      <c r="T204" s="750"/>
      <c r="U204" s="750"/>
      <c r="V204" s="750"/>
      <c r="W204" s="750"/>
      <c r="X204" s="750"/>
      <c r="Y204" s="750"/>
    </row>
    <row r="205" spans="16:25">
      <c r="P205" s="582"/>
      <c r="Q205" s="750"/>
      <c r="R205" s="750"/>
      <c r="S205" s="750"/>
      <c r="T205" s="750"/>
      <c r="U205" s="750"/>
      <c r="V205" s="750"/>
      <c r="W205" s="750"/>
      <c r="X205" s="750"/>
      <c r="Y205" s="750"/>
    </row>
    <row r="206" spans="16:25">
      <c r="P206" s="582"/>
      <c r="Q206" s="750"/>
      <c r="R206" s="750"/>
      <c r="S206" s="750"/>
      <c r="T206" s="750"/>
      <c r="U206" s="750"/>
      <c r="V206" s="750"/>
      <c r="W206" s="750"/>
      <c r="X206" s="750"/>
      <c r="Y206" s="750"/>
    </row>
    <row r="207" spans="16:25">
      <c r="P207" s="582"/>
      <c r="Q207" s="750"/>
      <c r="R207" s="750"/>
      <c r="S207" s="750"/>
      <c r="T207" s="750"/>
      <c r="U207" s="750"/>
      <c r="V207" s="750"/>
      <c r="W207" s="750"/>
      <c r="X207" s="750"/>
      <c r="Y207" s="750"/>
    </row>
    <row r="208" spans="16:25">
      <c r="P208" s="582"/>
      <c r="Q208" s="750"/>
      <c r="R208" s="750"/>
      <c r="S208" s="750"/>
      <c r="T208" s="750"/>
      <c r="U208" s="750"/>
      <c r="V208" s="750"/>
      <c r="W208" s="750"/>
      <c r="X208" s="750"/>
      <c r="Y208" s="750"/>
    </row>
    <row r="209" spans="16:25">
      <c r="P209" s="582"/>
      <c r="Q209" s="750"/>
      <c r="R209" s="750"/>
      <c r="S209" s="750"/>
      <c r="T209" s="750"/>
      <c r="U209" s="750"/>
      <c r="V209" s="750"/>
      <c r="W209" s="750"/>
      <c r="X209" s="750"/>
      <c r="Y209" s="750"/>
    </row>
    <row r="210" spans="16:25">
      <c r="P210" s="582"/>
      <c r="Q210" s="750"/>
      <c r="R210" s="750"/>
      <c r="S210" s="750"/>
      <c r="T210" s="750"/>
      <c r="U210" s="750"/>
      <c r="V210" s="750"/>
      <c r="W210" s="750"/>
      <c r="X210" s="750"/>
      <c r="Y210" s="750"/>
    </row>
    <row r="211" spans="16:25">
      <c r="P211" s="582"/>
      <c r="Q211" s="750"/>
      <c r="R211" s="750"/>
      <c r="S211" s="750"/>
      <c r="T211" s="750"/>
      <c r="U211" s="750"/>
      <c r="V211" s="750"/>
      <c r="W211" s="750"/>
      <c r="X211" s="750"/>
      <c r="Y211" s="750"/>
    </row>
    <row r="212" spans="16:25">
      <c r="P212" s="582"/>
      <c r="Q212" s="750"/>
      <c r="R212" s="750"/>
      <c r="S212" s="750"/>
      <c r="T212" s="750"/>
      <c r="U212" s="750"/>
      <c r="V212" s="750"/>
      <c r="W212" s="750"/>
      <c r="X212" s="750"/>
      <c r="Y212" s="750"/>
    </row>
    <row r="213" spans="16:25">
      <c r="P213" s="582"/>
      <c r="Q213" s="750"/>
      <c r="R213" s="750"/>
      <c r="S213" s="750"/>
      <c r="T213" s="750"/>
      <c r="U213" s="750"/>
      <c r="V213" s="750"/>
      <c r="W213" s="750"/>
      <c r="X213" s="750"/>
      <c r="Y213" s="750"/>
    </row>
    <row r="214" spans="16:25">
      <c r="P214" s="582"/>
      <c r="Q214" s="750"/>
      <c r="R214" s="750"/>
      <c r="S214" s="750"/>
      <c r="T214" s="750"/>
      <c r="U214" s="750"/>
      <c r="V214" s="750"/>
      <c r="W214" s="750"/>
      <c r="X214" s="750"/>
      <c r="Y214" s="750"/>
    </row>
    <row r="215" spans="16:25">
      <c r="P215" s="582"/>
      <c r="Q215" s="750"/>
      <c r="R215" s="750"/>
      <c r="S215" s="750"/>
      <c r="T215" s="750"/>
      <c r="U215" s="750"/>
      <c r="V215" s="750"/>
      <c r="W215" s="750"/>
      <c r="X215" s="750"/>
      <c r="Y215" s="750"/>
    </row>
    <row r="216" spans="16:25">
      <c r="P216" s="582"/>
      <c r="Q216" s="750"/>
      <c r="R216" s="750"/>
      <c r="S216" s="750"/>
      <c r="T216" s="750"/>
      <c r="U216" s="750"/>
      <c r="V216" s="750"/>
      <c r="W216" s="750"/>
      <c r="X216" s="750"/>
      <c r="Y216" s="750"/>
    </row>
    <row r="217" spans="16:25">
      <c r="P217" s="582"/>
      <c r="Q217" s="750"/>
      <c r="R217" s="750"/>
      <c r="S217" s="750"/>
      <c r="T217" s="750"/>
      <c r="U217" s="750"/>
      <c r="V217" s="750"/>
      <c r="W217" s="750"/>
      <c r="X217" s="750"/>
      <c r="Y217" s="750"/>
    </row>
    <row r="218" spans="16:25">
      <c r="P218" s="582"/>
      <c r="Q218" s="750"/>
      <c r="R218" s="750"/>
      <c r="S218" s="750"/>
      <c r="T218" s="750"/>
      <c r="U218" s="750"/>
      <c r="V218" s="750"/>
      <c r="W218" s="750"/>
      <c r="X218" s="750"/>
      <c r="Y218" s="750"/>
    </row>
    <row r="219" spans="16:25">
      <c r="P219" s="582"/>
      <c r="Q219" s="750"/>
      <c r="R219" s="750"/>
      <c r="S219" s="750"/>
      <c r="T219" s="750"/>
      <c r="U219" s="750"/>
      <c r="V219" s="750"/>
      <c r="W219" s="750"/>
      <c r="X219" s="750"/>
      <c r="Y219" s="750"/>
    </row>
    <row r="220" spans="16:25">
      <c r="P220" s="582"/>
      <c r="Q220" s="750"/>
      <c r="R220" s="750"/>
      <c r="S220" s="750"/>
      <c r="T220" s="750"/>
      <c r="U220" s="750"/>
      <c r="V220" s="750"/>
      <c r="W220" s="750"/>
      <c r="X220" s="750"/>
      <c r="Y220" s="750"/>
    </row>
    <row r="221" spans="16:25">
      <c r="P221" s="582"/>
    </row>
  </sheetData>
  <mergeCells count="3">
    <mergeCell ref="A65:L65"/>
    <mergeCell ref="A40:L40"/>
    <mergeCell ref="A18:L18"/>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20" workbookViewId="0">
      <selection activeCell="J22" sqref="J22"/>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662"/>
    <col min="13" max="13" width="20.42578125" style="518" customWidth="1"/>
    <col min="14" max="15" width="9.28515625" style="277"/>
    <col min="16" max="19" width="9.28515625" style="662"/>
    <col min="20" max="21" width="9.28515625" style="546"/>
  </cols>
  <sheetData>
    <row r="1" spans="1:15" ht="11.25" customHeight="1"/>
    <row r="2" spans="1:15" ht="11.25" customHeight="1">
      <c r="A2" s="882" t="s">
        <v>426</v>
      </c>
      <c r="B2" s="882"/>
      <c r="C2" s="882"/>
      <c r="D2" s="882"/>
      <c r="E2" s="882"/>
      <c r="F2" s="882"/>
      <c r="G2" s="882"/>
      <c r="H2" s="882"/>
      <c r="I2" s="882"/>
      <c r="J2" s="882"/>
      <c r="K2" s="882"/>
    </row>
    <row r="3" spans="1:15" ht="11.25" customHeight="1">
      <c r="A3" s="18"/>
      <c r="B3" s="18"/>
      <c r="C3" s="18"/>
      <c r="D3" s="18"/>
      <c r="E3" s="18"/>
      <c r="F3" s="18"/>
      <c r="G3" s="18"/>
      <c r="H3" s="18"/>
      <c r="I3" s="18"/>
      <c r="J3" s="509"/>
      <c r="K3" s="509"/>
      <c r="L3" s="664"/>
    </row>
    <row r="4" spans="1:15" ht="11.25" customHeight="1">
      <c r="A4" s="868" t="s">
        <v>367</v>
      </c>
      <c r="B4" s="868"/>
      <c r="C4" s="868"/>
      <c r="D4" s="868"/>
      <c r="E4" s="868"/>
      <c r="F4" s="868"/>
      <c r="G4" s="868"/>
      <c r="H4" s="868"/>
      <c r="I4" s="183"/>
      <c r="J4" s="510"/>
      <c r="L4" s="664"/>
    </row>
    <row r="5" spans="1:15" ht="7.5" customHeight="1">
      <c r="A5" s="184"/>
      <c r="B5" s="184"/>
      <c r="C5" s="184"/>
      <c r="D5" s="184"/>
      <c r="E5" s="184"/>
      <c r="F5" s="184"/>
      <c r="G5" s="184"/>
      <c r="H5" s="184"/>
      <c r="I5" s="184"/>
      <c r="J5" s="511"/>
      <c r="L5" s="720"/>
    </row>
    <row r="6" spans="1:15" ht="11.25" customHeight="1">
      <c r="A6" s="184"/>
      <c r="B6" s="188" t="s">
        <v>368</v>
      </c>
      <c r="C6" s="184"/>
      <c r="D6" s="184"/>
      <c r="E6" s="184"/>
      <c r="F6" s="184"/>
      <c r="G6" s="184"/>
      <c r="H6" s="184"/>
      <c r="I6" s="184"/>
      <c r="J6" s="511"/>
      <c r="L6" s="721"/>
    </row>
    <row r="7" spans="1:15" ht="7.5" customHeight="1">
      <c r="A7" s="184"/>
      <c r="B7" s="185"/>
      <c r="C7" s="184"/>
      <c r="D7" s="184"/>
      <c r="E7" s="184"/>
      <c r="F7" s="184"/>
      <c r="G7" s="184"/>
      <c r="H7" s="184"/>
      <c r="I7" s="184"/>
      <c r="J7" s="511"/>
      <c r="L7" s="722"/>
    </row>
    <row r="8" spans="1:15" ht="21" customHeight="1">
      <c r="A8" s="184"/>
      <c r="B8" s="379" t="s">
        <v>159</v>
      </c>
      <c r="C8" s="380" t="s">
        <v>160</v>
      </c>
      <c r="D8" s="380" t="s">
        <v>161</v>
      </c>
      <c r="E8" s="380" t="s">
        <v>163</v>
      </c>
      <c r="F8" s="380" t="s">
        <v>162</v>
      </c>
      <c r="G8" s="381" t="s">
        <v>164</v>
      </c>
      <c r="H8" s="180"/>
      <c r="I8" s="180"/>
      <c r="J8" s="512"/>
      <c r="L8" s="723"/>
      <c r="M8" s="519" t="s">
        <v>160</v>
      </c>
      <c r="N8" s="547" t="str">
        <f>M8&amp;"
 ("&amp;ROUND(HLOOKUP(M8,$C$8:$G$9,2,0),2)&amp;" USD/MWh)"</f>
        <v>PIURA OESTE 220
 (166,17 USD/MWh)</v>
      </c>
    </row>
    <row r="9" spans="1:15" ht="18" customHeight="1">
      <c r="A9" s="184"/>
      <c r="B9" s="382" t="s">
        <v>165</v>
      </c>
      <c r="C9" s="266">
        <v>166.17429465794598</v>
      </c>
      <c r="D9" s="266">
        <v>164.69749944324892</v>
      </c>
      <c r="E9" s="266">
        <v>161.44285247428559</v>
      </c>
      <c r="F9" s="266">
        <v>159.12775530939993</v>
      </c>
      <c r="G9" s="266">
        <v>162.87996550303185</v>
      </c>
      <c r="H9" s="180"/>
      <c r="I9" s="180"/>
      <c r="J9" s="512"/>
      <c r="K9" s="512"/>
      <c r="L9" s="723"/>
      <c r="M9" s="519" t="s">
        <v>161</v>
      </c>
      <c r="N9" s="547" t="str">
        <f>M9&amp;"
("&amp;ROUND(HLOOKUP(M9,$C$8:$G$9,2,0),2)&amp;" USD/MWh)"</f>
        <v>CHICLAYO 220
(164,7 USD/MWh)</v>
      </c>
    </row>
    <row r="10" spans="1:15" ht="14.25" customHeight="1">
      <c r="A10" s="184"/>
      <c r="B10" s="906" t="str">
        <f>"Cuadro N°11: Valor de los costos marginales medios registrados en las principales barras del área norte durante el mes de "&amp;'1. Resumen'!Q4</f>
        <v>Cuadro N°11: Valor de los costos marginales medios registrados en las principales barras del área norte durante el mes de julio</v>
      </c>
      <c r="C10" s="906"/>
      <c r="D10" s="906"/>
      <c r="E10" s="906"/>
      <c r="F10" s="906"/>
      <c r="G10" s="906"/>
      <c r="H10" s="906"/>
      <c r="I10" s="906"/>
      <c r="J10" s="512"/>
      <c r="K10" s="512"/>
      <c r="L10" s="723"/>
      <c r="M10" s="519" t="s">
        <v>163</v>
      </c>
      <c r="N10" s="547" t="str">
        <f>M10&amp;"
("&amp;ROUND(HLOOKUP(M10,$C$8:$G$9,2,0),2)&amp;" USD/MWh)"</f>
        <v>TRUJILLO 220
(161,44 USD/MWh)</v>
      </c>
    </row>
    <row r="11" spans="1:15" ht="11.25" customHeight="1">
      <c r="A11" s="184"/>
      <c r="B11" s="191"/>
      <c r="C11" s="180"/>
      <c r="D11" s="180"/>
      <c r="E11" s="180"/>
      <c r="F11" s="180"/>
      <c r="G11" s="180"/>
      <c r="H11" s="180"/>
      <c r="I11" s="180"/>
      <c r="J11" s="512"/>
      <c r="K11" s="512"/>
      <c r="L11" s="723"/>
      <c r="M11" s="519" t="s">
        <v>162</v>
      </c>
      <c r="N11" s="547" t="str">
        <f>M11&amp;"
("&amp;ROUND(HLOOKUP(M11,$C$8:$G$9,2,0),2)&amp;" USD/MWh)"</f>
        <v>CHIMBOTE1 138
(159,13 USD/MWh)</v>
      </c>
    </row>
    <row r="12" spans="1:15" ht="11.25" customHeight="1">
      <c r="A12" s="184"/>
      <c r="B12" s="180"/>
      <c r="C12" s="180"/>
      <c r="D12" s="180"/>
      <c r="E12" s="180"/>
      <c r="F12" s="180"/>
      <c r="G12" s="180"/>
      <c r="H12" s="180"/>
      <c r="I12" s="180"/>
      <c r="J12" s="512"/>
      <c r="K12" s="512"/>
      <c r="L12" s="724"/>
      <c r="M12" s="519" t="s">
        <v>164</v>
      </c>
      <c r="N12" s="547" t="str">
        <f>M12&amp;"
("&amp;ROUND(HLOOKUP(M12,$C$8:$G$9,2,0),2)&amp;" USD/MWh)"</f>
        <v>CAJAMARCA 220
(162,88 USD/MWh)</v>
      </c>
    </row>
    <row r="13" spans="1:15" ht="11.25" customHeight="1">
      <c r="A13" s="184"/>
      <c r="B13" s="180"/>
      <c r="C13" s="180"/>
      <c r="D13" s="180"/>
      <c r="E13" s="180"/>
      <c r="F13" s="180"/>
      <c r="G13" s="180"/>
      <c r="H13" s="180"/>
      <c r="I13" s="180"/>
      <c r="J13" s="512"/>
      <c r="K13" s="512"/>
      <c r="L13" s="723"/>
      <c r="M13" s="519"/>
      <c r="N13" s="547"/>
      <c r="O13" s="519"/>
    </row>
    <row r="14" spans="1:15" ht="11.25" customHeight="1">
      <c r="A14" s="184"/>
      <c r="B14" s="180"/>
      <c r="C14" s="180"/>
      <c r="D14" s="180"/>
      <c r="E14" s="180"/>
      <c r="F14" s="180"/>
      <c r="G14" s="180"/>
      <c r="H14" s="180"/>
      <c r="I14" s="180"/>
      <c r="J14" s="512"/>
      <c r="K14" s="512"/>
      <c r="L14" s="723"/>
      <c r="M14" s="519" t="s">
        <v>420</v>
      </c>
      <c r="N14" s="547" t="str">
        <f>M14&amp;"
("&amp;ROUND(HLOOKUP(M14,$C$26:$I$27,2,0),2)&amp;" USD/MWh)"</f>
        <v>CHAVARRIA 220
(153,84 USD/MWh)</v>
      </c>
    </row>
    <row r="15" spans="1:15" ht="11.25" customHeight="1">
      <c r="A15" s="184"/>
      <c r="B15" s="180"/>
      <c r="C15" s="180"/>
      <c r="D15" s="180"/>
      <c r="E15" s="180"/>
      <c r="F15" s="180"/>
      <c r="G15" s="180"/>
      <c r="H15" s="180"/>
      <c r="I15" s="180"/>
      <c r="J15" s="512"/>
      <c r="K15" s="512"/>
      <c r="L15" s="723"/>
      <c r="M15" s="519" t="s">
        <v>168</v>
      </c>
      <c r="N15" s="547" t="str">
        <f t="shared" ref="N15:N20" si="0">M15&amp;"
("&amp;ROUND(HLOOKUP(M15,$C$26:$I$27,2,0),2)&amp;" USD/MWh)"</f>
        <v>INDEPENDENCIA 220
(150,5 USD/MWh)</v>
      </c>
    </row>
    <row r="16" spans="1:15" ht="11.25" customHeight="1">
      <c r="A16" s="184"/>
      <c r="B16" s="180"/>
      <c r="C16" s="180"/>
      <c r="D16" s="180"/>
      <c r="E16" s="180"/>
      <c r="F16" s="180"/>
      <c r="G16" s="180"/>
      <c r="H16" s="180"/>
      <c r="I16" s="180"/>
      <c r="J16" s="512"/>
      <c r="K16" s="512"/>
      <c r="L16" s="723"/>
      <c r="M16" s="519" t="s">
        <v>169</v>
      </c>
      <c r="N16" s="547" t="str">
        <f t="shared" si="0"/>
        <v>CARABAYLLO 220
(152,82 USD/MWh)</v>
      </c>
    </row>
    <row r="17" spans="1:14" ht="11.25" customHeight="1">
      <c r="A17" s="184"/>
      <c r="B17" s="180"/>
      <c r="C17" s="180"/>
      <c r="D17" s="180"/>
      <c r="E17" s="180"/>
      <c r="F17" s="180"/>
      <c r="G17" s="180"/>
      <c r="H17" s="180"/>
      <c r="I17" s="180"/>
      <c r="J17" s="512"/>
      <c r="K17" s="512"/>
      <c r="L17" s="723"/>
      <c r="M17" s="519" t="s">
        <v>166</v>
      </c>
      <c r="N17" s="547" t="str">
        <f t="shared" si="0"/>
        <v>SANTA ROSA 220
(149,25 USD/MWh)</v>
      </c>
    </row>
    <row r="18" spans="1:14" ht="11.25" customHeight="1">
      <c r="A18" s="184"/>
      <c r="B18" s="180"/>
      <c r="C18" s="180"/>
      <c r="D18" s="180"/>
      <c r="E18" s="180"/>
      <c r="F18" s="180"/>
      <c r="G18" s="180"/>
      <c r="H18" s="180"/>
      <c r="I18" s="180"/>
      <c r="J18" s="512"/>
      <c r="K18" s="512"/>
      <c r="L18" s="723"/>
      <c r="M18" s="519" t="s">
        <v>167</v>
      </c>
      <c r="N18" s="547" t="str">
        <f t="shared" si="0"/>
        <v>SAN JUAN 220
(148,07 USD/MWh)</v>
      </c>
    </row>
    <row r="19" spans="1:14" ht="11.25" customHeight="1">
      <c r="A19" s="184"/>
      <c r="B19" s="180"/>
      <c r="C19" s="180"/>
      <c r="D19" s="180"/>
      <c r="E19" s="180"/>
      <c r="F19" s="180"/>
      <c r="G19" s="180"/>
      <c r="H19" s="180"/>
      <c r="I19" s="180"/>
      <c r="J19" s="512"/>
      <c r="K19" s="512"/>
      <c r="L19" s="725"/>
      <c r="M19" s="519" t="s">
        <v>170</v>
      </c>
      <c r="N19" s="547" t="str">
        <f t="shared" si="0"/>
        <v>POMACOCHA 220
(150,26 USD/MWh)</v>
      </c>
    </row>
    <row r="20" spans="1:14" ht="11.25" customHeight="1">
      <c r="A20" s="184"/>
      <c r="B20" s="190"/>
      <c r="C20" s="190"/>
      <c r="D20" s="190"/>
      <c r="E20" s="190"/>
      <c r="F20" s="190"/>
      <c r="G20" s="180"/>
      <c r="H20" s="180"/>
      <c r="I20" s="180"/>
      <c r="J20" s="512"/>
      <c r="K20" s="512"/>
      <c r="L20" s="723"/>
      <c r="M20" s="519" t="s">
        <v>171</v>
      </c>
      <c r="N20" s="547" t="str">
        <f t="shared" si="0"/>
        <v>OROYA NUEVA 50
(150,35 USD/MWh)</v>
      </c>
    </row>
    <row r="21" spans="1:14" ht="11.25" customHeight="1">
      <c r="A21" s="184"/>
      <c r="B21" s="907" t="str">
        <f>"Gráfico N°20: Costos marginales medios registrados en las principales barras del área norte durante el mes de "&amp;'1. Resumen'!Q4</f>
        <v>Gráfico N°20: Costos marginales medios registrados en las principales barras del área norte durante el mes de julio</v>
      </c>
      <c r="C21" s="907"/>
      <c r="D21" s="907"/>
      <c r="E21" s="907"/>
      <c r="F21" s="907"/>
      <c r="G21" s="907"/>
      <c r="H21" s="907"/>
      <c r="I21" s="907"/>
      <c r="J21" s="512"/>
      <c r="K21" s="512"/>
      <c r="L21" s="723"/>
      <c r="M21" s="519"/>
      <c r="N21" s="547"/>
    </row>
    <row r="22" spans="1:14" ht="7.5" customHeight="1">
      <c r="A22" s="184"/>
      <c r="B22" s="186"/>
      <c r="C22" s="186"/>
      <c r="D22" s="186"/>
      <c r="E22" s="186"/>
      <c r="F22" s="186"/>
      <c r="G22" s="184"/>
      <c r="H22" s="184"/>
      <c r="I22" s="184"/>
      <c r="J22" s="511"/>
      <c r="K22" s="511"/>
      <c r="L22" s="721"/>
      <c r="M22" s="519"/>
      <c r="N22" s="547"/>
    </row>
    <row r="23" spans="1:14" ht="11.25" customHeight="1">
      <c r="A23" s="184"/>
      <c r="B23" s="186"/>
      <c r="C23" s="186"/>
      <c r="D23" s="186"/>
      <c r="E23" s="186"/>
      <c r="F23" s="186"/>
      <c r="G23" s="184"/>
      <c r="H23" s="184"/>
      <c r="I23" s="184"/>
      <c r="J23" s="511"/>
      <c r="K23" s="511"/>
      <c r="L23" s="726"/>
      <c r="M23" s="519" t="s">
        <v>172</v>
      </c>
      <c r="N23" s="547" t="str">
        <f t="shared" ref="N23:N29" si="1">M23&amp;"
("&amp;ROUND(HLOOKUP(M23,$C$45:$I$46,2,0),2)&amp;" USD/MWh)"</f>
        <v>TINTAYA NUEVA 220
(170,42 USD/MWh)</v>
      </c>
    </row>
    <row r="24" spans="1:14" ht="11.25" customHeight="1">
      <c r="A24" s="184"/>
      <c r="B24" s="189" t="s">
        <v>369</v>
      </c>
      <c r="C24" s="186"/>
      <c r="D24" s="186"/>
      <c r="E24" s="186"/>
      <c r="F24" s="186"/>
      <c r="G24" s="184"/>
      <c r="H24" s="184"/>
      <c r="I24" s="184"/>
      <c r="J24" s="511"/>
      <c r="K24" s="511"/>
      <c r="L24" s="721"/>
      <c r="M24" s="519" t="s">
        <v>173</v>
      </c>
      <c r="N24" s="547" t="str">
        <f t="shared" si="1"/>
        <v>PUNO 138
(167,82 USD/MWh)</v>
      </c>
    </row>
    <row r="25" spans="1:14" ht="6.75" customHeight="1">
      <c r="A25" s="184"/>
      <c r="B25" s="186"/>
      <c r="C25" s="186"/>
      <c r="D25" s="186"/>
      <c r="E25" s="186"/>
      <c r="F25" s="186"/>
      <c r="G25" s="184"/>
      <c r="H25" s="184"/>
      <c r="I25" s="184"/>
      <c r="J25" s="511"/>
      <c r="K25" s="511"/>
      <c r="L25" s="721"/>
      <c r="M25" s="519" t="s">
        <v>174</v>
      </c>
      <c r="N25" s="547" t="str">
        <f t="shared" si="1"/>
        <v>SOCABAYA 220
(164,11 USD/MWh)</v>
      </c>
    </row>
    <row r="26" spans="1:14" ht="25.5" customHeight="1">
      <c r="A26" s="184"/>
      <c r="B26" s="383" t="s">
        <v>159</v>
      </c>
      <c r="C26" s="380" t="s">
        <v>420</v>
      </c>
      <c r="D26" s="380" t="s">
        <v>166</v>
      </c>
      <c r="E26" s="380" t="s">
        <v>169</v>
      </c>
      <c r="F26" s="380" t="s">
        <v>167</v>
      </c>
      <c r="G26" s="380" t="s">
        <v>168</v>
      </c>
      <c r="H26" s="380" t="s">
        <v>170</v>
      </c>
      <c r="I26" s="381" t="s">
        <v>171</v>
      </c>
      <c r="J26" s="514"/>
      <c r="K26" s="512"/>
      <c r="L26" s="723"/>
      <c r="M26" s="519" t="s">
        <v>175</v>
      </c>
      <c r="N26" s="547" t="str">
        <f t="shared" si="1"/>
        <v>MOQUEGUA 138
(163,42 USD/MWh)</v>
      </c>
    </row>
    <row r="27" spans="1:14" ht="18" customHeight="1">
      <c r="A27" s="184"/>
      <c r="B27" s="384" t="s">
        <v>165</v>
      </c>
      <c r="C27" s="266">
        <v>153.83989067027986</v>
      </c>
      <c r="D27" s="266">
        <v>149.25326413633374</v>
      </c>
      <c r="E27" s="266">
        <v>152.81683450634054</v>
      </c>
      <c r="F27" s="266">
        <v>148.0718768446784</v>
      </c>
      <c r="G27" s="266">
        <v>150.5002594314744</v>
      </c>
      <c r="H27" s="266">
        <v>150.25968208758084</v>
      </c>
      <c r="I27" s="266">
        <v>150.3476213000443</v>
      </c>
      <c r="J27" s="515"/>
      <c r="K27" s="512"/>
      <c r="L27" s="723"/>
      <c r="M27" s="519" t="s">
        <v>176</v>
      </c>
      <c r="N27" s="547" t="str">
        <f t="shared" si="1"/>
        <v>DOLORESPATA 138
(163,72 USD/MWh)</v>
      </c>
    </row>
    <row r="28" spans="1:14" ht="19.5" customHeight="1">
      <c r="A28" s="184"/>
      <c r="B28" s="908" t="str">
        <f>"Cuadro N°12: Valor de los costos marginales medios registrados en las principales barras del área centro durante el mes de "&amp;'1. Resumen'!Q4</f>
        <v>Cuadro N°12: Valor de los costos marginales medios registrados en las principales barras del área centro durante el mes de julio</v>
      </c>
      <c r="C28" s="908"/>
      <c r="D28" s="908"/>
      <c r="E28" s="908"/>
      <c r="F28" s="908"/>
      <c r="G28" s="908"/>
      <c r="H28" s="908"/>
      <c r="I28" s="908"/>
      <c r="J28" s="512"/>
      <c r="K28" s="512"/>
      <c r="L28" s="723"/>
      <c r="M28" s="519" t="s">
        <v>177</v>
      </c>
      <c r="N28" s="547" t="str">
        <f t="shared" si="1"/>
        <v>COTARUSE 220
(159,81 USD/MWh)</v>
      </c>
    </row>
    <row r="29" spans="1:14" ht="11.25" customHeight="1">
      <c r="A29" s="184"/>
      <c r="B29" s="190"/>
      <c r="C29" s="190"/>
      <c r="D29" s="190"/>
      <c r="E29" s="190"/>
      <c r="F29" s="190"/>
      <c r="G29" s="190"/>
      <c r="H29" s="190"/>
      <c r="I29" s="190"/>
      <c r="J29" s="516"/>
      <c r="K29" s="516"/>
      <c r="L29" s="723"/>
      <c r="M29" s="519" t="s">
        <v>178</v>
      </c>
      <c r="N29" s="547" t="str">
        <f t="shared" si="1"/>
        <v>SAN GABAN 138
(166,3 USD/MWh)</v>
      </c>
    </row>
    <row r="30" spans="1:14" ht="11.25" customHeight="1">
      <c r="A30" s="184"/>
      <c r="B30" s="190"/>
      <c r="C30" s="190"/>
      <c r="D30" s="190"/>
      <c r="E30" s="190"/>
      <c r="F30" s="190"/>
      <c r="G30" s="190"/>
      <c r="H30" s="190"/>
      <c r="I30" s="190"/>
      <c r="J30" s="516"/>
      <c r="K30" s="516"/>
      <c r="L30" s="723"/>
      <c r="M30" s="519"/>
      <c r="N30" s="548"/>
    </row>
    <row r="31" spans="1:14" ht="11.25" customHeight="1">
      <c r="A31" s="184"/>
      <c r="B31" s="190"/>
      <c r="C31" s="190"/>
      <c r="D31" s="190"/>
      <c r="E31" s="190"/>
      <c r="F31" s="190"/>
      <c r="G31" s="190"/>
      <c r="H31" s="190"/>
      <c r="I31" s="190"/>
      <c r="J31" s="516"/>
      <c r="K31" s="516"/>
      <c r="L31" s="723"/>
      <c r="M31" s="519"/>
      <c r="N31" s="548"/>
    </row>
    <row r="32" spans="1:14" ht="11.25" customHeight="1">
      <c r="A32" s="184"/>
      <c r="B32" s="190"/>
      <c r="C32" s="190"/>
      <c r="D32" s="190"/>
      <c r="E32" s="190"/>
      <c r="F32" s="190"/>
      <c r="G32" s="190"/>
      <c r="H32" s="190"/>
      <c r="I32" s="190"/>
      <c r="J32" s="516"/>
      <c r="K32" s="516"/>
      <c r="L32" s="723"/>
      <c r="M32" s="519"/>
    </row>
    <row r="33" spans="1:12" ht="11.25" customHeight="1">
      <c r="A33" s="184"/>
      <c r="B33" s="190"/>
      <c r="C33" s="190"/>
      <c r="D33" s="190"/>
      <c r="E33" s="190"/>
      <c r="F33" s="190"/>
      <c r="G33" s="190"/>
      <c r="H33" s="190"/>
      <c r="I33" s="190"/>
      <c r="J33" s="516"/>
      <c r="K33" s="516"/>
      <c r="L33" s="723"/>
    </row>
    <row r="34" spans="1:12" ht="11.25" customHeight="1">
      <c r="A34" s="184"/>
      <c r="B34" s="190"/>
      <c r="C34" s="190"/>
      <c r="D34" s="190"/>
      <c r="E34" s="190"/>
      <c r="F34" s="190"/>
      <c r="G34" s="190"/>
      <c r="H34" s="190"/>
      <c r="I34" s="190"/>
      <c r="J34" s="516"/>
      <c r="K34" s="516"/>
      <c r="L34" s="723"/>
    </row>
    <row r="35" spans="1:12" ht="11.25" customHeight="1">
      <c r="A35" s="184"/>
      <c r="B35" s="190"/>
      <c r="C35" s="190"/>
      <c r="D35" s="190"/>
      <c r="E35" s="190"/>
      <c r="F35" s="190"/>
      <c r="G35" s="190"/>
      <c r="H35" s="190"/>
      <c r="I35" s="190"/>
      <c r="J35" s="516"/>
      <c r="K35" s="516"/>
      <c r="L35" s="719"/>
    </row>
    <row r="36" spans="1:12" ht="11.25" customHeight="1">
      <c r="A36" s="184"/>
      <c r="B36" s="190"/>
      <c r="C36" s="190"/>
      <c r="D36" s="190"/>
      <c r="E36" s="190"/>
      <c r="F36" s="190"/>
      <c r="G36" s="190"/>
      <c r="H36" s="190"/>
      <c r="I36" s="190"/>
      <c r="J36" s="516"/>
      <c r="K36" s="516"/>
      <c r="L36" s="723"/>
    </row>
    <row r="37" spans="1:12" ht="11.25" customHeight="1">
      <c r="A37" s="184"/>
      <c r="B37" s="190"/>
      <c r="C37" s="190"/>
      <c r="D37" s="190"/>
      <c r="E37" s="190"/>
      <c r="F37" s="190"/>
      <c r="G37" s="190"/>
      <c r="H37" s="190"/>
      <c r="I37" s="190"/>
      <c r="J37" s="516"/>
      <c r="K37" s="516"/>
      <c r="L37" s="723"/>
    </row>
    <row r="38" spans="1:12" ht="11.25" customHeight="1">
      <c r="A38" s="184"/>
      <c r="B38" s="190"/>
      <c r="C38" s="190"/>
      <c r="D38" s="190"/>
      <c r="E38" s="190"/>
      <c r="F38" s="190"/>
      <c r="G38" s="190"/>
      <c r="H38" s="190"/>
      <c r="I38" s="190"/>
      <c r="J38" s="516"/>
      <c r="K38" s="516"/>
      <c r="L38" s="723"/>
    </row>
    <row r="39" spans="1:12" ht="11.25" customHeight="1">
      <c r="A39" s="184"/>
      <c r="B39" s="190"/>
      <c r="C39" s="190"/>
      <c r="D39" s="190"/>
      <c r="E39" s="190"/>
      <c r="F39" s="190"/>
      <c r="G39" s="190"/>
      <c r="H39" s="190"/>
      <c r="I39" s="190"/>
      <c r="J39" s="516"/>
      <c r="K39" s="516"/>
      <c r="L39" s="723"/>
    </row>
    <row r="40" spans="1:12" ht="13.5" customHeight="1">
      <c r="A40" s="184"/>
      <c r="B40" s="906" t="str">
        <f>"Gráfico N°21: Costos marginales medios registrados en las principales barras del área centro durante el mes de "&amp;'1. Resumen'!Q4</f>
        <v>Gráfico N°21: Costos marginales medios registrados en las principales barras del área centro durante el mes de julio</v>
      </c>
      <c r="C40" s="906"/>
      <c r="D40" s="906"/>
      <c r="E40" s="906"/>
      <c r="F40" s="906"/>
      <c r="G40" s="906"/>
      <c r="H40" s="906"/>
      <c r="I40" s="906"/>
      <c r="J40" s="516"/>
      <c r="K40" s="516"/>
      <c r="L40" s="723"/>
    </row>
    <row r="41" spans="1:12" ht="6.75" customHeight="1">
      <c r="A41" s="184"/>
      <c r="B41" s="190"/>
      <c r="C41" s="190"/>
      <c r="D41" s="190"/>
      <c r="E41" s="190"/>
      <c r="F41" s="190"/>
      <c r="G41" s="190"/>
      <c r="H41" s="190"/>
      <c r="I41" s="190"/>
      <c r="J41" s="516"/>
      <c r="K41" s="516"/>
      <c r="L41" s="723"/>
    </row>
    <row r="42" spans="1:12" ht="8.25" customHeight="1">
      <c r="A42" s="184"/>
      <c r="B42" s="186"/>
      <c r="C42" s="186"/>
      <c r="D42" s="186"/>
      <c r="E42" s="186"/>
      <c r="F42" s="186"/>
      <c r="G42" s="186"/>
      <c r="H42" s="186"/>
      <c r="I42" s="186"/>
      <c r="J42" s="517"/>
      <c r="K42" s="517"/>
      <c r="L42" s="727"/>
    </row>
    <row r="43" spans="1:12" ht="11.25" customHeight="1">
      <c r="A43" s="184"/>
      <c r="B43" s="189" t="s">
        <v>370</v>
      </c>
      <c r="C43" s="186"/>
      <c r="D43" s="186"/>
      <c r="E43" s="186"/>
      <c r="F43" s="186"/>
      <c r="G43" s="186"/>
      <c r="H43" s="186"/>
      <c r="I43" s="186"/>
      <c r="J43" s="517"/>
      <c r="K43" s="517"/>
      <c r="L43" s="727"/>
    </row>
    <row r="44" spans="1:12" ht="6.75" customHeight="1">
      <c r="A44" s="184"/>
      <c r="B44" s="186"/>
      <c r="C44" s="186"/>
      <c r="D44" s="186"/>
      <c r="E44" s="186"/>
      <c r="F44" s="186"/>
      <c r="G44" s="186"/>
      <c r="H44" s="186"/>
      <c r="I44" s="186"/>
      <c r="J44" s="517"/>
      <c r="K44" s="517"/>
      <c r="L44" s="727"/>
    </row>
    <row r="45" spans="1:12" ht="27" customHeight="1">
      <c r="A45" s="184"/>
      <c r="B45" s="383" t="s">
        <v>159</v>
      </c>
      <c r="C45" s="380" t="s">
        <v>172</v>
      </c>
      <c r="D45" s="380" t="s">
        <v>174</v>
      </c>
      <c r="E45" s="380" t="s">
        <v>175</v>
      </c>
      <c r="F45" s="380" t="s">
        <v>173</v>
      </c>
      <c r="G45" s="380" t="s">
        <v>176</v>
      </c>
      <c r="H45" s="380" t="s">
        <v>177</v>
      </c>
      <c r="I45" s="381" t="s">
        <v>178</v>
      </c>
      <c r="J45" s="514"/>
      <c r="K45" s="516"/>
    </row>
    <row r="46" spans="1:12" ht="18.75" customHeight="1">
      <c r="A46" s="184"/>
      <c r="B46" s="384" t="s">
        <v>165</v>
      </c>
      <c r="C46" s="266">
        <v>170.42129695747096</v>
      </c>
      <c r="D46" s="266">
        <v>164.10998514420479</v>
      </c>
      <c r="E46" s="266">
        <v>163.42148823404051</v>
      </c>
      <c r="F46" s="266">
        <v>167.81762104398365</v>
      </c>
      <c r="G46" s="266">
        <v>163.72289199372509</v>
      </c>
      <c r="H46" s="266">
        <v>159.81280715917319</v>
      </c>
      <c r="I46" s="266">
        <v>166.29941914173401</v>
      </c>
      <c r="J46" s="515"/>
      <c r="K46" s="516"/>
    </row>
    <row r="47" spans="1:12" ht="18" customHeight="1">
      <c r="A47" s="184"/>
      <c r="B47" s="908" t="str">
        <f>"Cuadro N°13: Valor de los costos marginales medios registrados en las principales barras del área sur durante el mes de "&amp;'1. Resumen'!Q4</f>
        <v>Cuadro N°13: Valor de los costos marginales medios registrados en las principales barras del área sur durante el mes de julio</v>
      </c>
      <c r="C47" s="908"/>
      <c r="D47" s="908"/>
      <c r="E47" s="908"/>
      <c r="F47" s="908"/>
      <c r="G47" s="908"/>
      <c r="H47" s="908"/>
      <c r="I47" s="908"/>
      <c r="J47" s="515"/>
      <c r="K47" s="516"/>
    </row>
    <row r="48" spans="1:12" ht="13.2">
      <c r="A48" s="184"/>
      <c r="B48" s="190"/>
      <c r="C48" s="190"/>
      <c r="D48" s="190"/>
      <c r="E48" s="190"/>
      <c r="F48" s="190"/>
      <c r="G48" s="180"/>
      <c r="H48" s="180"/>
      <c r="I48" s="180"/>
      <c r="J48" s="512"/>
      <c r="K48" s="516"/>
    </row>
    <row r="49" spans="1:11" ht="13.2">
      <c r="A49" s="184"/>
      <c r="B49" s="180"/>
      <c r="C49" s="180"/>
      <c r="D49" s="180"/>
      <c r="E49" s="180"/>
      <c r="F49" s="180"/>
      <c r="G49" s="180"/>
      <c r="H49" s="180"/>
      <c r="I49" s="180"/>
      <c r="J49" s="512"/>
      <c r="K49" s="516"/>
    </row>
    <row r="50" spans="1:11" ht="13.2">
      <c r="A50" s="184"/>
      <c r="B50" s="111"/>
      <c r="C50" s="111"/>
      <c r="D50" s="111"/>
      <c r="E50" s="111"/>
      <c r="F50" s="111"/>
      <c r="G50" s="111"/>
      <c r="H50" s="111"/>
      <c r="I50" s="111"/>
      <c r="J50" s="46"/>
      <c r="K50" s="516"/>
    </row>
    <row r="51" spans="1:11" ht="13.2">
      <c r="A51" s="184"/>
      <c r="B51" s="111"/>
      <c r="C51" s="111"/>
      <c r="D51" s="111"/>
      <c r="E51" s="111"/>
      <c r="F51" s="111"/>
      <c r="G51" s="111"/>
      <c r="H51" s="111"/>
      <c r="I51" s="111"/>
      <c r="J51" s="46"/>
      <c r="K51" s="516"/>
    </row>
    <row r="52" spans="1:11" ht="13.2">
      <c r="A52" s="184"/>
      <c r="B52" s="111"/>
      <c r="C52" s="111"/>
      <c r="D52" s="111"/>
      <c r="E52" s="111"/>
      <c r="F52" s="111"/>
      <c r="G52" s="111"/>
      <c r="H52" s="111"/>
      <c r="I52" s="111"/>
      <c r="J52" s="46"/>
      <c r="K52" s="516"/>
    </row>
    <row r="53" spans="1:11" ht="13.2">
      <c r="A53" s="184"/>
      <c r="B53" s="111"/>
      <c r="C53" s="111"/>
      <c r="D53" s="111"/>
      <c r="E53" s="111"/>
      <c r="F53" s="111"/>
      <c r="G53" s="111"/>
      <c r="H53" s="111"/>
      <c r="I53" s="111"/>
      <c r="J53" s="46"/>
      <c r="K53" s="516"/>
    </row>
    <row r="54" spans="1:11" ht="13.2">
      <c r="A54" s="184"/>
      <c r="B54" s="111"/>
      <c r="C54" s="111"/>
      <c r="D54" s="111"/>
      <c r="E54" s="111"/>
      <c r="F54" s="111"/>
      <c r="G54" s="111"/>
      <c r="H54" s="111"/>
      <c r="I54" s="111"/>
      <c r="J54" s="46"/>
      <c r="K54" s="516"/>
    </row>
    <row r="55" spans="1:11" ht="13.2">
      <c r="A55" s="184"/>
      <c r="B55" s="111"/>
      <c r="C55" s="111"/>
      <c r="D55" s="111"/>
      <c r="E55" s="111"/>
      <c r="F55" s="111"/>
      <c r="G55" s="111"/>
      <c r="H55" s="111"/>
      <c r="I55" s="111"/>
      <c r="J55" s="46"/>
      <c r="K55" s="516"/>
    </row>
    <row r="56" spans="1:11" ht="13.2">
      <c r="A56" s="184"/>
      <c r="B56" s="180"/>
      <c r="C56" s="180"/>
      <c r="D56" s="180"/>
      <c r="E56" s="180"/>
      <c r="F56" s="180"/>
      <c r="G56" s="180"/>
      <c r="H56" s="180"/>
      <c r="I56" s="180"/>
      <c r="J56" s="512"/>
      <c r="K56" s="516"/>
    </row>
    <row r="57" spans="1:11" ht="13.2">
      <c r="A57" s="184"/>
      <c r="B57" s="180"/>
      <c r="C57" s="180"/>
      <c r="D57" s="180"/>
      <c r="E57" s="180"/>
      <c r="F57" s="180"/>
      <c r="G57" s="180"/>
      <c r="H57" s="180"/>
      <c r="I57" s="180"/>
      <c r="J57" s="512"/>
      <c r="K57" s="516"/>
    </row>
    <row r="58" spans="1:11" ht="13.2">
      <c r="A58" s="184"/>
      <c r="B58" s="906" t="str">
        <f>"Gráfico N°22: Costos marginales medios registrados en las principales barras del área sur durante el mes de "&amp;'1. Resumen'!Q4</f>
        <v>Gráfico N°22: Costos marginales medios registrados en las principales barras del área sur durante el mes de julio</v>
      </c>
      <c r="C58" s="906"/>
      <c r="D58" s="906"/>
      <c r="E58" s="906"/>
      <c r="F58" s="906"/>
      <c r="G58" s="906"/>
      <c r="H58" s="906"/>
      <c r="I58" s="906"/>
      <c r="J58" s="512"/>
      <c r="K58" s="516"/>
    </row>
    <row r="59" spans="1:11" ht="13.2">
      <c r="A59" s="74"/>
      <c r="B59" s="136"/>
      <c r="C59" s="136"/>
      <c r="D59" s="136"/>
      <c r="E59" s="136"/>
      <c r="F59" s="136"/>
      <c r="G59" s="136"/>
      <c r="H59" s="180"/>
      <c r="I59" s="180"/>
      <c r="J59" s="512"/>
      <c r="K59" s="516"/>
    </row>
  </sheetData>
  <mergeCells count="8">
    <mergeCell ref="B58:I58"/>
    <mergeCell ref="B21:I21"/>
    <mergeCell ref="B10:I10"/>
    <mergeCell ref="A2:K2"/>
    <mergeCell ref="A4:H4"/>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Normal="100" zoomScaleSheetLayoutView="100" zoomScalePageLayoutView="115" workbookViewId="0">
      <selection activeCell="J6" sqref="J6"/>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13.2" customHeight="1">
      <c r="A2" s="868" t="s">
        <v>372</v>
      </c>
      <c r="B2" s="868"/>
      <c r="C2" s="868"/>
      <c r="D2" s="868"/>
      <c r="E2" s="868"/>
      <c r="F2" s="868"/>
      <c r="G2" s="868"/>
      <c r="H2" s="868"/>
      <c r="I2" s="868"/>
      <c r="J2" s="868"/>
      <c r="K2" s="868"/>
      <c r="L2" s="868"/>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48"/>
  <sheetViews>
    <sheetView showGridLines="0" view="pageBreakPreview" zoomScaleNormal="100" zoomScaleSheetLayoutView="100" zoomScalePageLayoutView="115" workbookViewId="0">
      <selection activeCell="B8" sqref="B8"/>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32.4" customHeight="1">
      <c r="A2" s="909" t="s">
        <v>371</v>
      </c>
      <c r="B2" s="909"/>
      <c r="C2" s="909"/>
      <c r="D2" s="909"/>
      <c r="E2" s="909"/>
      <c r="F2" s="909"/>
      <c r="G2" s="909"/>
      <c r="H2" s="909"/>
      <c r="I2" s="203"/>
      <c r="J2" s="203"/>
      <c r="K2" s="203"/>
    </row>
    <row r="3" spans="1:12" ht="3" customHeight="1">
      <c r="A3" s="77"/>
      <c r="B3" s="77"/>
      <c r="C3" s="77"/>
      <c r="D3" s="77"/>
      <c r="E3" s="77"/>
      <c r="F3" s="77"/>
      <c r="G3" s="77"/>
      <c r="H3" s="77"/>
      <c r="I3" s="204"/>
      <c r="J3" s="204"/>
      <c r="K3" s="204"/>
      <c r="L3" s="36"/>
    </row>
    <row r="4" spans="1:12" ht="15" customHeight="1">
      <c r="A4" s="900" t="s">
        <v>417</v>
      </c>
      <c r="B4" s="900"/>
      <c r="C4" s="900"/>
      <c r="D4" s="900"/>
      <c r="E4" s="900"/>
      <c r="F4" s="900"/>
      <c r="G4" s="900"/>
      <c r="H4" s="900"/>
      <c r="I4" s="195"/>
      <c r="J4" s="195"/>
      <c r="K4" s="195"/>
      <c r="L4" s="36"/>
    </row>
    <row r="5" spans="1:12" ht="11.25" customHeight="1">
      <c r="A5" s="77"/>
      <c r="B5" s="164"/>
      <c r="C5" s="78"/>
      <c r="D5" s="79"/>
      <c r="E5" s="79"/>
      <c r="F5" s="80"/>
      <c r="G5" s="76"/>
      <c r="H5" s="76"/>
      <c r="I5" s="196"/>
      <c r="J5" s="196"/>
      <c r="K5" s="196"/>
      <c r="L5" s="205"/>
    </row>
    <row r="6" spans="1:12" ht="30.75" customHeight="1">
      <c r="A6" s="405" t="s">
        <v>179</v>
      </c>
      <c r="B6" s="403" t="s">
        <v>180</v>
      </c>
      <c r="C6" s="403" t="s">
        <v>181</v>
      </c>
      <c r="D6" s="402" t="str">
        <f>UPPER('1. Resumen'!Q4)&amp;"
 "&amp;'1. Resumen'!Q5</f>
        <v>JULIO
 2023</v>
      </c>
      <c r="E6" s="402" t="str">
        <f>UPPER('1. Resumen'!Q4)&amp;"
 "&amp;'1. Resumen'!Q5-1</f>
        <v>JULIO
 2022</v>
      </c>
      <c r="F6" s="402" t="str">
        <f>UPPER('1. Resumen'!Q4)&amp;"
 "&amp;'1. Resumen'!Q5-2</f>
        <v>JULIO
 2021</v>
      </c>
      <c r="G6" s="403" t="s">
        <v>571</v>
      </c>
      <c r="H6" s="404" t="s">
        <v>521</v>
      </c>
      <c r="I6" s="196"/>
      <c r="J6" s="196"/>
      <c r="K6" s="196"/>
      <c r="L6" s="166"/>
    </row>
    <row r="7" spans="1:12" ht="18" customHeight="1">
      <c r="A7" s="817" t="s">
        <v>540</v>
      </c>
      <c r="B7" s="577" t="s">
        <v>729</v>
      </c>
      <c r="C7" s="578" t="s">
        <v>595</v>
      </c>
      <c r="D7" s="579">
        <v>2.65</v>
      </c>
      <c r="E7" s="579"/>
      <c r="F7" s="579"/>
      <c r="G7" s="765"/>
      <c r="H7" s="765"/>
      <c r="I7" s="196"/>
      <c r="J7" s="196"/>
      <c r="K7" s="196"/>
      <c r="L7" s="58"/>
    </row>
    <row r="8" spans="1:12" ht="18" customHeight="1">
      <c r="A8" s="910" t="s">
        <v>182</v>
      </c>
      <c r="B8" s="577" t="s">
        <v>577</v>
      </c>
      <c r="C8" s="578" t="s">
        <v>578</v>
      </c>
      <c r="D8" s="579">
        <v>6.2166666666666668</v>
      </c>
      <c r="E8" s="579"/>
      <c r="F8" s="579"/>
      <c r="G8" s="765"/>
      <c r="H8" s="765"/>
      <c r="I8" s="196"/>
      <c r="J8" s="196"/>
      <c r="K8" s="196"/>
      <c r="L8" s="58"/>
    </row>
    <row r="9" spans="1:12" ht="18" customHeight="1">
      <c r="A9" s="911"/>
      <c r="B9" s="577" t="s">
        <v>528</v>
      </c>
      <c r="C9" s="578" t="s">
        <v>527</v>
      </c>
      <c r="D9" s="579"/>
      <c r="E9" s="579"/>
      <c r="F9" s="579">
        <v>3.2833333333333337</v>
      </c>
      <c r="G9" s="765"/>
      <c r="H9" s="765"/>
      <c r="I9" s="196"/>
      <c r="J9" s="196"/>
      <c r="K9" s="196"/>
      <c r="L9" s="58"/>
    </row>
    <row r="10" spans="1:12" ht="18" customHeight="1">
      <c r="A10" s="911"/>
      <c r="B10" s="577" t="s">
        <v>730</v>
      </c>
      <c r="C10" s="578" t="s">
        <v>731</v>
      </c>
      <c r="D10" s="579">
        <v>1.0000000000000018</v>
      </c>
      <c r="E10" s="579"/>
      <c r="F10" s="579"/>
      <c r="G10" s="765"/>
      <c r="H10" s="765"/>
      <c r="I10" s="196"/>
      <c r="J10" s="196"/>
      <c r="K10" s="196"/>
      <c r="L10" s="58"/>
    </row>
    <row r="11" spans="1:12" ht="18" customHeight="1">
      <c r="A11" s="911"/>
      <c r="B11" s="577" t="s">
        <v>732</v>
      </c>
      <c r="C11" s="578" t="s">
        <v>576</v>
      </c>
      <c r="D11" s="579">
        <v>8.8166666666666682</v>
      </c>
      <c r="E11" s="579"/>
      <c r="F11" s="579"/>
      <c r="G11" s="765"/>
      <c r="H11" s="765"/>
      <c r="I11" s="196"/>
      <c r="J11" s="196"/>
      <c r="K11" s="196"/>
      <c r="L11" s="58"/>
    </row>
    <row r="12" spans="1:12" ht="18" customHeight="1">
      <c r="A12" s="911"/>
      <c r="B12" s="577" t="s">
        <v>733</v>
      </c>
      <c r="C12" s="578" t="s">
        <v>734</v>
      </c>
      <c r="D12" s="579">
        <v>1.5166666666666693</v>
      </c>
      <c r="E12" s="579"/>
      <c r="F12" s="579"/>
      <c r="G12" s="765"/>
      <c r="H12" s="765"/>
      <c r="I12" s="196"/>
      <c r="J12" s="196"/>
      <c r="K12" s="196"/>
      <c r="L12" s="58"/>
    </row>
    <row r="13" spans="1:12" ht="30" customHeight="1">
      <c r="A13" s="911"/>
      <c r="B13" s="577" t="s">
        <v>735</v>
      </c>
      <c r="C13" s="578" t="s">
        <v>596</v>
      </c>
      <c r="D13" s="579"/>
      <c r="E13" s="579">
        <v>29.32</v>
      </c>
      <c r="F13" s="579"/>
      <c r="G13" s="765"/>
      <c r="H13" s="765"/>
      <c r="I13" s="196"/>
      <c r="J13" s="196"/>
      <c r="K13" s="196"/>
      <c r="L13" s="58"/>
    </row>
    <row r="14" spans="1:12" ht="18.75" customHeight="1">
      <c r="A14" s="396" t="s">
        <v>183</v>
      </c>
      <c r="B14" s="397"/>
      <c r="C14" s="398"/>
      <c r="D14" s="399">
        <f>SUM(D7:D13)</f>
        <v>20.200000000000006</v>
      </c>
      <c r="E14" s="399">
        <f>SUM(E7:E13)</f>
        <v>29.32</v>
      </c>
      <c r="F14" s="399">
        <f>SUM(F7:F13)</f>
        <v>3.2833333333333337</v>
      </c>
      <c r="G14" s="544"/>
      <c r="H14" s="544"/>
      <c r="I14" s="196"/>
      <c r="J14" s="196"/>
      <c r="K14" s="197"/>
      <c r="L14" s="206"/>
    </row>
    <row r="15" spans="1:12" ht="11.25" customHeight="1">
      <c r="A15" s="264" t="str">
        <f>"Cuadro N° 14: Horas de operación de los principales equipos de congestión en "&amp;'1. Resumen'!Q4</f>
        <v>Cuadro N° 14: Horas de operación de los principales equipos de congestión en julio</v>
      </c>
      <c r="B15" s="208"/>
      <c r="C15" s="209"/>
      <c r="D15" s="210"/>
      <c r="E15" s="210"/>
      <c r="F15" s="211"/>
      <c r="G15" s="76"/>
      <c r="H15" s="82"/>
      <c r="I15" s="196"/>
      <c r="J15" s="196"/>
      <c r="K15" s="197"/>
      <c r="L15" s="206"/>
    </row>
    <row r="16" spans="1:12" ht="11.25" customHeight="1">
      <c r="A16" s="137"/>
      <c r="B16" s="208"/>
      <c r="C16" s="209"/>
      <c r="D16" s="210"/>
      <c r="E16" s="210"/>
      <c r="F16" s="211"/>
      <c r="G16" s="76"/>
      <c r="H16" s="76"/>
      <c r="I16" s="196"/>
      <c r="J16" s="196"/>
      <c r="K16" s="197"/>
      <c r="L16" s="206"/>
    </row>
    <row r="17" spans="1:12" ht="11.25" customHeight="1">
      <c r="A17" s="137"/>
      <c r="B17" s="208"/>
      <c r="C17" s="209"/>
      <c r="D17" s="210"/>
      <c r="E17" s="210"/>
      <c r="F17" s="211"/>
      <c r="G17" s="76"/>
      <c r="H17" s="76"/>
      <c r="I17" s="196"/>
      <c r="J17" s="196"/>
      <c r="K17" s="197"/>
      <c r="L17" s="206"/>
    </row>
    <row r="18" spans="1:12" ht="11.25" customHeight="1">
      <c r="A18" s="77"/>
      <c r="B18" s="164"/>
      <c r="C18" s="78"/>
      <c r="D18" s="79"/>
      <c r="E18" s="79"/>
      <c r="F18" s="80"/>
      <c r="G18" s="76"/>
      <c r="H18" s="76"/>
      <c r="I18" s="196"/>
      <c r="J18" s="196"/>
      <c r="K18" s="197"/>
      <c r="L18" s="206"/>
    </row>
    <row r="19" spans="1:12" ht="11.25" customHeight="1">
      <c r="A19" s="77"/>
      <c r="B19" s="164"/>
      <c r="C19" s="78"/>
      <c r="D19" s="79"/>
      <c r="E19" s="79"/>
      <c r="F19" s="80"/>
      <c r="G19" s="76"/>
      <c r="H19" s="76"/>
      <c r="I19" s="196"/>
      <c r="J19" s="196"/>
      <c r="K19" s="197"/>
      <c r="L19" s="206"/>
    </row>
    <row r="20" spans="1:12" ht="11.25" customHeight="1">
      <c r="A20" s="77"/>
      <c r="B20" s="164"/>
      <c r="C20" s="78"/>
      <c r="D20" s="79"/>
      <c r="E20" s="79"/>
      <c r="F20" s="80"/>
      <c r="G20" s="76"/>
      <c r="H20" s="76"/>
      <c r="I20" s="196"/>
      <c r="J20" s="196"/>
      <c r="K20" s="197"/>
      <c r="L20" s="207"/>
    </row>
    <row r="21" spans="1:12" ht="11.25" customHeight="1">
      <c r="A21" s="77"/>
      <c r="B21" s="164"/>
      <c r="C21" s="78"/>
      <c r="D21" s="79"/>
      <c r="E21" s="79"/>
      <c r="F21" s="80"/>
      <c r="G21" s="76"/>
      <c r="H21" s="76"/>
      <c r="I21" s="196"/>
      <c r="J21" s="196"/>
      <c r="K21" s="197"/>
      <c r="L21" s="206"/>
    </row>
    <row r="22" spans="1:12" ht="11.25" customHeight="1">
      <c r="A22" s="77"/>
      <c r="B22" s="164"/>
      <c r="C22" s="78"/>
      <c r="D22" s="79"/>
      <c r="E22" s="79"/>
      <c r="F22" s="80"/>
      <c r="G22" s="76"/>
      <c r="H22" s="76"/>
      <c r="I22" s="196"/>
      <c r="J22" s="196"/>
      <c r="K22" s="197"/>
      <c r="L22" s="206"/>
    </row>
    <row r="23" spans="1:12" ht="11.25" customHeight="1">
      <c r="A23" s="77"/>
      <c r="B23" s="164"/>
      <c r="C23" s="78"/>
      <c r="D23" s="79"/>
      <c r="E23" s="79"/>
      <c r="F23" s="80"/>
      <c r="G23" s="76"/>
      <c r="H23" s="76"/>
      <c r="I23" s="196"/>
      <c r="J23" s="196"/>
      <c r="K23" s="196"/>
      <c r="L23" s="58"/>
    </row>
    <row r="24" spans="1:12" ht="11.25" customHeight="1">
      <c r="A24" s="77"/>
      <c r="B24" s="164"/>
      <c r="C24" s="78"/>
      <c r="D24" s="79"/>
      <c r="E24" s="79"/>
      <c r="F24" s="80"/>
      <c r="G24" s="76"/>
      <c r="H24" s="76"/>
      <c r="I24" s="196"/>
      <c r="J24" s="196"/>
      <c r="K24" s="197"/>
      <c r="L24" s="206"/>
    </row>
    <row r="25" spans="1:12" ht="11.25" customHeight="1">
      <c r="A25" s="77"/>
      <c r="B25" s="164"/>
      <c r="C25" s="78"/>
      <c r="D25" s="79"/>
      <c r="E25" s="79"/>
      <c r="F25" s="80"/>
      <c r="G25" s="76"/>
      <c r="H25" s="76"/>
      <c r="I25" s="196"/>
      <c r="J25" s="196"/>
      <c r="K25" s="198"/>
      <c r="L25" s="206"/>
    </row>
    <row r="26" spans="1:12" ht="11.25" customHeight="1">
      <c r="A26" s="77"/>
      <c r="B26" s="164"/>
      <c r="C26" s="78"/>
      <c r="D26" s="79"/>
      <c r="E26" s="79"/>
      <c r="F26" s="80"/>
      <c r="G26" s="76"/>
      <c r="H26" s="76"/>
      <c r="I26" s="196"/>
      <c r="J26" s="196"/>
      <c r="K26" s="198"/>
      <c r="L26" s="206"/>
    </row>
    <row r="27" spans="1:12" ht="11.25" customHeight="1">
      <c r="A27" s="77"/>
      <c r="B27" s="77"/>
      <c r="C27" s="77"/>
      <c r="D27" s="77"/>
      <c r="E27" s="77"/>
      <c r="F27" s="77"/>
      <c r="G27" s="77"/>
      <c r="H27" s="77"/>
      <c r="I27" s="196"/>
      <c r="J27" s="196"/>
      <c r="K27" s="198"/>
      <c r="L27" s="206"/>
    </row>
    <row r="28" spans="1:12" ht="11.25" customHeight="1">
      <c r="A28" s="77"/>
      <c r="B28" s="77"/>
      <c r="C28" s="77"/>
      <c r="D28" s="77"/>
      <c r="E28" s="77"/>
      <c r="F28" s="77"/>
      <c r="G28" s="77"/>
      <c r="H28" s="77"/>
      <c r="I28" s="196"/>
      <c r="J28" s="196"/>
      <c r="K28" s="198"/>
      <c r="L28" s="206"/>
    </row>
    <row r="29" spans="1:12" ht="11.25" customHeight="1">
      <c r="A29" s="77"/>
      <c r="B29" s="77"/>
      <c r="C29" s="77"/>
      <c r="D29" s="77"/>
      <c r="E29" s="77"/>
      <c r="F29" s="77"/>
      <c r="G29" s="77"/>
      <c r="H29" s="77"/>
      <c r="I29" s="196"/>
      <c r="J29" s="196"/>
      <c r="K29" s="198"/>
      <c r="L29" s="206"/>
    </row>
    <row r="30" spans="1:12" ht="18.600000000000001" customHeight="1">
      <c r="A30" s="77"/>
      <c r="B30" s="77"/>
      <c r="C30" s="77"/>
      <c r="D30" s="77"/>
      <c r="E30" s="77"/>
      <c r="F30" s="77"/>
      <c r="G30" s="77"/>
      <c r="H30" s="77"/>
      <c r="I30" s="196"/>
      <c r="J30" s="196"/>
      <c r="K30" s="198"/>
      <c r="L30" s="206"/>
    </row>
    <row r="31" spans="1:12" ht="11.25" customHeight="1">
      <c r="A31" s="77"/>
      <c r="B31" s="77"/>
      <c r="C31" s="77"/>
      <c r="D31" s="77"/>
      <c r="E31" s="77"/>
      <c r="F31" s="77"/>
      <c r="G31" s="77"/>
      <c r="H31" s="77"/>
      <c r="I31" s="196"/>
      <c r="J31" s="196"/>
      <c r="K31" s="198"/>
      <c r="L31" s="206"/>
    </row>
    <row r="32" spans="1:12" ht="11.25" customHeight="1">
      <c r="A32" s="77"/>
      <c r="B32" s="77"/>
      <c r="C32" s="77"/>
      <c r="D32" s="77"/>
      <c r="E32" s="77"/>
      <c r="F32" s="77"/>
      <c r="G32" s="77"/>
      <c r="H32" s="77"/>
      <c r="I32" s="196"/>
      <c r="J32" s="196"/>
      <c r="K32" s="198"/>
      <c r="L32" s="206"/>
    </row>
    <row r="33" spans="1:12" ht="11.25" customHeight="1">
      <c r="A33" s="77"/>
      <c r="B33" s="77"/>
      <c r="C33" s="77"/>
      <c r="D33" s="77"/>
      <c r="E33" s="77"/>
      <c r="F33" s="77"/>
      <c r="G33" s="77"/>
      <c r="H33" s="77"/>
      <c r="I33" s="196"/>
      <c r="J33" s="196"/>
      <c r="K33" s="198"/>
      <c r="L33" s="206"/>
    </row>
    <row r="34" spans="1:12" ht="11.25" customHeight="1">
      <c r="A34" s="77"/>
      <c r="B34" s="77"/>
      <c r="C34" s="77"/>
      <c r="D34" s="77"/>
      <c r="E34" s="77"/>
      <c r="F34" s="77"/>
      <c r="G34" s="77"/>
      <c r="H34" s="77"/>
      <c r="I34" s="196"/>
      <c r="J34" s="196"/>
      <c r="K34" s="198"/>
      <c r="L34" s="206"/>
    </row>
    <row r="35" spans="1:12" ht="11.25" customHeight="1">
      <c r="A35" s="77"/>
      <c r="B35" s="77"/>
      <c r="C35" s="77"/>
      <c r="D35" s="77"/>
      <c r="E35" s="77"/>
      <c r="F35" s="77"/>
      <c r="G35" s="77"/>
      <c r="H35" s="77"/>
      <c r="I35" s="196"/>
      <c r="J35" s="196"/>
      <c r="K35" s="198"/>
      <c r="L35" s="206"/>
    </row>
    <row r="36" spans="1:12" ht="11.25" customHeight="1">
      <c r="A36" s="77"/>
      <c r="B36" s="77"/>
      <c r="C36" s="77"/>
      <c r="D36" s="77"/>
      <c r="E36" s="77"/>
      <c r="F36" s="77"/>
      <c r="G36" s="77"/>
      <c r="H36" s="77"/>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8"/>
      <c r="L38" s="206"/>
    </row>
    <row r="39" spans="1:12" ht="11.25" customHeight="1">
      <c r="A39" s="77"/>
      <c r="B39" s="77"/>
      <c r="C39" s="77"/>
      <c r="D39" s="77"/>
      <c r="E39" s="77"/>
      <c r="F39" s="77"/>
      <c r="G39" s="77"/>
      <c r="H39" s="77"/>
      <c r="I39" s="196"/>
      <c r="J39" s="196"/>
      <c r="K39" s="198"/>
      <c r="L39" s="206"/>
    </row>
    <row r="40" spans="1:12" ht="11.25" customHeight="1">
      <c r="A40" s="77"/>
      <c r="B40" s="77"/>
      <c r="C40" s="77"/>
      <c r="D40" s="77"/>
      <c r="E40" s="77"/>
      <c r="F40" s="77"/>
      <c r="G40" s="77"/>
      <c r="H40" s="77"/>
      <c r="I40" s="196"/>
      <c r="J40" s="196"/>
      <c r="K40" s="198"/>
      <c r="L40" s="206"/>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9"/>
      <c r="L43" s="59"/>
    </row>
    <row r="44" spans="1:12" ht="11.2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9"/>
      <c r="L45" s="59"/>
    </row>
    <row r="46" spans="1:12" ht="11.25" customHeight="1">
      <c r="A46" s="77"/>
      <c r="B46" s="77"/>
      <c r="C46" s="77"/>
      <c r="D46" s="77"/>
      <c r="E46" s="77"/>
      <c r="F46" s="77"/>
      <c r="G46" s="77"/>
      <c r="H46" s="77"/>
      <c r="I46" s="196"/>
      <c r="J46" s="196"/>
      <c r="K46" s="199"/>
      <c r="L46" s="59"/>
    </row>
    <row r="47" spans="1:12" ht="11.25" customHeight="1">
      <c r="A47" s="77"/>
      <c r="B47" s="77"/>
      <c r="C47" s="77"/>
      <c r="D47" s="77"/>
      <c r="E47" s="77"/>
      <c r="F47" s="77"/>
      <c r="G47" s="77"/>
      <c r="H47" s="77"/>
      <c r="I47" s="196"/>
      <c r="J47" s="196"/>
      <c r="K47" s="199"/>
      <c r="L47" s="59"/>
    </row>
    <row r="48" spans="1:12">
      <c r="A48" s="264" t="str">
        <f>"Gráfico N° 23: Comparación de las horas de operación de los principales equipos de congestión en "&amp;'1. Resumen'!Q4&amp;"."</f>
        <v>Gráfico N° 23: Comparación de las horas de operación de los principales equipos de congestión en julio.</v>
      </c>
      <c r="B48" s="31"/>
      <c r="C48" s="31"/>
      <c r="D48" s="31"/>
      <c r="E48" s="31"/>
      <c r="F48" s="31"/>
      <c r="G48" s="31"/>
      <c r="H48" s="197"/>
      <c r="I48" s="197"/>
      <c r="J48" s="197"/>
      <c r="K48" s="197"/>
    </row>
  </sheetData>
  <mergeCells count="3">
    <mergeCell ref="A4:H4"/>
    <mergeCell ref="A2:H2"/>
    <mergeCell ref="A8:A1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7"/>
  <sheetViews>
    <sheetView showGridLines="0" view="pageBreakPreview" zoomScaleNormal="160" zoomScaleSheetLayoutView="100" zoomScalePageLayoutView="130" workbookViewId="0">
      <selection activeCell="M27" sqref="M27"/>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919" t="s">
        <v>398</v>
      </c>
      <c r="B2" s="919"/>
      <c r="C2" s="919"/>
      <c r="D2" s="919"/>
      <c r="E2" s="919"/>
      <c r="F2" s="919"/>
      <c r="G2" s="919"/>
      <c r="H2" s="919"/>
      <c r="I2" s="919"/>
      <c r="J2" s="919"/>
      <c r="K2" s="163"/>
    </row>
    <row r="3" spans="1:12" ht="6.75" customHeight="1">
      <c r="A3" s="17"/>
      <c r="B3" s="159"/>
      <c r="C3" s="212"/>
      <c r="D3" s="18"/>
      <c r="E3" s="18"/>
      <c r="F3" s="192"/>
      <c r="G3" s="66"/>
      <c r="H3" s="66"/>
      <c r="I3" s="71"/>
      <c r="J3" s="163"/>
      <c r="K3" s="163"/>
      <c r="L3" s="36"/>
    </row>
    <row r="4" spans="1:12" ht="15" customHeight="1">
      <c r="A4" s="920" t="s">
        <v>416</v>
      </c>
      <c r="B4" s="920"/>
      <c r="C4" s="920"/>
      <c r="D4" s="920"/>
      <c r="E4" s="920"/>
      <c r="F4" s="920"/>
      <c r="G4" s="920"/>
      <c r="H4" s="920"/>
      <c r="I4" s="920"/>
      <c r="J4" s="920"/>
      <c r="K4" s="163"/>
      <c r="L4" s="36"/>
    </row>
    <row r="5" spans="1:12" ht="38.25" customHeight="1">
      <c r="A5" s="917" t="s">
        <v>184</v>
      </c>
      <c r="B5" s="406" t="s">
        <v>185</v>
      </c>
      <c r="C5" s="407" t="s">
        <v>186</v>
      </c>
      <c r="D5" s="407" t="s">
        <v>187</v>
      </c>
      <c r="E5" s="407" t="s">
        <v>188</v>
      </c>
      <c r="F5" s="407" t="s">
        <v>189</v>
      </c>
      <c r="G5" s="407" t="s">
        <v>190</v>
      </c>
      <c r="H5" s="407" t="s">
        <v>191</v>
      </c>
      <c r="I5" s="408" t="s">
        <v>192</v>
      </c>
      <c r="J5" s="409" t="s">
        <v>193</v>
      </c>
      <c r="K5" s="131"/>
    </row>
    <row r="6" spans="1:12" ht="11.25" customHeight="1">
      <c r="A6" s="918"/>
      <c r="B6" s="529" t="s">
        <v>194</v>
      </c>
      <c r="C6" s="408" t="s">
        <v>195</v>
      </c>
      <c r="D6" s="408" t="s">
        <v>196</v>
      </c>
      <c r="E6" s="408" t="s">
        <v>197</v>
      </c>
      <c r="F6" s="408" t="s">
        <v>198</v>
      </c>
      <c r="G6" s="408" t="s">
        <v>199</v>
      </c>
      <c r="H6" s="408" t="s">
        <v>200</v>
      </c>
      <c r="I6" s="530"/>
      <c r="J6" s="531" t="s">
        <v>201</v>
      </c>
      <c r="K6" s="19"/>
    </row>
    <row r="7" spans="1:12" ht="12.75" customHeight="1">
      <c r="A7" s="535" t="s">
        <v>728</v>
      </c>
      <c r="B7" s="536">
        <v>2</v>
      </c>
      <c r="C7" s="536">
        <v>3</v>
      </c>
      <c r="D7" s="536">
        <v>2</v>
      </c>
      <c r="E7" s="536">
        <v>5</v>
      </c>
      <c r="F7" s="536">
        <v>6</v>
      </c>
      <c r="G7" s="536"/>
      <c r="H7" s="536"/>
      <c r="I7" s="537">
        <f>+SUM(B7:H7)</f>
        <v>18</v>
      </c>
      <c r="J7" s="538">
        <v>166.89</v>
      </c>
      <c r="K7" s="22"/>
    </row>
    <row r="8" spans="1:12" ht="12.75" customHeight="1">
      <c r="A8" s="535" t="s">
        <v>726</v>
      </c>
      <c r="B8" s="536"/>
      <c r="C8" s="536"/>
      <c r="D8" s="536"/>
      <c r="E8" s="536"/>
      <c r="F8" s="536"/>
      <c r="G8" s="536"/>
      <c r="H8" s="536">
        <v>1</v>
      </c>
      <c r="I8" s="537">
        <f t="shared" ref="I8:I9" si="0">+SUM(B8:H8)</f>
        <v>1</v>
      </c>
      <c r="J8" s="538">
        <v>11.33</v>
      </c>
      <c r="K8" s="22"/>
    </row>
    <row r="9" spans="1:12" ht="12.75" customHeight="1">
      <c r="A9" s="535" t="s">
        <v>727</v>
      </c>
      <c r="B9" s="536"/>
      <c r="C9" s="536"/>
      <c r="D9" s="536"/>
      <c r="E9" s="536"/>
      <c r="F9" s="536"/>
      <c r="G9" s="536">
        <v>1</v>
      </c>
      <c r="H9" s="536"/>
      <c r="I9" s="537">
        <f t="shared" si="0"/>
        <v>1</v>
      </c>
      <c r="J9" s="538">
        <v>29.15</v>
      </c>
      <c r="K9" s="22"/>
    </row>
    <row r="10" spans="1:12" ht="14.25" customHeight="1">
      <c r="A10" s="534" t="s">
        <v>192</v>
      </c>
      <c r="B10" s="532">
        <f t="shared" ref="B10:J10" si="1">+SUM(B7:B9)</f>
        <v>2</v>
      </c>
      <c r="C10" s="532">
        <f t="shared" si="1"/>
        <v>3</v>
      </c>
      <c r="D10" s="532">
        <f t="shared" si="1"/>
        <v>2</v>
      </c>
      <c r="E10" s="532">
        <f t="shared" si="1"/>
        <v>5</v>
      </c>
      <c r="F10" s="532">
        <f t="shared" si="1"/>
        <v>6</v>
      </c>
      <c r="G10" s="532">
        <f t="shared" si="1"/>
        <v>1</v>
      </c>
      <c r="H10" s="532">
        <f t="shared" si="1"/>
        <v>1</v>
      </c>
      <c r="I10" s="532">
        <f t="shared" si="1"/>
        <v>20</v>
      </c>
      <c r="J10" s="532">
        <f t="shared" si="1"/>
        <v>207.37</v>
      </c>
      <c r="K10" s="22"/>
    </row>
    <row r="11" spans="1:12" ht="11.25" customHeight="1">
      <c r="A11" s="921"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julio 2023</v>
      </c>
      <c r="B11" s="921"/>
      <c r="C11" s="921"/>
      <c r="D11" s="921"/>
      <c r="E11" s="921"/>
      <c r="F11" s="921"/>
      <c r="G11" s="921"/>
      <c r="H11" s="921"/>
      <c r="I11" s="921"/>
      <c r="J11" s="921"/>
      <c r="K11" s="22"/>
    </row>
    <row r="12" spans="1:12" ht="11.25" customHeight="1">
      <c r="K12" s="22"/>
    </row>
    <row r="13" spans="1:12" ht="11.25" customHeight="1">
      <c r="A13" s="17"/>
      <c r="B13" s="214"/>
      <c r="C13" s="213"/>
      <c r="D13" s="213"/>
      <c r="E13" s="213"/>
      <c r="F13" s="213"/>
      <c r="G13" s="178"/>
      <c r="H13" s="178"/>
      <c r="I13" s="138"/>
      <c r="J13" s="25"/>
      <c r="K13" s="25"/>
      <c r="L13" s="22"/>
    </row>
    <row r="14" spans="1:12" ht="11.25" customHeight="1">
      <c r="A14" s="914" t="str">
        <f>"FALLAS  POR TIPO DE CAUSA  -  "&amp;UPPER('1. Resumen'!Q4)&amp;" "&amp;'1. Resumen'!Q5</f>
        <v>FALLAS  POR TIPO DE CAUSA  -  JULIO 2023</v>
      </c>
      <c r="B14" s="914"/>
      <c r="C14" s="914"/>
      <c r="D14" s="914"/>
      <c r="E14" s="914" t="str">
        <f>"FALLAS  POR TIPO DE EQUIPO  -  "&amp;UPPER('1. Resumen'!Q4)&amp;" "&amp;'1. Resumen'!Q5</f>
        <v>FALLAS  POR TIPO DE EQUIPO  -  JULIO 2023</v>
      </c>
      <c r="F14" s="914"/>
      <c r="G14" s="914"/>
      <c r="H14" s="914"/>
      <c r="I14" s="914"/>
      <c r="J14" s="914"/>
      <c r="K14" s="25"/>
      <c r="L14" s="22"/>
    </row>
    <row r="15" spans="1:12" ht="11.25" customHeight="1">
      <c r="A15" s="17"/>
      <c r="E15" s="213"/>
      <c r="F15" s="213"/>
      <c r="G15" s="178"/>
      <c r="H15" s="178"/>
      <c r="I15" s="138"/>
      <c r="J15" s="111"/>
      <c r="K15" s="111"/>
      <c r="L15" s="22"/>
    </row>
    <row r="16" spans="1:12" ht="11.25" customHeight="1">
      <c r="A16" s="17"/>
      <c r="B16" s="214"/>
      <c r="C16" s="213"/>
      <c r="D16" s="213"/>
      <c r="E16" s="213"/>
      <c r="F16" s="213"/>
      <c r="G16" s="178"/>
      <c r="H16" s="178"/>
      <c r="I16" s="138"/>
      <c r="J16" s="111"/>
      <c r="K16" s="111"/>
      <c r="L16" s="30"/>
    </row>
    <row r="17" spans="1:12" ht="11.25" customHeight="1">
      <c r="A17" s="17"/>
      <c r="B17" s="214"/>
      <c r="C17" s="213"/>
      <c r="D17" s="213"/>
      <c r="E17" s="213"/>
      <c r="F17" s="213"/>
      <c r="G17" s="178"/>
      <c r="H17" s="178"/>
      <c r="I17" s="138"/>
      <c r="J17" s="111"/>
      <c r="K17" s="111"/>
      <c r="L17" s="22"/>
    </row>
    <row r="18" spans="1:12" ht="11.25" customHeight="1">
      <c r="A18" s="17"/>
      <c r="B18" s="214"/>
      <c r="C18" s="213"/>
      <c r="D18" s="213"/>
      <c r="E18" s="213"/>
      <c r="F18" s="213"/>
      <c r="G18" s="178"/>
      <c r="H18" s="178"/>
      <c r="I18" s="138"/>
      <c r="J18" s="111"/>
      <c r="K18" s="111"/>
      <c r="L18" s="22"/>
    </row>
    <row r="19" spans="1:12" ht="11.25" customHeight="1">
      <c r="A19" s="17"/>
      <c r="B19" s="214"/>
      <c r="C19" s="213"/>
      <c r="D19" s="213"/>
      <c r="E19" s="213"/>
      <c r="F19" s="213"/>
      <c r="G19" s="178"/>
      <c r="H19" s="178"/>
      <c r="I19" s="138"/>
      <c r="J19" s="111"/>
      <c r="K19" s="111"/>
      <c r="L19" s="22"/>
    </row>
    <row r="20" spans="1:12" ht="11.25" customHeight="1">
      <c r="A20" s="17"/>
      <c r="B20" s="214"/>
      <c r="C20" s="213"/>
      <c r="D20" s="213"/>
      <c r="E20" s="213"/>
      <c r="F20" s="213"/>
      <c r="G20" s="178"/>
      <c r="H20" s="178"/>
      <c r="I20" s="138"/>
      <c r="J20" s="111"/>
      <c r="K20" s="111"/>
      <c r="L20" s="30"/>
    </row>
    <row r="21" spans="1:12" ht="11.25" customHeight="1">
      <c r="A21" s="17"/>
      <c r="B21" s="214"/>
      <c r="C21" s="213"/>
      <c r="D21" s="213"/>
      <c r="E21" s="213"/>
      <c r="F21" s="213"/>
      <c r="G21" s="178"/>
      <c r="H21" s="178"/>
      <c r="I21" s="138"/>
      <c r="J21" s="111"/>
      <c r="K21" s="111"/>
      <c r="L21" s="22"/>
    </row>
    <row r="22" spans="1:12" ht="11.25" customHeight="1">
      <c r="A22" s="17"/>
      <c r="B22" s="214"/>
      <c r="C22" s="213"/>
      <c r="D22" s="213"/>
      <c r="E22" s="213"/>
      <c r="F22" s="213"/>
      <c r="G22" s="178"/>
      <c r="H22" s="178"/>
      <c r="I22" s="138"/>
      <c r="J22" s="111"/>
      <c r="K22" s="111"/>
      <c r="L22" s="22"/>
    </row>
    <row r="23" spans="1:12" ht="11.25" customHeight="1">
      <c r="A23" s="17"/>
      <c r="B23" s="214"/>
      <c r="C23" s="213"/>
      <c r="D23" s="213"/>
      <c r="E23" s="213"/>
      <c r="F23" s="213"/>
      <c r="G23" s="178"/>
      <c r="H23" s="178"/>
      <c r="I23" s="138"/>
      <c r="J23" s="111"/>
      <c r="K23" s="111"/>
      <c r="L23" s="22"/>
    </row>
    <row r="24" spans="1:12" ht="11.25" customHeight="1">
      <c r="A24" s="17"/>
      <c r="B24" s="214"/>
      <c r="C24" s="213"/>
      <c r="D24" s="213"/>
      <c r="E24" s="213"/>
      <c r="F24" s="213"/>
      <c r="G24" s="178"/>
      <c r="H24" s="178"/>
      <c r="I24" s="138"/>
      <c r="J24" s="111"/>
      <c r="K24" s="111"/>
      <c r="L24" s="22"/>
    </row>
    <row r="25" spans="1:12" ht="11.25" customHeight="1">
      <c r="A25" s="17"/>
      <c r="B25" s="214"/>
      <c r="C25" s="213"/>
      <c r="D25" s="213"/>
      <c r="E25" s="213"/>
      <c r="F25" s="213"/>
      <c r="G25" s="178"/>
      <c r="H25" s="178"/>
      <c r="I25" s="138"/>
      <c r="J25" s="111"/>
      <c r="K25" s="111"/>
      <c r="L25" s="22"/>
    </row>
    <row r="26" spans="1:12" ht="11.25" customHeight="1">
      <c r="A26" s="17"/>
      <c r="B26" s="214"/>
      <c r="C26" s="213"/>
      <c r="D26" s="213"/>
      <c r="E26" s="213"/>
      <c r="F26" s="213"/>
      <c r="G26" s="178"/>
      <c r="H26" s="178"/>
      <c r="I26" s="138"/>
      <c r="J26" s="111"/>
      <c r="K26" s="111"/>
      <c r="L26" s="22"/>
    </row>
    <row r="27" spans="1:12" ht="11.25" customHeight="1">
      <c r="A27" s="17"/>
      <c r="B27" s="214"/>
      <c r="C27" s="213"/>
      <c r="D27" s="213"/>
      <c r="E27" s="213"/>
      <c r="F27" s="213"/>
      <c r="G27" s="178"/>
      <c r="H27" s="178"/>
      <c r="I27" s="138"/>
      <c r="J27" s="111"/>
      <c r="K27" s="111"/>
      <c r="L27" s="22"/>
    </row>
    <row r="28" spans="1:12" ht="11.25" customHeight="1">
      <c r="A28" s="17"/>
      <c r="B28" s="214"/>
      <c r="C28" s="213"/>
      <c r="D28" s="213"/>
      <c r="E28" s="213"/>
      <c r="F28" s="213"/>
      <c r="G28" s="178"/>
      <c r="H28" s="178"/>
      <c r="I28" s="138"/>
      <c r="J28" s="111"/>
      <c r="K28" s="111"/>
      <c r="L28" s="22"/>
    </row>
    <row r="29" spans="1:12" ht="11.25" customHeight="1">
      <c r="A29" s="17"/>
      <c r="B29" s="214"/>
      <c r="C29" s="213"/>
      <c r="D29" s="213"/>
      <c r="E29" s="213"/>
      <c r="F29" s="213"/>
      <c r="G29" s="178"/>
      <c r="H29" s="178"/>
      <c r="I29" s="138"/>
      <c r="J29" s="111"/>
      <c r="K29" s="111"/>
      <c r="L29" s="22"/>
    </row>
    <row r="30" spans="1:12" ht="11.25" customHeight="1">
      <c r="A30" s="17"/>
      <c r="B30" s="214"/>
      <c r="C30" s="213"/>
      <c r="D30" s="213"/>
      <c r="E30" s="213"/>
      <c r="F30" s="213"/>
      <c r="G30" s="178"/>
      <c r="H30" s="178"/>
      <c r="I30" s="138"/>
      <c r="J30" s="111"/>
      <c r="K30" s="111"/>
      <c r="L30" s="22"/>
    </row>
    <row r="31" spans="1:12" ht="11.25" customHeight="1">
      <c r="A31" s="17"/>
      <c r="B31" s="214"/>
      <c r="C31" s="213"/>
      <c r="D31" s="213"/>
      <c r="E31" s="213"/>
      <c r="F31" s="213"/>
      <c r="G31" s="178"/>
      <c r="H31" s="178"/>
      <c r="I31" s="138"/>
      <c r="J31" s="111"/>
      <c r="K31" s="111"/>
      <c r="L31" s="22"/>
    </row>
    <row r="32" spans="1:12" ht="23.25" customHeight="1">
      <c r="A32" s="913" t="s">
        <v>387</v>
      </c>
      <c r="B32" s="913"/>
      <c r="C32" s="913"/>
      <c r="D32" s="267"/>
      <c r="E32" s="916" t="s">
        <v>388</v>
      </c>
      <c r="F32" s="916"/>
      <c r="G32" s="916"/>
      <c r="H32" s="916"/>
      <c r="I32" s="916"/>
      <c r="J32" s="916"/>
      <c r="K32" s="25"/>
      <c r="L32" s="22"/>
    </row>
    <row r="33" spans="1:12" ht="11.25" customHeight="1">
      <c r="A33" s="17"/>
      <c r="B33" s="132"/>
      <c r="C33" s="132"/>
      <c r="D33" s="132"/>
      <c r="E33" s="132"/>
      <c r="F33" s="132"/>
      <c r="G33" s="25"/>
      <c r="H33" s="25"/>
      <c r="I33" s="25"/>
      <c r="J33" s="25"/>
      <c r="K33" s="25"/>
      <c r="L33" s="22"/>
    </row>
    <row r="34" spans="1:12" ht="6.75" customHeight="1">
      <c r="A34" s="17"/>
      <c r="B34" s="132"/>
      <c r="C34" s="132"/>
      <c r="D34" s="132"/>
      <c r="E34" s="132"/>
      <c r="F34" s="132"/>
      <c r="G34" s="25"/>
      <c r="H34" s="25"/>
      <c r="I34" s="25"/>
      <c r="J34" s="25"/>
      <c r="K34" s="25"/>
      <c r="L34" s="215"/>
    </row>
    <row r="35" spans="1:12" ht="11.25" customHeight="1">
      <c r="A35" s="915" t="str">
        <f>"ENERGÍA INTERRUMPIDA APROXIMADA POR TIPO DE EQUIPO (MWh)  -  "&amp;UPPER('1. Resumen'!Q4)&amp;" "&amp;'1. Resumen'!Q5</f>
        <v>ENERGÍA INTERRUMPIDA APROXIMADA POR TIPO DE EQUIPO (MWh)  -  JULIO 2023</v>
      </c>
      <c r="B35" s="915"/>
      <c r="C35" s="915"/>
      <c r="D35" s="915"/>
      <c r="E35" s="915"/>
      <c r="F35" s="915"/>
      <c r="G35" s="915"/>
      <c r="H35" s="915"/>
      <c r="I35" s="915"/>
      <c r="J35" s="915"/>
      <c r="K35" s="25"/>
      <c r="L35" s="215"/>
    </row>
    <row r="36" spans="1:12" ht="11.25" customHeight="1">
      <c r="A36" s="17"/>
      <c r="B36" s="132"/>
      <c r="C36" s="132"/>
      <c r="D36" s="132"/>
      <c r="E36" s="132"/>
      <c r="F36" s="132"/>
      <c r="G36" s="25"/>
      <c r="H36" s="25"/>
      <c r="I36" s="25"/>
      <c r="J36" s="25"/>
      <c r="K36" s="25"/>
      <c r="L36" s="215"/>
    </row>
    <row r="37" spans="1:12" ht="11.25" customHeight="1">
      <c r="A37" s="17"/>
      <c r="B37" s="132"/>
      <c r="C37" s="25"/>
      <c r="D37" s="25"/>
      <c r="E37" s="25"/>
      <c r="F37" s="25"/>
      <c r="G37" s="25"/>
      <c r="H37" s="25"/>
      <c r="I37" s="25"/>
      <c r="J37" s="25"/>
      <c r="K37" s="25"/>
      <c r="L37" s="215"/>
    </row>
    <row r="38" spans="1:12" ht="11.25" customHeight="1">
      <c r="A38" s="17"/>
      <c r="B38" s="132"/>
      <c r="C38" s="25"/>
      <c r="D38" s="25"/>
      <c r="E38" s="25"/>
      <c r="F38" s="25"/>
      <c r="G38" s="25"/>
      <c r="H38" s="25"/>
    </row>
    <row r="39" spans="1:12" ht="13.2">
      <c r="A39" s="17"/>
      <c r="B39" s="132"/>
      <c r="J39" s="25"/>
      <c r="K39" s="25"/>
      <c r="L39" s="215"/>
    </row>
    <row r="40" spans="1:12" ht="13.2">
      <c r="A40" s="17"/>
      <c r="B40" s="132"/>
      <c r="J40" s="25"/>
      <c r="K40" s="25"/>
      <c r="L40" s="215"/>
    </row>
    <row r="41" spans="1:12" ht="13.2">
      <c r="A41" s="17"/>
      <c r="B41" s="132"/>
      <c r="J41" s="25"/>
      <c r="K41" s="25"/>
      <c r="L41" s="215"/>
    </row>
    <row r="42" spans="1:12" ht="13.2">
      <c r="A42" s="17"/>
      <c r="B42" s="132"/>
      <c r="J42" s="25"/>
      <c r="K42" s="25"/>
      <c r="L42" s="215"/>
    </row>
    <row r="43" spans="1:12" ht="13.2">
      <c r="A43" s="17"/>
      <c r="B43" s="132"/>
      <c r="C43" s="132"/>
      <c r="D43" s="132"/>
      <c r="E43" s="132"/>
      <c r="F43" s="132"/>
      <c r="G43" s="25"/>
      <c r="H43" s="25"/>
      <c r="I43" s="25"/>
      <c r="J43" s="25"/>
      <c r="K43" s="25"/>
      <c r="L43" s="215"/>
    </row>
    <row r="44" spans="1:12" ht="13.2">
      <c r="A44" s="163"/>
      <c r="B44" s="25"/>
      <c r="C44" s="25"/>
      <c r="D44" s="25"/>
      <c r="E44" s="25"/>
      <c r="F44" s="25"/>
      <c r="G44" s="25"/>
      <c r="H44" s="25"/>
      <c r="I44" s="25"/>
      <c r="J44" s="25"/>
      <c r="K44" s="25"/>
      <c r="L44" s="215"/>
    </row>
    <row r="45" spans="1:12" ht="13.2">
      <c r="A45" s="163"/>
      <c r="B45" s="25"/>
      <c r="C45" s="25"/>
      <c r="D45" s="25"/>
      <c r="E45" s="25"/>
      <c r="F45" s="25"/>
      <c r="G45" s="25"/>
      <c r="H45" s="25"/>
      <c r="I45" s="25"/>
      <c r="J45" s="25"/>
      <c r="K45" s="25"/>
      <c r="L45" s="215"/>
    </row>
    <row r="46" spans="1:12" ht="13.2">
      <c r="A46" s="163"/>
      <c r="B46" s="25"/>
      <c r="C46" s="25"/>
      <c r="D46" s="25"/>
      <c r="E46" s="25"/>
      <c r="F46" s="25"/>
      <c r="G46" s="25"/>
      <c r="H46" s="25"/>
      <c r="I46" s="25"/>
      <c r="J46" s="25"/>
      <c r="K46" s="25"/>
      <c r="L46" s="215"/>
    </row>
    <row r="47" spans="1:12" ht="13.2">
      <c r="A47" s="163"/>
      <c r="B47" s="25"/>
      <c r="C47" s="25"/>
      <c r="D47" s="25"/>
      <c r="E47" s="25"/>
      <c r="F47" s="25"/>
      <c r="G47" s="25"/>
      <c r="H47" s="25"/>
      <c r="I47" s="25"/>
      <c r="J47" s="25"/>
      <c r="K47" s="25"/>
      <c r="L47" s="215"/>
    </row>
    <row r="48" spans="1:12" ht="13.2">
      <c r="A48" s="163"/>
      <c r="B48" s="25"/>
      <c r="C48" s="25"/>
      <c r="D48" s="25"/>
      <c r="E48" s="25"/>
      <c r="F48" s="25"/>
      <c r="G48" s="25"/>
      <c r="H48" s="25"/>
      <c r="I48" s="25"/>
      <c r="J48" s="25"/>
      <c r="K48" s="25"/>
      <c r="L48" s="215"/>
    </row>
    <row r="49" spans="1:12" ht="9" customHeight="1">
      <c r="A49" s="163"/>
      <c r="B49" s="25"/>
      <c r="C49" s="25"/>
      <c r="D49" s="25"/>
      <c r="E49" s="25"/>
      <c r="F49" s="25"/>
      <c r="G49" s="25"/>
      <c r="H49" s="25"/>
      <c r="I49" s="25"/>
      <c r="J49" s="25"/>
      <c r="K49" s="25"/>
      <c r="L49" s="215"/>
    </row>
    <row r="50" spans="1:12" ht="22.2" customHeight="1">
      <c r="A50" s="267" t="str">
        <f>"Gráfico N°26: Comparación de la energía interrumpida aproximada por tipo de equipo en "&amp;'1. Resumen'!Q4&amp;" "&amp;'1. Resumen'!Q5</f>
        <v>Gráfico N°26: Comparación de la energía interrumpida aproximada por tipo de equipo en julio 2023</v>
      </c>
      <c r="B50" s="25"/>
      <c r="C50" s="25"/>
      <c r="D50" s="25"/>
      <c r="E50" s="25"/>
      <c r="F50" s="25"/>
      <c r="G50" s="25"/>
      <c r="H50" s="25"/>
      <c r="I50" s="25"/>
      <c r="J50" s="25"/>
      <c r="K50" s="25"/>
      <c r="L50" s="215"/>
    </row>
    <row r="51" spans="1:12" ht="15" customHeight="1">
      <c r="B51" s="25"/>
      <c r="C51" s="25"/>
      <c r="D51" s="25"/>
      <c r="E51" s="25"/>
      <c r="F51" s="25"/>
      <c r="G51" s="25"/>
      <c r="H51" s="25"/>
      <c r="I51" s="25"/>
      <c r="J51" s="25"/>
      <c r="K51" s="25"/>
      <c r="L51" s="215"/>
    </row>
    <row r="52" spans="1:12" ht="24" customHeight="1">
      <c r="A52" s="922" t="s">
        <v>202</v>
      </c>
      <c r="B52" s="922"/>
      <c r="C52" s="922"/>
      <c r="D52" s="922"/>
      <c r="E52" s="922"/>
      <c r="F52" s="922"/>
      <c r="G52" s="922"/>
      <c r="H52" s="922"/>
      <c r="I52" s="922"/>
      <c r="J52" s="922"/>
      <c r="K52" s="25"/>
      <c r="L52" s="215"/>
    </row>
    <row r="53" spans="1:12" ht="11.25" customHeight="1">
      <c r="A53" s="912" t="s">
        <v>203</v>
      </c>
      <c r="B53" s="912"/>
      <c r="C53" s="912"/>
      <c r="D53" s="912"/>
      <c r="E53" s="912"/>
      <c r="F53" s="912"/>
      <c r="G53" s="912"/>
      <c r="H53" s="912"/>
      <c r="I53" s="912"/>
      <c r="J53" s="912"/>
      <c r="K53" s="25"/>
      <c r="L53" s="215"/>
    </row>
    <row r="54" spans="1:12" ht="13.2">
      <c r="A54" s="163"/>
      <c r="B54" s="25"/>
      <c r="C54" s="25"/>
      <c r="D54" s="25"/>
      <c r="E54" s="25"/>
      <c r="F54" s="25"/>
      <c r="G54" s="25"/>
      <c r="H54" s="25"/>
      <c r="I54" s="25"/>
      <c r="J54" s="25"/>
      <c r="K54" s="25"/>
      <c r="L54" s="215"/>
    </row>
    <row r="55" spans="1:12" ht="13.2">
      <c r="A55" s="163"/>
      <c r="B55" s="25"/>
      <c r="C55" s="25"/>
      <c r="D55" s="25"/>
      <c r="E55" s="25"/>
      <c r="F55" s="25"/>
      <c r="G55" s="25"/>
      <c r="H55" s="25"/>
      <c r="I55" s="25"/>
      <c r="J55" s="25"/>
      <c r="K55" s="25"/>
      <c r="L55" s="215"/>
    </row>
    <row r="56" spans="1:12" ht="13.2">
      <c r="A56" s="163"/>
      <c r="B56" s="25"/>
      <c r="C56" s="25"/>
      <c r="D56" s="25"/>
      <c r="E56" s="25"/>
      <c r="F56" s="25"/>
      <c r="G56" s="25"/>
      <c r="H56" s="25"/>
      <c r="I56" s="25"/>
      <c r="J56" s="25"/>
      <c r="K56" s="25"/>
      <c r="L56" s="215"/>
    </row>
    <row r="57" spans="1:12" ht="13.2">
      <c r="A57" s="163"/>
      <c r="B57" s="25"/>
      <c r="C57" s="25"/>
      <c r="D57" s="25"/>
      <c r="E57" s="25"/>
      <c r="F57" s="25"/>
      <c r="G57" s="25"/>
      <c r="H57" s="25"/>
      <c r="I57" s="25"/>
      <c r="J57" s="25"/>
      <c r="K57" s="25"/>
      <c r="L57" s="215"/>
    </row>
    <row r="58" spans="1:12" ht="13.2">
      <c r="A58" s="163"/>
      <c r="B58" s="25"/>
      <c r="C58" s="25"/>
      <c r="D58" s="25"/>
      <c r="E58" s="25"/>
      <c r="F58" s="25"/>
      <c r="G58" s="25"/>
      <c r="H58" s="25"/>
      <c r="I58" s="25"/>
      <c r="J58" s="25"/>
      <c r="K58" s="25"/>
      <c r="L58" s="215"/>
    </row>
    <row r="59" spans="1:12" ht="13.2">
      <c r="A59" s="163"/>
      <c r="B59" s="25"/>
      <c r="C59" s="25"/>
      <c r="D59" s="25"/>
      <c r="E59" s="25"/>
      <c r="F59" s="25"/>
      <c r="G59" s="25"/>
      <c r="H59" s="25"/>
      <c r="I59" s="25"/>
      <c r="J59" s="25"/>
      <c r="K59" s="25"/>
      <c r="L59" s="215"/>
    </row>
    <row r="60" spans="1:12" ht="13.2">
      <c r="A60" s="163"/>
      <c r="B60" s="25"/>
      <c r="C60" s="25"/>
      <c r="D60" s="25"/>
      <c r="E60" s="25"/>
      <c r="F60" s="25"/>
      <c r="G60" s="25"/>
      <c r="H60" s="25"/>
      <c r="I60" s="25"/>
      <c r="J60" s="25"/>
      <c r="K60" s="25"/>
      <c r="L60" s="215"/>
    </row>
    <row r="61" spans="1:12" ht="13.2">
      <c r="A61" s="163"/>
      <c r="B61" s="25"/>
      <c r="C61" s="25"/>
      <c r="D61" s="25"/>
      <c r="E61" s="25"/>
      <c r="F61" s="25"/>
      <c r="G61" s="25"/>
      <c r="H61" s="25"/>
      <c r="I61" s="25"/>
      <c r="J61" s="25"/>
      <c r="K61" s="25"/>
      <c r="L61" s="215"/>
    </row>
    <row r="62" spans="1:12" ht="13.2">
      <c r="A62" s="163"/>
      <c r="B62" s="25"/>
      <c r="C62" s="25"/>
      <c r="D62" s="25"/>
      <c r="E62" s="25"/>
      <c r="F62" s="25"/>
      <c r="G62" s="25"/>
      <c r="H62" s="25"/>
      <c r="I62" s="25"/>
      <c r="J62" s="25"/>
      <c r="K62" s="25"/>
      <c r="L62" s="215"/>
    </row>
    <row r="63" spans="1:12" ht="13.2">
      <c r="A63" s="163"/>
      <c r="B63" s="25"/>
      <c r="C63" s="25"/>
      <c r="D63" s="25"/>
      <c r="E63" s="25"/>
      <c r="F63" s="25"/>
      <c r="G63" s="25"/>
      <c r="H63" s="25"/>
      <c r="I63" s="25"/>
      <c r="J63" s="25"/>
      <c r="K63" s="25"/>
      <c r="L63" s="215"/>
    </row>
    <row r="64" spans="1:12" ht="13.2">
      <c r="A64" s="163"/>
      <c r="B64" s="25"/>
      <c r="J64" s="25"/>
      <c r="K64" s="25"/>
      <c r="L64" s="215"/>
    </row>
    <row r="65" spans="1:12" ht="13.2">
      <c r="A65" s="163"/>
      <c r="B65" s="25"/>
      <c r="J65" s="25"/>
      <c r="K65" s="25"/>
      <c r="L65" s="215"/>
    </row>
    <row r="66" spans="1:12" ht="13.2">
      <c r="A66" s="163"/>
      <c r="B66" s="25"/>
      <c r="J66" s="25"/>
      <c r="K66" s="25"/>
      <c r="L66" s="215"/>
    </row>
    <row r="67" spans="1:12" ht="13.2">
      <c r="A67" s="163"/>
      <c r="B67" s="25"/>
      <c r="J67" s="25"/>
      <c r="K67" s="25"/>
      <c r="L67" s="215"/>
    </row>
    <row r="68" spans="1:12">
      <c r="B68" s="215"/>
      <c r="C68" s="215"/>
      <c r="D68" s="215"/>
      <c r="E68" s="215"/>
      <c r="F68" s="215"/>
      <c r="G68" s="215"/>
      <c r="H68" s="215"/>
      <c r="I68" s="215"/>
      <c r="J68" s="215"/>
      <c r="K68" s="215"/>
      <c r="L68" s="215"/>
    </row>
    <row r="69" spans="1:12">
      <c r="B69" s="215"/>
      <c r="C69" s="215"/>
      <c r="D69" s="215"/>
      <c r="E69" s="215"/>
      <c r="F69" s="215"/>
      <c r="G69" s="215"/>
      <c r="H69" s="215"/>
      <c r="I69" s="215"/>
      <c r="J69" s="215"/>
      <c r="K69" s="215"/>
      <c r="L69" s="215"/>
    </row>
    <row r="70" spans="1:12">
      <c r="B70" s="215"/>
      <c r="C70" s="215"/>
      <c r="D70" s="215"/>
      <c r="E70" s="215"/>
      <c r="F70" s="215"/>
      <c r="G70" s="215"/>
      <c r="H70" s="215"/>
      <c r="I70" s="215"/>
      <c r="J70" s="215"/>
      <c r="K70" s="215"/>
      <c r="L70" s="215"/>
    </row>
    <row r="71" spans="1:12">
      <c r="B71" s="215"/>
      <c r="C71" s="215"/>
      <c r="D71" s="215"/>
      <c r="E71" s="215"/>
      <c r="F71" s="215"/>
      <c r="G71" s="215"/>
      <c r="H71" s="215"/>
      <c r="I71" s="215"/>
      <c r="J71" s="215"/>
      <c r="K71" s="215"/>
      <c r="L71" s="215"/>
    </row>
    <row r="72" spans="1:12">
      <c r="B72" s="215"/>
      <c r="C72" s="215"/>
      <c r="D72" s="215"/>
      <c r="E72" s="215"/>
      <c r="F72" s="215"/>
      <c r="G72" s="215"/>
      <c r="H72" s="215"/>
      <c r="I72" s="215"/>
      <c r="J72" s="215"/>
      <c r="K72" s="215"/>
      <c r="L72" s="215"/>
    </row>
    <row r="73" spans="1:12">
      <c r="B73" s="215"/>
      <c r="C73" s="215"/>
      <c r="D73" s="215"/>
      <c r="E73" s="215"/>
      <c r="F73" s="215"/>
      <c r="G73" s="215"/>
      <c r="H73" s="215"/>
      <c r="I73" s="215"/>
      <c r="J73" s="215"/>
      <c r="K73" s="215"/>
      <c r="L73" s="215"/>
    </row>
    <row r="74" spans="1:12">
      <c r="B74" s="215"/>
      <c r="C74" s="215"/>
      <c r="D74" s="215"/>
      <c r="E74" s="215"/>
      <c r="F74" s="215"/>
      <c r="G74" s="215"/>
      <c r="H74" s="215"/>
      <c r="I74" s="215"/>
      <c r="J74" s="215"/>
      <c r="K74" s="215"/>
      <c r="L74" s="215"/>
    </row>
    <row r="75" spans="1:12">
      <c r="B75" s="215"/>
      <c r="C75" s="215"/>
      <c r="D75" s="215"/>
      <c r="E75" s="215"/>
      <c r="F75" s="215"/>
      <c r="G75" s="215"/>
      <c r="H75" s="215"/>
      <c r="I75" s="215"/>
      <c r="J75" s="215"/>
      <c r="K75" s="215"/>
      <c r="L75" s="215"/>
    </row>
    <row r="76" spans="1:12">
      <c r="B76" s="215"/>
      <c r="C76" s="215"/>
      <c r="D76" s="215"/>
      <c r="E76" s="215"/>
      <c r="F76" s="215"/>
      <c r="G76" s="215"/>
      <c r="H76" s="215"/>
      <c r="I76" s="215"/>
      <c r="J76" s="215"/>
      <c r="K76" s="215"/>
      <c r="L76" s="215"/>
    </row>
    <row r="77" spans="1:12">
      <c r="B77" s="215"/>
      <c r="C77" s="215"/>
      <c r="D77" s="215"/>
      <c r="E77" s="215"/>
      <c r="F77" s="215"/>
      <c r="G77" s="215"/>
      <c r="H77" s="215"/>
      <c r="I77" s="215"/>
      <c r="J77" s="215"/>
      <c r="K77" s="215"/>
      <c r="L77" s="215"/>
    </row>
    <row r="78" spans="1:12">
      <c r="B78" s="215"/>
      <c r="C78" s="215"/>
      <c r="D78" s="215"/>
      <c r="E78" s="215"/>
      <c r="F78" s="215"/>
      <c r="G78" s="215"/>
      <c r="H78" s="215"/>
      <c r="I78" s="215"/>
      <c r="J78" s="215"/>
      <c r="K78" s="215"/>
      <c r="L78" s="215"/>
    </row>
    <row r="79" spans="1:12">
      <c r="B79" s="215"/>
      <c r="C79" s="215"/>
      <c r="D79" s="215"/>
      <c r="E79" s="215"/>
      <c r="F79" s="215"/>
      <c r="G79" s="215"/>
      <c r="H79" s="215"/>
      <c r="I79" s="215"/>
      <c r="J79" s="215"/>
      <c r="K79" s="215"/>
      <c r="L79" s="215"/>
    </row>
    <row r="80" spans="1:12">
      <c r="B80" s="215"/>
      <c r="C80" s="215"/>
      <c r="D80" s="215"/>
      <c r="E80" s="215"/>
      <c r="F80" s="215"/>
      <c r="G80" s="215"/>
      <c r="H80" s="215"/>
      <c r="I80" s="215"/>
      <c r="J80" s="215"/>
      <c r="K80" s="215"/>
      <c r="L80" s="215"/>
    </row>
    <row r="81" spans="2:12">
      <c r="B81" s="215"/>
      <c r="C81" s="215"/>
      <c r="D81" s="215"/>
      <c r="E81" s="215"/>
      <c r="F81" s="215"/>
      <c r="G81" s="215"/>
      <c r="H81" s="215"/>
      <c r="I81" s="215"/>
      <c r="J81" s="215"/>
      <c r="K81" s="215"/>
      <c r="L81" s="215"/>
    </row>
    <row r="82" spans="2:12">
      <c r="B82" s="215"/>
      <c r="C82" s="215"/>
      <c r="D82" s="215"/>
      <c r="E82" s="215"/>
      <c r="F82" s="215"/>
      <c r="G82" s="215"/>
      <c r="H82" s="215"/>
      <c r="I82" s="215"/>
      <c r="J82" s="215"/>
      <c r="K82" s="215"/>
      <c r="L82" s="215"/>
    </row>
    <row r="83" spans="2:12">
      <c r="B83" s="215"/>
      <c r="C83" s="215"/>
      <c r="D83" s="215"/>
      <c r="E83" s="215"/>
      <c r="F83" s="215"/>
      <c r="G83" s="215"/>
      <c r="H83" s="215"/>
      <c r="I83" s="215"/>
      <c r="J83" s="215"/>
      <c r="K83" s="215"/>
      <c r="L83" s="215"/>
    </row>
    <row r="84" spans="2:12">
      <c r="B84" s="215"/>
      <c r="C84" s="215"/>
      <c r="D84" s="215"/>
      <c r="E84" s="215"/>
      <c r="F84" s="215"/>
      <c r="G84" s="215"/>
      <c r="H84" s="215"/>
      <c r="I84" s="215"/>
      <c r="J84" s="215"/>
      <c r="K84" s="215"/>
      <c r="L84" s="215"/>
    </row>
    <row r="85" spans="2:12">
      <c r="B85" s="215"/>
      <c r="C85" s="215"/>
      <c r="D85" s="215"/>
      <c r="E85" s="215"/>
      <c r="F85" s="215"/>
      <c r="G85" s="215"/>
      <c r="H85" s="215"/>
      <c r="I85" s="215"/>
      <c r="J85" s="215"/>
      <c r="K85" s="215"/>
      <c r="L85" s="215"/>
    </row>
    <row r="86" spans="2:12">
      <c r="B86" s="215"/>
      <c r="C86" s="215"/>
      <c r="D86" s="215"/>
      <c r="E86" s="215"/>
      <c r="F86" s="215"/>
      <c r="G86" s="215"/>
      <c r="H86" s="215"/>
      <c r="I86" s="215"/>
      <c r="J86" s="215"/>
      <c r="K86" s="215"/>
      <c r="L86" s="215"/>
    </row>
    <row r="87" spans="2:12">
      <c r="B87" s="215"/>
      <c r="C87" s="215"/>
      <c r="D87" s="215"/>
      <c r="E87" s="215"/>
      <c r="F87" s="215"/>
      <c r="G87" s="215"/>
      <c r="H87" s="215"/>
      <c r="I87" s="215"/>
      <c r="J87" s="215"/>
      <c r="K87" s="215"/>
      <c r="L87" s="215"/>
    </row>
    <row r="88" spans="2:12">
      <c r="B88" s="215"/>
      <c r="C88" s="215"/>
      <c r="D88" s="215"/>
      <c r="E88" s="215"/>
      <c r="F88" s="215"/>
      <c r="G88" s="215"/>
      <c r="H88" s="215"/>
      <c r="I88" s="215"/>
      <c r="J88" s="215"/>
      <c r="K88" s="215"/>
      <c r="L88" s="215"/>
    </row>
    <row r="89" spans="2:12">
      <c r="B89" s="215"/>
      <c r="C89" s="215"/>
      <c r="D89" s="215"/>
      <c r="E89" s="215"/>
      <c r="F89" s="215"/>
      <c r="G89" s="215"/>
      <c r="H89" s="215"/>
      <c r="I89" s="215"/>
      <c r="J89" s="215"/>
      <c r="K89" s="215"/>
      <c r="L89" s="215"/>
    </row>
    <row r="90" spans="2:12">
      <c r="B90" s="215"/>
      <c r="C90" s="215"/>
      <c r="D90" s="215"/>
      <c r="E90" s="215"/>
      <c r="F90" s="215"/>
      <c r="G90" s="215"/>
      <c r="H90" s="215"/>
      <c r="I90" s="215"/>
      <c r="J90" s="215"/>
      <c r="K90" s="215"/>
      <c r="L90" s="215"/>
    </row>
    <row r="91" spans="2:12">
      <c r="B91" s="215"/>
      <c r="C91" s="215"/>
      <c r="D91" s="215"/>
      <c r="E91" s="215"/>
      <c r="F91" s="215"/>
      <c r="G91" s="215"/>
      <c r="H91" s="215"/>
      <c r="I91" s="215"/>
      <c r="J91" s="215"/>
      <c r="K91" s="215"/>
      <c r="L91" s="215"/>
    </row>
    <row r="92" spans="2:12">
      <c r="B92" s="215"/>
      <c r="C92" s="215"/>
      <c r="D92" s="215"/>
      <c r="E92" s="215"/>
      <c r="F92" s="215"/>
      <c r="G92" s="215"/>
      <c r="H92" s="215"/>
      <c r="I92" s="215"/>
      <c r="J92" s="215"/>
      <c r="K92" s="215"/>
      <c r="L92" s="215"/>
    </row>
    <row r="93" spans="2:12">
      <c r="B93" s="215"/>
      <c r="C93" s="215"/>
      <c r="D93" s="215"/>
      <c r="E93" s="215"/>
      <c r="F93" s="215"/>
      <c r="G93" s="215"/>
      <c r="H93" s="215"/>
      <c r="I93" s="215"/>
      <c r="J93" s="215"/>
      <c r="K93" s="215"/>
      <c r="L93" s="215"/>
    </row>
    <row r="94" spans="2:12">
      <c r="B94" s="215"/>
      <c r="C94" s="215"/>
      <c r="D94" s="215"/>
      <c r="E94" s="215"/>
      <c r="F94" s="215"/>
      <c r="G94" s="215"/>
      <c r="H94" s="215"/>
      <c r="I94" s="215"/>
      <c r="J94" s="215"/>
      <c r="K94" s="215"/>
      <c r="L94" s="215"/>
    </row>
    <row r="95" spans="2:12">
      <c r="B95" s="215"/>
      <c r="C95" s="215"/>
      <c r="D95" s="215"/>
      <c r="E95" s="215"/>
      <c r="F95" s="215"/>
      <c r="G95" s="215"/>
      <c r="H95" s="215"/>
      <c r="I95" s="215"/>
      <c r="J95" s="215"/>
      <c r="K95" s="215"/>
      <c r="L95" s="215"/>
    </row>
    <row r="96" spans="2:12">
      <c r="B96" s="215"/>
      <c r="C96" s="215"/>
      <c r="D96" s="215"/>
      <c r="E96" s="215"/>
      <c r="F96" s="215"/>
      <c r="G96" s="215"/>
      <c r="H96" s="215"/>
      <c r="I96" s="215"/>
      <c r="J96" s="215"/>
      <c r="K96" s="215"/>
      <c r="L96" s="215"/>
    </row>
    <row r="97" spans="2:12">
      <c r="B97" s="215"/>
      <c r="C97" s="215"/>
      <c r="D97" s="215"/>
      <c r="E97" s="215"/>
      <c r="F97" s="215"/>
      <c r="G97" s="215"/>
      <c r="H97" s="215"/>
      <c r="I97" s="215"/>
      <c r="J97" s="215"/>
      <c r="K97" s="215"/>
      <c r="L97" s="215"/>
    </row>
    <row r="98" spans="2:12">
      <c r="B98" s="215"/>
      <c r="C98" s="215"/>
      <c r="D98" s="215"/>
      <c r="E98" s="215"/>
      <c r="F98" s="215"/>
      <c r="G98" s="215"/>
      <c r="H98" s="215"/>
      <c r="I98" s="215"/>
      <c r="J98" s="215"/>
      <c r="K98" s="215"/>
      <c r="L98" s="215"/>
    </row>
    <row r="99" spans="2:12">
      <c r="B99" s="215"/>
      <c r="C99" s="215"/>
      <c r="D99" s="215"/>
      <c r="E99" s="215"/>
      <c r="F99" s="215"/>
      <c r="G99" s="215"/>
      <c r="H99" s="215"/>
      <c r="I99" s="215"/>
      <c r="J99" s="215"/>
      <c r="K99" s="215"/>
      <c r="L99" s="215"/>
    </row>
    <row r="100" spans="2:12">
      <c r="B100" s="215"/>
      <c r="C100" s="215"/>
      <c r="D100" s="215"/>
      <c r="E100" s="215"/>
      <c r="F100" s="215"/>
      <c r="G100" s="215"/>
      <c r="H100" s="215"/>
      <c r="I100" s="215"/>
      <c r="J100" s="215"/>
      <c r="K100" s="215"/>
      <c r="L100" s="215"/>
    </row>
    <row r="101" spans="2:12">
      <c r="B101" s="215"/>
      <c r="C101" s="215"/>
      <c r="D101" s="215"/>
      <c r="E101" s="215"/>
      <c r="F101" s="215"/>
      <c r="G101" s="215"/>
      <c r="H101" s="215"/>
      <c r="I101" s="215"/>
      <c r="J101" s="215"/>
      <c r="K101" s="215"/>
      <c r="L101" s="215"/>
    </row>
    <row r="102" spans="2:12">
      <c r="B102" s="215"/>
      <c r="C102" s="215"/>
      <c r="D102" s="215"/>
      <c r="E102" s="215"/>
      <c r="F102" s="215"/>
      <c r="G102" s="215"/>
      <c r="H102" s="215"/>
      <c r="I102" s="215"/>
      <c r="J102" s="215"/>
      <c r="K102" s="215"/>
      <c r="L102" s="215"/>
    </row>
    <row r="103" spans="2:12">
      <c r="B103" s="215"/>
      <c r="C103" s="215"/>
      <c r="D103" s="215"/>
      <c r="E103" s="215"/>
      <c r="F103" s="215"/>
      <c r="G103" s="215"/>
      <c r="H103" s="215"/>
      <c r="I103" s="215"/>
      <c r="J103" s="215"/>
      <c r="K103" s="215"/>
      <c r="L103" s="215"/>
    </row>
    <row r="104" spans="2:12">
      <c r="B104" s="215"/>
      <c r="C104" s="215"/>
      <c r="D104" s="215"/>
      <c r="E104" s="215"/>
      <c r="F104" s="215"/>
      <c r="G104" s="215"/>
      <c r="H104" s="215"/>
      <c r="I104" s="215"/>
      <c r="J104" s="215"/>
      <c r="K104" s="215"/>
      <c r="L104" s="215"/>
    </row>
    <row r="105" spans="2:12">
      <c r="B105" s="215"/>
      <c r="C105" s="215"/>
      <c r="D105" s="215"/>
      <c r="E105" s="215"/>
      <c r="F105" s="215"/>
      <c r="G105" s="215"/>
      <c r="H105" s="215"/>
      <c r="I105" s="215"/>
      <c r="J105" s="215"/>
      <c r="K105" s="215"/>
      <c r="L105" s="215"/>
    </row>
    <row r="106" spans="2:12">
      <c r="B106" s="215"/>
      <c r="C106" s="215"/>
      <c r="D106" s="215"/>
      <c r="E106" s="215"/>
      <c r="F106" s="215"/>
      <c r="G106" s="215"/>
      <c r="H106" s="215"/>
      <c r="I106" s="215"/>
      <c r="J106" s="215"/>
      <c r="K106" s="215"/>
      <c r="L106" s="215"/>
    </row>
    <row r="107" spans="2:12">
      <c r="B107" s="215"/>
      <c r="C107" s="215"/>
      <c r="D107" s="215"/>
      <c r="E107" s="215"/>
      <c r="F107" s="215"/>
      <c r="G107" s="215"/>
      <c r="H107" s="215"/>
      <c r="I107" s="215"/>
      <c r="J107" s="215"/>
      <c r="K107" s="215"/>
      <c r="L107" s="215"/>
    </row>
    <row r="108" spans="2:12">
      <c r="B108" s="215"/>
      <c r="C108" s="215"/>
      <c r="D108" s="215"/>
      <c r="E108" s="215"/>
      <c r="F108" s="215"/>
      <c r="G108" s="215"/>
      <c r="H108" s="215"/>
      <c r="I108" s="215"/>
      <c r="J108" s="215"/>
      <c r="K108" s="215"/>
      <c r="L108" s="215"/>
    </row>
    <row r="109" spans="2:12">
      <c r="B109" s="215"/>
      <c r="C109" s="215"/>
      <c r="D109" s="215"/>
      <c r="E109" s="215"/>
      <c r="F109" s="215"/>
      <c r="G109" s="215"/>
      <c r="H109" s="215"/>
      <c r="I109" s="215"/>
      <c r="J109" s="215"/>
      <c r="K109" s="215"/>
      <c r="L109" s="215"/>
    </row>
    <row r="110" spans="2:12">
      <c r="B110" s="215"/>
      <c r="C110" s="215"/>
      <c r="D110" s="215"/>
      <c r="E110" s="215"/>
      <c r="F110" s="215"/>
      <c r="G110" s="215"/>
      <c r="H110" s="215"/>
      <c r="I110" s="215"/>
      <c r="J110" s="215"/>
      <c r="K110" s="215"/>
      <c r="L110" s="215"/>
    </row>
    <row r="111" spans="2:12">
      <c r="B111" s="215"/>
      <c r="C111" s="215"/>
      <c r="D111" s="215"/>
      <c r="E111" s="215"/>
      <c r="F111" s="215"/>
      <c r="G111" s="215"/>
      <c r="H111" s="215"/>
      <c r="I111" s="215"/>
      <c r="J111" s="215"/>
      <c r="K111" s="215"/>
      <c r="L111" s="215"/>
    </row>
    <row r="112" spans="2:12">
      <c r="B112" s="215"/>
      <c r="C112" s="215"/>
      <c r="D112" s="215"/>
      <c r="E112" s="215"/>
      <c r="F112" s="215"/>
      <c r="G112" s="215"/>
      <c r="H112" s="215"/>
      <c r="I112" s="215"/>
      <c r="J112" s="215"/>
      <c r="K112" s="215"/>
      <c r="L112" s="215"/>
    </row>
    <row r="113" spans="2:12">
      <c r="B113" s="215"/>
      <c r="C113" s="215"/>
      <c r="D113" s="215"/>
      <c r="E113" s="215"/>
      <c r="F113" s="215"/>
      <c r="G113" s="215"/>
      <c r="H113" s="215"/>
      <c r="I113" s="215"/>
      <c r="J113" s="215"/>
      <c r="K113" s="215"/>
      <c r="L113" s="215"/>
    </row>
    <row r="114" spans="2:12">
      <c r="B114" s="215"/>
      <c r="C114" s="215"/>
      <c r="D114" s="215"/>
      <c r="E114" s="215"/>
      <c r="F114" s="215"/>
      <c r="G114" s="215"/>
      <c r="H114" s="215"/>
      <c r="I114" s="215"/>
      <c r="J114" s="215"/>
      <c r="K114" s="215"/>
      <c r="L114" s="215"/>
    </row>
    <row r="115" spans="2:12">
      <c r="B115" s="215"/>
      <c r="C115" s="215"/>
      <c r="D115" s="215"/>
      <c r="E115" s="215"/>
      <c r="F115" s="215"/>
      <c r="G115" s="215"/>
      <c r="H115" s="215"/>
      <c r="I115" s="215"/>
      <c r="J115" s="215"/>
      <c r="K115" s="215"/>
      <c r="L115" s="215"/>
    </row>
    <row r="116" spans="2:12">
      <c r="B116" s="215"/>
      <c r="C116" s="215"/>
      <c r="D116" s="215"/>
      <c r="E116" s="215"/>
      <c r="F116" s="215"/>
      <c r="G116" s="215"/>
      <c r="H116" s="215"/>
      <c r="I116" s="215"/>
      <c r="J116" s="215"/>
      <c r="K116" s="215"/>
      <c r="L116" s="215"/>
    </row>
    <row r="117" spans="2:12">
      <c r="B117" s="215"/>
      <c r="C117" s="215"/>
      <c r="D117" s="215"/>
      <c r="E117" s="215"/>
      <c r="F117" s="215"/>
      <c r="G117" s="215"/>
      <c r="H117" s="215"/>
      <c r="I117" s="215"/>
      <c r="J117" s="215"/>
      <c r="K117" s="215"/>
      <c r="L117" s="215"/>
    </row>
    <row r="118" spans="2:12">
      <c r="B118" s="215"/>
      <c r="C118" s="215"/>
      <c r="D118" s="215"/>
      <c r="E118" s="215"/>
      <c r="F118" s="215"/>
      <c r="G118" s="215"/>
      <c r="H118" s="215"/>
      <c r="I118" s="215"/>
      <c r="J118" s="215"/>
      <c r="K118" s="215"/>
      <c r="L118" s="215"/>
    </row>
    <row r="119" spans="2:12">
      <c r="B119" s="215"/>
      <c r="C119" s="215"/>
      <c r="D119" s="215"/>
      <c r="E119" s="215"/>
      <c r="F119" s="215"/>
      <c r="G119" s="215"/>
      <c r="H119" s="215"/>
      <c r="I119" s="215"/>
      <c r="J119" s="215"/>
      <c r="K119" s="215"/>
      <c r="L119" s="215"/>
    </row>
    <row r="120" spans="2:12">
      <c r="B120" s="215"/>
      <c r="C120" s="215"/>
      <c r="D120" s="215"/>
      <c r="E120" s="215"/>
      <c r="F120" s="215"/>
      <c r="G120" s="215"/>
      <c r="H120" s="215"/>
      <c r="I120" s="215"/>
      <c r="J120" s="215"/>
      <c r="K120" s="215"/>
      <c r="L120" s="215"/>
    </row>
    <row r="121" spans="2:12">
      <c r="B121" s="215"/>
      <c r="C121" s="215"/>
      <c r="D121" s="215"/>
      <c r="E121" s="215"/>
      <c r="F121" s="215"/>
      <c r="G121" s="215"/>
      <c r="H121" s="215"/>
      <c r="I121" s="215"/>
      <c r="J121" s="215"/>
      <c r="K121" s="215"/>
      <c r="L121" s="215"/>
    </row>
    <row r="122" spans="2:12">
      <c r="B122" s="215"/>
      <c r="C122" s="215"/>
      <c r="D122" s="215"/>
      <c r="E122" s="215"/>
      <c r="F122" s="215"/>
      <c r="G122" s="215"/>
      <c r="H122" s="215"/>
      <c r="I122" s="215"/>
      <c r="J122" s="215"/>
      <c r="K122" s="215"/>
      <c r="L122" s="215"/>
    </row>
    <row r="123" spans="2:12">
      <c r="B123" s="215"/>
      <c r="C123" s="215"/>
      <c r="D123" s="215"/>
      <c r="E123" s="215"/>
      <c r="F123" s="215"/>
      <c r="G123" s="215"/>
      <c r="H123" s="215"/>
      <c r="I123" s="215"/>
      <c r="J123" s="215"/>
      <c r="K123" s="215"/>
      <c r="L123" s="215"/>
    </row>
    <row r="124" spans="2:12">
      <c r="B124" s="215"/>
      <c r="C124" s="215"/>
      <c r="D124" s="215"/>
      <c r="E124" s="215"/>
      <c r="F124" s="215"/>
      <c r="G124" s="215"/>
      <c r="H124" s="215"/>
      <c r="I124" s="215"/>
      <c r="J124" s="215"/>
      <c r="K124" s="215"/>
      <c r="L124" s="215"/>
    </row>
    <row r="125" spans="2:12">
      <c r="B125" s="215"/>
      <c r="C125" s="215"/>
      <c r="D125" s="215"/>
      <c r="E125" s="215"/>
      <c r="F125" s="215"/>
      <c r="G125" s="215"/>
      <c r="H125" s="215"/>
      <c r="I125" s="215"/>
      <c r="J125" s="215"/>
      <c r="K125" s="215"/>
      <c r="L125" s="215"/>
    </row>
    <row r="126" spans="2:12">
      <c r="B126" s="215"/>
      <c r="C126" s="215"/>
      <c r="D126" s="215"/>
      <c r="E126" s="215"/>
      <c r="F126" s="215"/>
      <c r="G126" s="215"/>
      <c r="H126" s="215"/>
      <c r="I126" s="215"/>
      <c r="J126" s="215"/>
      <c r="K126" s="215"/>
      <c r="L126" s="215"/>
    </row>
    <row r="127" spans="2:12">
      <c r="B127" s="215"/>
      <c r="C127" s="215"/>
      <c r="D127" s="215"/>
      <c r="E127" s="215"/>
      <c r="F127" s="215"/>
      <c r="G127" s="215"/>
      <c r="H127" s="215"/>
      <c r="I127" s="215"/>
      <c r="J127" s="215"/>
      <c r="K127" s="215"/>
      <c r="L127" s="215"/>
    </row>
    <row r="128" spans="2:12">
      <c r="B128" s="215"/>
      <c r="C128" s="215"/>
      <c r="D128" s="215"/>
      <c r="E128" s="215"/>
      <c r="F128" s="215"/>
      <c r="G128" s="215"/>
      <c r="H128" s="215"/>
      <c r="I128" s="215"/>
      <c r="J128" s="215"/>
      <c r="K128" s="215"/>
      <c r="L128" s="215"/>
    </row>
    <row r="129" spans="2:12">
      <c r="B129" s="215"/>
      <c r="C129" s="215"/>
      <c r="D129" s="215"/>
      <c r="E129" s="215"/>
      <c r="F129" s="215"/>
      <c r="G129" s="215"/>
      <c r="H129" s="215"/>
      <c r="I129" s="215"/>
      <c r="J129" s="215"/>
      <c r="K129" s="215"/>
      <c r="L129" s="215"/>
    </row>
    <row r="130" spans="2:12">
      <c r="B130" s="215"/>
      <c r="C130" s="215"/>
      <c r="D130" s="215"/>
      <c r="E130" s="215"/>
      <c r="F130" s="215"/>
      <c r="G130" s="215"/>
      <c r="H130" s="215"/>
      <c r="I130" s="215"/>
      <c r="J130" s="215"/>
      <c r="K130" s="215"/>
      <c r="L130" s="215"/>
    </row>
    <row r="131" spans="2:12">
      <c r="B131" s="215"/>
      <c r="C131" s="215"/>
      <c r="D131" s="215"/>
      <c r="E131" s="215"/>
      <c r="F131" s="215"/>
      <c r="G131" s="215"/>
      <c r="H131" s="215"/>
      <c r="I131" s="215"/>
      <c r="J131" s="215"/>
      <c r="K131" s="215"/>
      <c r="L131" s="215"/>
    </row>
    <row r="132" spans="2:12">
      <c r="B132" s="215"/>
      <c r="C132" s="215"/>
      <c r="D132" s="215"/>
      <c r="E132" s="215"/>
      <c r="F132" s="215"/>
      <c r="G132" s="215"/>
      <c r="H132" s="215"/>
      <c r="I132" s="215"/>
      <c r="J132" s="215"/>
      <c r="K132" s="215"/>
      <c r="L132" s="215"/>
    </row>
    <row r="133" spans="2:12">
      <c r="B133" s="215"/>
      <c r="C133" s="215"/>
      <c r="D133" s="215"/>
      <c r="E133" s="215"/>
      <c r="F133" s="215"/>
      <c r="G133" s="215"/>
      <c r="H133" s="215"/>
      <c r="I133" s="215"/>
      <c r="J133" s="215"/>
      <c r="K133" s="215"/>
      <c r="L133" s="215"/>
    </row>
    <row r="134" spans="2:12">
      <c r="B134" s="215"/>
      <c r="C134" s="215"/>
      <c r="D134" s="215"/>
      <c r="E134" s="215"/>
      <c r="F134" s="215"/>
      <c r="G134" s="215"/>
      <c r="H134" s="215"/>
      <c r="I134" s="215"/>
      <c r="J134" s="215"/>
      <c r="K134" s="215"/>
      <c r="L134" s="215"/>
    </row>
    <row r="135" spans="2:12">
      <c r="B135" s="215"/>
      <c r="C135" s="215"/>
      <c r="D135" s="215"/>
      <c r="E135" s="215"/>
      <c r="F135" s="215"/>
      <c r="G135" s="215"/>
      <c r="H135" s="215"/>
      <c r="I135" s="215"/>
      <c r="J135" s="215"/>
      <c r="K135" s="215"/>
      <c r="L135" s="215"/>
    </row>
    <row r="136" spans="2:12">
      <c r="B136" s="215"/>
      <c r="C136" s="215"/>
      <c r="D136" s="215"/>
      <c r="E136" s="215"/>
      <c r="F136" s="215"/>
      <c r="G136" s="215"/>
      <c r="H136" s="215"/>
      <c r="I136" s="215"/>
      <c r="J136" s="215"/>
      <c r="K136" s="215"/>
      <c r="L136" s="215"/>
    </row>
    <row r="137" spans="2:12">
      <c r="B137" s="215"/>
      <c r="C137" s="215"/>
      <c r="D137" s="215"/>
      <c r="E137" s="215"/>
      <c r="F137" s="215"/>
      <c r="G137" s="215"/>
      <c r="H137" s="215"/>
      <c r="I137" s="215"/>
      <c r="J137" s="215"/>
      <c r="K137" s="215"/>
      <c r="L137" s="215"/>
    </row>
    <row r="138" spans="2:12">
      <c r="B138" s="215"/>
      <c r="C138" s="215"/>
      <c r="D138" s="215"/>
      <c r="E138" s="215"/>
      <c r="F138" s="215"/>
      <c r="G138" s="215"/>
      <c r="H138" s="215"/>
      <c r="I138" s="215"/>
      <c r="J138" s="215"/>
      <c r="K138" s="215"/>
      <c r="L138" s="215"/>
    </row>
    <row r="139" spans="2:12">
      <c r="B139" s="215"/>
      <c r="C139" s="215"/>
      <c r="D139" s="215"/>
      <c r="E139" s="215"/>
      <c r="F139" s="215"/>
      <c r="G139" s="215"/>
      <c r="H139" s="215"/>
      <c r="I139" s="215"/>
      <c r="J139" s="215"/>
      <c r="K139" s="215"/>
      <c r="L139" s="215"/>
    </row>
    <row r="140" spans="2:12">
      <c r="B140" s="215"/>
      <c r="C140" s="215"/>
      <c r="D140" s="215"/>
      <c r="E140" s="215"/>
      <c r="F140" s="215"/>
      <c r="G140" s="215"/>
      <c r="H140" s="215"/>
      <c r="I140" s="215"/>
      <c r="J140" s="215"/>
      <c r="K140" s="215"/>
      <c r="L140" s="215"/>
    </row>
    <row r="141" spans="2:12">
      <c r="B141" s="215"/>
      <c r="C141" s="215"/>
      <c r="D141" s="215"/>
      <c r="E141" s="215"/>
      <c r="F141" s="215"/>
      <c r="G141" s="215"/>
      <c r="H141" s="215"/>
      <c r="I141" s="215"/>
      <c r="J141" s="215"/>
      <c r="K141" s="215"/>
      <c r="L141" s="215"/>
    </row>
    <row r="142" spans="2:12">
      <c r="B142" s="215"/>
      <c r="C142" s="215"/>
      <c r="D142" s="215"/>
      <c r="E142" s="215"/>
      <c r="F142" s="215"/>
      <c r="G142" s="215"/>
      <c r="H142" s="215"/>
      <c r="I142" s="215"/>
      <c r="J142" s="215"/>
      <c r="K142" s="215"/>
      <c r="L142" s="215"/>
    </row>
    <row r="143" spans="2:12">
      <c r="B143" s="215"/>
      <c r="C143" s="215"/>
      <c r="D143" s="215"/>
      <c r="E143" s="215"/>
      <c r="F143" s="215"/>
      <c r="G143" s="215"/>
      <c r="H143" s="215"/>
      <c r="I143" s="215"/>
      <c r="J143" s="215"/>
      <c r="K143" s="215"/>
      <c r="L143" s="215"/>
    </row>
    <row r="144" spans="2:12">
      <c r="B144" s="215"/>
      <c r="C144" s="215"/>
      <c r="D144" s="215"/>
      <c r="E144" s="215"/>
      <c r="F144" s="215"/>
      <c r="G144" s="215"/>
      <c r="H144" s="215"/>
      <c r="I144" s="215"/>
      <c r="J144" s="215"/>
      <c r="K144" s="215"/>
      <c r="L144" s="215"/>
    </row>
    <row r="145" spans="2:12">
      <c r="B145" s="215"/>
      <c r="C145" s="215"/>
      <c r="D145" s="215"/>
      <c r="E145" s="215"/>
      <c r="F145" s="215"/>
      <c r="G145" s="215"/>
      <c r="H145" s="215"/>
      <c r="I145" s="215"/>
      <c r="J145" s="215"/>
      <c r="K145" s="215"/>
      <c r="L145" s="215"/>
    </row>
    <row r="146" spans="2:12">
      <c r="B146" s="215"/>
      <c r="C146" s="215"/>
      <c r="D146" s="215"/>
      <c r="E146" s="215"/>
      <c r="F146" s="215"/>
      <c r="G146" s="215"/>
      <c r="H146" s="215"/>
      <c r="I146" s="215"/>
      <c r="J146" s="215"/>
      <c r="K146" s="215"/>
      <c r="L146" s="215"/>
    </row>
    <row r="147" spans="2:12">
      <c r="B147" s="215"/>
      <c r="C147" s="215"/>
      <c r="D147" s="215"/>
      <c r="E147" s="215"/>
      <c r="F147" s="215"/>
      <c r="G147" s="215"/>
      <c r="H147" s="215"/>
      <c r="I147" s="215"/>
      <c r="J147" s="215"/>
      <c r="K147" s="215"/>
      <c r="L147" s="215"/>
    </row>
    <row r="148" spans="2:12">
      <c r="B148" s="215"/>
      <c r="C148" s="215"/>
      <c r="D148" s="215"/>
      <c r="E148" s="215"/>
      <c r="F148" s="215"/>
      <c r="G148" s="215"/>
      <c r="H148" s="215"/>
      <c r="I148" s="215"/>
      <c r="J148" s="215"/>
      <c r="K148" s="215"/>
      <c r="L148" s="215"/>
    </row>
    <row r="149" spans="2:12">
      <c r="B149" s="215"/>
      <c r="C149" s="215"/>
      <c r="D149" s="215"/>
      <c r="E149" s="215"/>
      <c r="F149" s="215"/>
      <c r="G149" s="215"/>
      <c r="H149" s="215"/>
      <c r="I149" s="215"/>
      <c r="J149" s="215"/>
      <c r="K149" s="215"/>
      <c r="L149" s="215"/>
    </row>
    <row r="150" spans="2:12">
      <c r="B150" s="215"/>
      <c r="C150" s="215"/>
      <c r="D150" s="215"/>
      <c r="E150" s="215"/>
      <c r="F150" s="215"/>
      <c r="G150" s="215"/>
      <c r="H150" s="215"/>
      <c r="I150" s="215"/>
      <c r="J150" s="215"/>
      <c r="K150" s="215"/>
      <c r="L150" s="215"/>
    </row>
    <row r="151" spans="2:12">
      <c r="B151" s="215"/>
      <c r="C151" s="215"/>
      <c r="D151" s="215"/>
      <c r="E151" s="215"/>
      <c r="F151" s="215"/>
      <c r="G151" s="215"/>
      <c r="H151" s="215"/>
      <c r="I151" s="215"/>
      <c r="J151" s="215"/>
      <c r="K151" s="215"/>
      <c r="L151" s="215"/>
    </row>
    <row r="152" spans="2:12">
      <c r="B152" s="215"/>
      <c r="C152" s="215"/>
      <c r="D152" s="215"/>
      <c r="E152" s="215"/>
      <c r="F152" s="215"/>
      <c r="G152" s="215"/>
      <c r="H152" s="215"/>
      <c r="I152" s="215"/>
      <c r="J152" s="215"/>
      <c r="K152" s="215"/>
      <c r="L152" s="215"/>
    </row>
    <row r="153" spans="2:12">
      <c r="B153" s="215"/>
      <c r="C153" s="215"/>
      <c r="D153" s="215"/>
      <c r="E153" s="215"/>
      <c r="F153" s="215"/>
      <c r="G153" s="215"/>
      <c r="H153" s="215"/>
      <c r="I153" s="215"/>
      <c r="J153" s="215"/>
      <c r="K153" s="215"/>
      <c r="L153" s="215"/>
    </row>
    <row r="154" spans="2:12">
      <c r="B154" s="215"/>
      <c r="C154" s="215"/>
      <c r="D154" s="215"/>
      <c r="E154" s="215"/>
      <c r="F154" s="215"/>
      <c r="G154" s="215"/>
      <c r="H154" s="215"/>
      <c r="I154" s="215"/>
      <c r="J154" s="215"/>
      <c r="K154" s="215"/>
      <c r="L154" s="215"/>
    </row>
    <row r="155" spans="2:12">
      <c r="B155" s="215"/>
      <c r="C155" s="215"/>
      <c r="D155" s="215"/>
      <c r="E155" s="215"/>
      <c r="F155" s="215"/>
      <c r="G155" s="215"/>
      <c r="H155" s="215"/>
      <c r="I155" s="215"/>
      <c r="J155" s="215"/>
      <c r="K155" s="215"/>
      <c r="L155" s="215"/>
    </row>
    <row r="156" spans="2:12">
      <c r="B156" s="215"/>
      <c r="C156" s="215"/>
      <c r="D156" s="215"/>
      <c r="E156" s="215"/>
      <c r="F156" s="215"/>
      <c r="G156" s="215"/>
      <c r="H156" s="215"/>
      <c r="I156" s="215"/>
      <c r="J156" s="215"/>
      <c r="K156" s="215"/>
      <c r="L156" s="215"/>
    </row>
    <row r="157" spans="2:12">
      <c r="B157" s="215"/>
      <c r="C157" s="215"/>
      <c r="D157" s="215"/>
      <c r="E157" s="215"/>
      <c r="F157" s="215"/>
      <c r="G157" s="215"/>
      <c r="H157" s="215"/>
      <c r="I157" s="215"/>
      <c r="J157" s="215"/>
      <c r="K157" s="215"/>
      <c r="L157" s="215"/>
    </row>
    <row r="158" spans="2:12">
      <c r="B158" s="215"/>
      <c r="C158" s="215"/>
      <c r="D158" s="215"/>
      <c r="E158" s="215"/>
      <c r="F158" s="215"/>
      <c r="G158" s="215"/>
      <c r="H158" s="215"/>
      <c r="I158" s="215"/>
      <c r="J158" s="215"/>
      <c r="K158" s="215"/>
      <c r="L158" s="215"/>
    </row>
    <row r="159" spans="2:12">
      <c r="B159" s="215"/>
      <c r="C159" s="215"/>
      <c r="D159" s="215"/>
      <c r="E159" s="215"/>
      <c r="F159" s="215"/>
      <c r="G159" s="215"/>
      <c r="H159" s="215"/>
      <c r="I159" s="215"/>
      <c r="J159" s="215"/>
      <c r="K159" s="215"/>
      <c r="L159" s="215"/>
    </row>
    <row r="160" spans="2:12">
      <c r="B160" s="215"/>
      <c r="C160" s="215"/>
      <c r="D160" s="215"/>
      <c r="E160" s="215"/>
      <c r="F160" s="215"/>
      <c r="G160" s="215"/>
      <c r="H160" s="215"/>
      <c r="I160" s="215"/>
      <c r="J160" s="215"/>
      <c r="K160" s="215"/>
      <c r="L160" s="215"/>
    </row>
    <row r="161" spans="2:12">
      <c r="B161" s="215"/>
      <c r="C161" s="215"/>
      <c r="D161" s="215"/>
      <c r="E161" s="215"/>
      <c r="F161" s="215"/>
      <c r="G161" s="215"/>
      <c r="H161" s="215"/>
      <c r="I161" s="215"/>
      <c r="J161" s="215"/>
      <c r="K161" s="215"/>
      <c r="L161" s="215"/>
    </row>
    <row r="162" spans="2:12">
      <c r="B162" s="215"/>
      <c r="C162" s="215"/>
      <c r="D162" s="215"/>
      <c r="E162" s="215"/>
      <c r="F162" s="215"/>
      <c r="G162" s="215"/>
      <c r="H162" s="215"/>
      <c r="I162" s="215"/>
      <c r="J162" s="215"/>
      <c r="K162" s="215"/>
      <c r="L162" s="215"/>
    </row>
    <row r="163" spans="2:12">
      <c r="B163" s="215"/>
      <c r="C163" s="215"/>
      <c r="D163" s="215"/>
      <c r="E163" s="215"/>
      <c r="F163" s="215"/>
      <c r="G163" s="215"/>
      <c r="H163" s="215"/>
      <c r="I163" s="215"/>
      <c r="J163" s="215"/>
      <c r="K163" s="215"/>
      <c r="L163" s="215"/>
    </row>
    <row r="164" spans="2:12">
      <c r="B164" s="215"/>
      <c r="C164" s="215"/>
      <c r="D164" s="215"/>
      <c r="E164" s="215"/>
      <c r="F164" s="215"/>
      <c r="G164" s="215"/>
      <c r="H164" s="215"/>
      <c r="I164" s="215"/>
      <c r="J164" s="215"/>
      <c r="K164" s="215"/>
      <c r="L164" s="215"/>
    </row>
    <row r="165" spans="2:12">
      <c r="B165" s="215"/>
      <c r="C165" s="215"/>
      <c r="D165" s="215"/>
      <c r="E165" s="215"/>
      <c r="F165" s="215"/>
      <c r="G165" s="215"/>
      <c r="H165" s="215"/>
      <c r="I165" s="215"/>
      <c r="J165" s="215"/>
      <c r="K165" s="215"/>
      <c r="L165" s="215"/>
    </row>
    <row r="166" spans="2:12">
      <c r="B166" s="215"/>
      <c r="C166" s="215"/>
      <c r="D166" s="215"/>
      <c r="E166" s="215"/>
      <c r="F166" s="215"/>
      <c r="G166" s="215"/>
      <c r="H166" s="215"/>
      <c r="I166" s="215"/>
      <c r="J166" s="215"/>
      <c r="K166" s="215"/>
      <c r="L166" s="215"/>
    </row>
    <row r="167" spans="2:12">
      <c r="B167" s="215"/>
      <c r="C167" s="215"/>
      <c r="D167" s="215"/>
      <c r="E167" s="215"/>
      <c r="F167" s="215"/>
      <c r="G167" s="215"/>
      <c r="H167" s="215"/>
      <c r="I167" s="215"/>
      <c r="J167" s="215"/>
      <c r="K167" s="215"/>
      <c r="L167" s="215"/>
    </row>
    <row r="168" spans="2:12">
      <c r="B168" s="215"/>
      <c r="C168" s="215"/>
      <c r="D168" s="215"/>
      <c r="E168" s="215"/>
      <c r="F168" s="215"/>
      <c r="G168" s="215"/>
      <c r="H168" s="215"/>
      <c r="I168" s="215"/>
      <c r="J168" s="215"/>
      <c r="K168" s="215"/>
      <c r="L168" s="215"/>
    </row>
    <row r="169" spans="2:12">
      <c r="B169" s="215"/>
      <c r="C169" s="215"/>
      <c r="D169" s="215"/>
      <c r="E169" s="215"/>
      <c r="F169" s="215"/>
      <c r="G169" s="215"/>
      <c r="H169" s="215"/>
      <c r="I169" s="215"/>
      <c r="J169" s="215"/>
      <c r="K169" s="215"/>
      <c r="L169" s="215"/>
    </row>
    <row r="170" spans="2:12">
      <c r="B170" s="215"/>
      <c r="C170" s="215"/>
      <c r="D170" s="215"/>
      <c r="E170" s="215"/>
      <c r="F170" s="215"/>
      <c r="G170" s="215"/>
      <c r="H170" s="215"/>
      <c r="I170" s="215"/>
      <c r="J170" s="215"/>
      <c r="K170" s="215"/>
      <c r="L170" s="215"/>
    </row>
    <row r="171" spans="2:12">
      <c r="B171" s="215"/>
      <c r="C171" s="215"/>
      <c r="D171" s="215"/>
      <c r="E171" s="215"/>
      <c r="F171" s="215"/>
      <c r="G171" s="215"/>
      <c r="H171" s="215"/>
      <c r="I171" s="215"/>
      <c r="J171" s="215"/>
      <c r="K171" s="215"/>
      <c r="L171" s="215"/>
    </row>
    <row r="172" spans="2:12">
      <c r="B172" s="215"/>
      <c r="C172" s="215"/>
      <c r="D172" s="215"/>
      <c r="E172" s="215"/>
      <c r="F172" s="215"/>
      <c r="G172" s="215"/>
      <c r="H172" s="215"/>
      <c r="I172" s="215"/>
      <c r="J172" s="215"/>
      <c r="K172" s="215"/>
      <c r="L172" s="215"/>
    </row>
    <row r="173" spans="2:12">
      <c r="B173" s="215"/>
      <c r="C173" s="215"/>
      <c r="D173" s="215"/>
      <c r="E173" s="215"/>
      <c r="F173" s="215"/>
      <c r="G173" s="215"/>
      <c r="H173" s="215"/>
      <c r="I173" s="215"/>
      <c r="J173" s="215"/>
      <c r="K173" s="215"/>
      <c r="L173" s="215"/>
    </row>
    <row r="174" spans="2:12">
      <c r="B174" s="215"/>
      <c r="C174" s="215"/>
      <c r="D174" s="215"/>
      <c r="E174" s="215"/>
      <c r="F174" s="215"/>
      <c r="G174" s="215"/>
      <c r="H174" s="215"/>
      <c r="I174" s="215"/>
      <c r="J174" s="215"/>
      <c r="K174" s="215"/>
      <c r="L174" s="215"/>
    </row>
    <row r="175" spans="2:12">
      <c r="B175" s="215"/>
      <c r="C175" s="215"/>
      <c r="D175" s="215"/>
      <c r="E175" s="215"/>
      <c r="F175" s="215"/>
      <c r="G175" s="215"/>
      <c r="H175" s="215"/>
      <c r="I175" s="215"/>
      <c r="J175" s="215"/>
      <c r="K175" s="215"/>
      <c r="L175" s="215"/>
    </row>
    <row r="176" spans="2:12">
      <c r="B176" s="215"/>
      <c r="C176" s="215"/>
      <c r="D176" s="215"/>
      <c r="E176" s="215"/>
      <c r="F176" s="215"/>
      <c r="G176" s="215"/>
      <c r="H176" s="215"/>
      <c r="I176" s="215"/>
      <c r="J176" s="215"/>
      <c r="K176" s="215"/>
      <c r="L176" s="215"/>
    </row>
    <row r="177" spans="2:12">
      <c r="B177" s="215"/>
      <c r="C177" s="215"/>
      <c r="D177" s="215"/>
      <c r="E177" s="215"/>
      <c r="F177" s="215"/>
      <c r="G177" s="215"/>
      <c r="H177" s="215"/>
      <c r="I177" s="215"/>
      <c r="J177" s="215"/>
      <c r="K177" s="215"/>
      <c r="L177" s="215"/>
    </row>
    <row r="178" spans="2:12">
      <c r="B178" s="215"/>
      <c r="C178" s="215"/>
      <c r="D178" s="215"/>
      <c r="E178" s="215"/>
      <c r="F178" s="215"/>
      <c r="G178" s="215"/>
      <c r="H178" s="215"/>
      <c r="I178" s="215"/>
      <c r="J178" s="215"/>
      <c r="K178" s="215"/>
      <c r="L178" s="215"/>
    </row>
    <row r="179" spans="2:12">
      <c r="B179" s="215"/>
      <c r="C179" s="215"/>
      <c r="D179" s="215"/>
      <c r="E179" s="215"/>
      <c r="F179" s="215"/>
      <c r="G179" s="215"/>
      <c r="H179" s="215"/>
      <c r="I179" s="215"/>
      <c r="J179" s="215"/>
      <c r="K179" s="215"/>
      <c r="L179" s="215"/>
    </row>
    <row r="180" spans="2:12">
      <c r="B180" s="215"/>
      <c r="C180" s="215"/>
      <c r="D180" s="215"/>
      <c r="E180" s="215"/>
      <c r="F180" s="215"/>
      <c r="G180" s="215"/>
      <c r="H180" s="215"/>
      <c r="I180" s="215"/>
      <c r="J180" s="215"/>
      <c r="K180" s="215"/>
      <c r="L180" s="215"/>
    </row>
    <row r="181" spans="2:12">
      <c r="B181" s="215"/>
      <c r="C181" s="215"/>
      <c r="D181" s="215"/>
      <c r="E181" s="215"/>
      <c r="F181" s="215"/>
      <c r="G181" s="215"/>
      <c r="H181" s="215"/>
      <c r="I181" s="215"/>
      <c r="J181" s="215"/>
      <c r="K181" s="215"/>
      <c r="L181" s="215"/>
    </row>
    <row r="182" spans="2:12">
      <c r="B182" s="215"/>
      <c r="C182" s="215"/>
      <c r="D182" s="215"/>
      <c r="E182" s="215"/>
      <c r="F182" s="215"/>
      <c r="G182" s="215"/>
      <c r="H182" s="215"/>
      <c r="I182" s="215"/>
      <c r="J182" s="215"/>
      <c r="K182" s="215"/>
      <c r="L182" s="215"/>
    </row>
    <row r="183" spans="2:12">
      <c r="B183" s="215"/>
      <c r="C183" s="215"/>
      <c r="D183" s="215"/>
      <c r="E183" s="215"/>
      <c r="F183" s="215"/>
      <c r="G183" s="215"/>
      <c r="H183" s="215"/>
      <c r="I183" s="215"/>
      <c r="J183" s="215"/>
      <c r="K183" s="215"/>
      <c r="L183" s="215"/>
    </row>
    <row r="184" spans="2:12">
      <c r="B184" s="215"/>
      <c r="C184" s="215"/>
      <c r="D184" s="215"/>
      <c r="E184" s="215"/>
      <c r="F184" s="215"/>
      <c r="G184" s="215"/>
      <c r="H184" s="215"/>
      <c r="I184" s="215"/>
      <c r="J184" s="215"/>
      <c r="K184" s="215"/>
      <c r="L184" s="215"/>
    </row>
    <row r="185" spans="2:12">
      <c r="B185" s="215"/>
      <c r="C185" s="215"/>
      <c r="D185" s="215"/>
      <c r="E185" s="215"/>
      <c r="F185" s="215"/>
      <c r="G185" s="215"/>
      <c r="H185" s="215"/>
      <c r="I185" s="215"/>
      <c r="J185" s="215"/>
      <c r="K185" s="215"/>
      <c r="L185" s="215"/>
    </row>
    <row r="186" spans="2:12">
      <c r="B186" s="215"/>
      <c r="C186" s="215"/>
      <c r="D186" s="215"/>
      <c r="E186" s="215"/>
      <c r="F186" s="215"/>
      <c r="G186" s="215"/>
      <c r="H186" s="215"/>
      <c r="I186" s="215"/>
      <c r="J186" s="215"/>
      <c r="K186" s="215"/>
      <c r="L186" s="215"/>
    </row>
    <row r="187" spans="2:12">
      <c r="B187" s="215"/>
      <c r="C187" s="215"/>
      <c r="D187" s="215"/>
      <c r="E187" s="215"/>
      <c r="F187" s="215"/>
      <c r="G187" s="215"/>
      <c r="H187" s="215"/>
      <c r="I187" s="215"/>
      <c r="J187" s="215"/>
      <c r="K187" s="215"/>
      <c r="L187" s="215"/>
    </row>
    <row r="188" spans="2:12">
      <c r="B188" s="215"/>
      <c r="C188" s="215"/>
      <c r="D188" s="215"/>
      <c r="E188" s="215"/>
      <c r="F188" s="215"/>
      <c r="G188" s="215"/>
      <c r="H188" s="215"/>
      <c r="I188" s="215"/>
      <c r="J188" s="215"/>
      <c r="K188" s="215"/>
      <c r="L188" s="215"/>
    </row>
    <row r="189" spans="2:12">
      <c r="B189" s="215"/>
      <c r="C189" s="215"/>
      <c r="D189" s="215"/>
      <c r="E189" s="215"/>
      <c r="F189" s="215"/>
      <c r="G189" s="215"/>
      <c r="H189" s="215"/>
      <c r="I189" s="215"/>
      <c r="J189" s="215"/>
      <c r="K189" s="215"/>
      <c r="L189" s="215"/>
    </row>
    <row r="190" spans="2:12">
      <c r="B190" s="215"/>
      <c r="C190" s="215"/>
      <c r="D190" s="215"/>
      <c r="E190" s="215"/>
      <c r="F190" s="215"/>
      <c r="G190" s="215"/>
      <c r="H190" s="215"/>
      <c r="I190" s="215"/>
      <c r="J190" s="215"/>
      <c r="K190" s="215"/>
      <c r="L190" s="215"/>
    </row>
    <row r="191" spans="2:12">
      <c r="B191" s="215"/>
      <c r="C191" s="215"/>
      <c r="D191" s="215"/>
      <c r="E191" s="215"/>
      <c r="F191" s="215"/>
      <c r="G191" s="215"/>
      <c r="H191" s="215"/>
      <c r="I191" s="215"/>
      <c r="J191" s="215"/>
      <c r="K191" s="215"/>
      <c r="L191" s="215"/>
    </row>
    <row r="192" spans="2:12">
      <c r="B192" s="215"/>
      <c r="C192" s="215"/>
      <c r="D192" s="215"/>
      <c r="E192" s="215"/>
      <c r="F192" s="215"/>
      <c r="G192" s="215"/>
      <c r="H192" s="215"/>
      <c r="I192" s="215"/>
      <c r="J192" s="215"/>
      <c r="K192" s="215"/>
      <c r="L192" s="215"/>
    </row>
    <row r="193" spans="2:12">
      <c r="B193" s="215"/>
      <c r="C193" s="215"/>
      <c r="D193" s="215"/>
      <c r="E193" s="215"/>
      <c r="F193" s="215"/>
      <c r="G193" s="215"/>
      <c r="H193" s="215"/>
      <c r="I193" s="215"/>
      <c r="J193" s="215"/>
      <c r="K193" s="215"/>
      <c r="L193" s="215"/>
    </row>
    <row r="194" spans="2:12">
      <c r="B194" s="215"/>
      <c r="C194" s="215"/>
      <c r="D194" s="215"/>
      <c r="E194" s="215"/>
      <c r="F194" s="215"/>
      <c r="G194" s="215"/>
      <c r="H194" s="215"/>
      <c r="I194" s="215"/>
      <c r="J194" s="215"/>
      <c r="K194" s="215"/>
      <c r="L194" s="215"/>
    </row>
    <row r="195" spans="2:12">
      <c r="B195" s="215"/>
      <c r="C195" s="215"/>
      <c r="D195" s="215"/>
      <c r="E195" s="215"/>
      <c r="F195" s="215"/>
      <c r="G195" s="215"/>
      <c r="H195" s="215"/>
      <c r="I195" s="215"/>
      <c r="J195" s="215"/>
      <c r="K195" s="215"/>
      <c r="L195" s="215"/>
    </row>
    <row r="196" spans="2:12">
      <c r="B196" s="215"/>
      <c r="C196" s="215"/>
      <c r="D196" s="215"/>
      <c r="E196" s="215"/>
      <c r="F196" s="215"/>
      <c r="G196" s="215"/>
      <c r="H196" s="215"/>
      <c r="I196" s="215"/>
      <c r="J196" s="215"/>
      <c r="K196" s="215"/>
      <c r="L196" s="215"/>
    </row>
    <row r="197" spans="2:12">
      <c r="B197" s="215"/>
      <c r="C197" s="215"/>
      <c r="D197" s="215"/>
      <c r="E197" s="215"/>
      <c r="F197" s="215"/>
      <c r="G197" s="215"/>
      <c r="H197" s="215"/>
      <c r="I197" s="215"/>
      <c r="J197" s="215"/>
      <c r="K197" s="215"/>
      <c r="L197" s="215"/>
    </row>
    <row r="198" spans="2:12">
      <c r="B198" s="215"/>
      <c r="C198" s="215"/>
      <c r="D198" s="215"/>
      <c r="E198" s="215"/>
      <c r="F198" s="215"/>
      <c r="G198" s="215"/>
      <c r="H198" s="215"/>
      <c r="I198" s="215"/>
      <c r="J198" s="215"/>
      <c r="K198" s="215"/>
      <c r="L198" s="215"/>
    </row>
    <row r="199" spans="2:12">
      <c r="B199" s="215"/>
      <c r="C199" s="215"/>
      <c r="D199" s="215"/>
      <c r="E199" s="215"/>
      <c r="F199" s="215"/>
      <c r="G199" s="215"/>
      <c r="H199" s="215"/>
      <c r="I199" s="215"/>
      <c r="J199" s="215"/>
      <c r="K199" s="215"/>
      <c r="L199" s="215"/>
    </row>
    <row r="200" spans="2:12">
      <c r="B200" s="215"/>
      <c r="C200" s="215"/>
      <c r="D200" s="215"/>
      <c r="E200" s="215"/>
      <c r="F200" s="215"/>
      <c r="G200" s="215"/>
      <c r="H200" s="215"/>
      <c r="I200" s="215"/>
      <c r="J200" s="215"/>
      <c r="K200" s="215"/>
      <c r="L200" s="215"/>
    </row>
    <row r="201" spans="2:12">
      <c r="B201" s="215"/>
      <c r="C201" s="215"/>
      <c r="D201" s="215"/>
      <c r="E201" s="215"/>
      <c r="F201" s="215"/>
      <c r="G201" s="215"/>
      <c r="H201" s="215"/>
      <c r="I201" s="215"/>
      <c r="J201" s="215"/>
      <c r="K201" s="215"/>
      <c r="L201" s="215"/>
    </row>
    <row r="202" spans="2:12">
      <c r="B202" s="215"/>
      <c r="C202" s="215"/>
      <c r="D202" s="215"/>
      <c r="E202" s="215"/>
      <c r="F202" s="215"/>
      <c r="G202" s="215"/>
      <c r="H202" s="215"/>
      <c r="I202" s="215"/>
      <c r="J202" s="215"/>
      <c r="K202" s="215"/>
      <c r="L202" s="215"/>
    </row>
    <row r="203" spans="2:12">
      <c r="B203" s="215"/>
      <c r="C203" s="215"/>
      <c r="D203" s="215"/>
      <c r="E203" s="215"/>
      <c r="F203" s="215"/>
      <c r="G203" s="215"/>
      <c r="H203" s="215"/>
      <c r="I203" s="215"/>
      <c r="J203" s="215"/>
      <c r="K203" s="215"/>
      <c r="L203" s="215"/>
    </row>
    <row r="204" spans="2:12">
      <c r="B204" s="215"/>
      <c r="C204" s="215"/>
      <c r="D204" s="215"/>
      <c r="E204" s="215"/>
      <c r="F204" s="215"/>
      <c r="G204" s="215"/>
      <c r="H204" s="215"/>
      <c r="I204" s="215"/>
      <c r="J204" s="215"/>
      <c r="K204" s="215"/>
      <c r="L204" s="215"/>
    </row>
    <row r="205" spans="2:12">
      <c r="B205" s="215"/>
      <c r="C205" s="215"/>
      <c r="D205" s="215"/>
      <c r="E205" s="215"/>
      <c r="F205" s="215"/>
      <c r="G205" s="215"/>
      <c r="H205" s="215"/>
      <c r="I205" s="215"/>
      <c r="J205" s="215"/>
      <c r="K205" s="215"/>
      <c r="L205" s="215"/>
    </row>
    <row r="206" spans="2:12">
      <c r="B206" s="215"/>
      <c r="C206" s="215"/>
      <c r="D206" s="215"/>
      <c r="E206" s="215"/>
      <c r="F206" s="215"/>
      <c r="G206" s="215"/>
      <c r="H206" s="215"/>
      <c r="I206" s="215"/>
      <c r="J206" s="215"/>
      <c r="K206" s="215"/>
      <c r="L206" s="215"/>
    </row>
    <row r="207" spans="2:12">
      <c r="B207" s="215"/>
      <c r="C207" s="215"/>
      <c r="D207" s="215"/>
      <c r="E207" s="215"/>
      <c r="F207" s="215"/>
      <c r="G207" s="215"/>
      <c r="H207" s="215"/>
      <c r="I207" s="215"/>
      <c r="J207" s="215"/>
      <c r="K207" s="215"/>
      <c r="L207" s="215"/>
    </row>
    <row r="208" spans="2:12">
      <c r="B208" s="215"/>
      <c r="C208" s="215"/>
      <c r="D208" s="215"/>
      <c r="E208" s="215"/>
      <c r="F208" s="215"/>
      <c r="G208" s="215"/>
      <c r="H208" s="215"/>
      <c r="I208" s="215"/>
      <c r="J208" s="215"/>
      <c r="K208" s="215"/>
      <c r="L208" s="215"/>
    </row>
    <row r="209" spans="2:12">
      <c r="B209" s="215"/>
      <c r="C209" s="215"/>
      <c r="D209" s="215"/>
      <c r="E209" s="215"/>
      <c r="F209" s="215"/>
      <c r="G209" s="215"/>
      <c r="H209" s="215"/>
      <c r="I209" s="215"/>
      <c r="J209" s="215"/>
      <c r="K209" s="215"/>
      <c r="L209" s="215"/>
    </row>
    <row r="210" spans="2:12">
      <c r="B210" s="215"/>
      <c r="C210" s="215"/>
      <c r="D210" s="215"/>
      <c r="E210" s="215"/>
      <c r="F210" s="215"/>
      <c r="G210" s="215"/>
      <c r="H210" s="215"/>
      <c r="I210" s="215"/>
      <c r="J210" s="215"/>
      <c r="K210" s="215"/>
      <c r="L210" s="215"/>
    </row>
    <row r="211" spans="2:12">
      <c r="B211" s="215"/>
      <c r="C211" s="215"/>
      <c r="D211" s="215"/>
      <c r="E211" s="215"/>
      <c r="F211" s="215"/>
      <c r="G211" s="215"/>
      <c r="H211" s="215"/>
      <c r="I211" s="215"/>
      <c r="J211" s="215"/>
      <c r="K211" s="215"/>
      <c r="L211" s="215"/>
    </row>
    <row r="212" spans="2:12">
      <c r="B212" s="215"/>
      <c r="C212" s="215"/>
      <c r="D212" s="215"/>
      <c r="E212" s="215"/>
      <c r="F212" s="215"/>
      <c r="G212" s="215"/>
      <c r="H212" s="215"/>
      <c r="I212" s="215"/>
      <c r="J212" s="215"/>
      <c r="K212" s="215"/>
      <c r="L212" s="215"/>
    </row>
    <row r="213" spans="2:12">
      <c r="B213" s="215"/>
      <c r="C213" s="215"/>
      <c r="D213" s="215"/>
      <c r="E213" s="215"/>
      <c r="F213" s="215"/>
      <c r="G213" s="215"/>
      <c r="H213" s="215"/>
      <c r="I213" s="215"/>
      <c r="J213" s="215"/>
      <c r="K213" s="215"/>
      <c r="L213" s="215"/>
    </row>
    <row r="214" spans="2:12">
      <c r="B214" s="215"/>
      <c r="C214" s="215"/>
      <c r="D214" s="215"/>
      <c r="E214" s="215"/>
      <c r="F214" s="215"/>
      <c r="G214" s="215"/>
      <c r="H214" s="215"/>
      <c r="I214" s="215"/>
      <c r="J214" s="215"/>
      <c r="K214" s="215"/>
      <c r="L214" s="215"/>
    </row>
    <row r="215" spans="2:12">
      <c r="B215" s="215"/>
      <c r="C215" s="215"/>
      <c r="D215" s="215"/>
      <c r="E215" s="215"/>
      <c r="F215" s="215"/>
      <c r="G215" s="215"/>
      <c r="H215" s="215"/>
      <c r="I215" s="215"/>
      <c r="J215" s="215"/>
      <c r="K215" s="215"/>
      <c r="L215" s="215"/>
    </row>
    <row r="216" spans="2:12">
      <c r="B216" s="215"/>
      <c r="C216" s="215"/>
      <c r="D216" s="215"/>
      <c r="E216" s="215"/>
      <c r="F216" s="215"/>
      <c r="G216" s="215"/>
      <c r="H216" s="215"/>
      <c r="I216" s="215"/>
      <c r="J216" s="215"/>
      <c r="K216" s="215"/>
      <c r="L216" s="215"/>
    </row>
    <row r="217" spans="2:12">
      <c r="B217" s="215"/>
      <c r="C217" s="215"/>
      <c r="D217" s="215"/>
      <c r="E217" s="215"/>
      <c r="F217" s="215"/>
      <c r="G217" s="215"/>
      <c r="H217" s="215"/>
      <c r="I217" s="215"/>
      <c r="J217" s="215"/>
      <c r="K217" s="215"/>
      <c r="L217" s="215"/>
    </row>
    <row r="218" spans="2:12">
      <c r="B218" s="215"/>
      <c r="C218" s="215"/>
      <c r="D218" s="215"/>
      <c r="E218" s="215"/>
      <c r="F218" s="215"/>
      <c r="G218" s="215"/>
      <c r="H218" s="215"/>
      <c r="I218" s="215"/>
      <c r="J218" s="215"/>
      <c r="K218" s="215"/>
      <c r="L218" s="215"/>
    </row>
    <row r="219" spans="2:12">
      <c r="B219" s="215"/>
      <c r="C219" s="215"/>
      <c r="D219" s="215"/>
      <c r="E219" s="215"/>
      <c r="F219" s="215"/>
      <c r="G219" s="215"/>
      <c r="H219" s="215"/>
      <c r="I219" s="215"/>
      <c r="J219" s="215"/>
      <c r="K219" s="215"/>
      <c r="L219" s="215"/>
    </row>
    <row r="220" spans="2:12">
      <c r="B220" s="215"/>
      <c r="C220" s="215"/>
      <c r="D220" s="215"/>
      <c r="E220" s="215"/>
      <c r="F220" s="215"/>
      <c r="G220" s="215"/>
      <c r="H220" s="215"/>
      <c r="I220" s="215"/>
      <c r="J220" s="215"/>
      <c r="K220" s="215"/>
      <c r="L220" s="215"/>
    </row>
    <row r="221" spans="2:12">
      <c r="B221" s="215"/>
      <c r="C221" s="215"/>
      <c r="D221" s="215"/>
      <c r="E221" s="215"/>
      <c r="F221" s="215"/>
      <c r="G221" s="215"/>
      <c r="H221" s="215"/>
      <c r="I221" s="215"/>
      <c r="J221" s="215"/>
      <c r="K221" s="215"/>
      <c r="L221" s="215"/>
    </row>
    <row r="222" spans="2:12">
      <c r="B222" s="215"/>
      <c r="C222" s="215"/>
      <c r="D222" s="215"/>
      <c r="E222" s="215"/>
      <c r="F222" s="215"/>
      <c r="G222" s="215"/>
      <c r="H222" s="215"/>
      <c r="I222" s="215"/>
      <c r="J222" s="215"/>
      <c r="K222" s="215"/>
      <c r="L222" s="215"/>
    </row>
    <row r="223" spans="2:12">
      <c r="B223" s="215"/>
      <c r="C223" s="215"/>
      <c r="D223" s="215"/>
      <c r="E223" s="215"/>
      <c r="F223" s="215"/>
      <c r="G223" s="215"/>
      <c r="H223" s="215"/>
      <c r="I223" s="215"/>
      <c r="J223" s="215"/>
      <c r="K223" s="215"/>
      <c r="L223" s="215"/>
    </row>
    <row r="224" spans="2:12">
      <c r="B224" s="215"/>
      <c r="C224" s="215"/>
      <c r="D224" s="215"/>
      <c r="E224" s="215"/>
      <c r="F224" s="215"/>
      <c r="G224" s="215"/>
      <c r="H224" s="215"/>
      <c r="I224" s="215"/>
      <c r="J224" s="215"/>
      <c r="K224" s="215"/>
      <c r="L224" s="215"/>
    </row>
    <row r="225" spans="2:12">
      <c r="B225" s="215"/>
      <c r="C225" s="215"/>
      <c r="D225" s="215"/>
      <c r="E225" s="215"/>
      <c r="F225" s="215"/>
      <c r="G225" s="215"/>
      <c r="H225" s="215"/>
      <c r="I225" s="215"/>
      <c r="J225" s="215"/>
      <c r="K225" s="215"/>
      <c r="L225" s="215"/>
    </row>
    <row r="226" spans="2:12">
      <c r="B226" s="215"/>
      <c r="C226" s="215"/>
      <c r="D226" s="215"/>
      <c r="E226" s="215"/>
      <c r="F226" s="215"/>
      <c r="G226" s="215"/>
      <c r="H226" s="215"/>
      <c r="I226" s="215"/>
      <c r="J226" s="215"/>
      <c r="K226" s="215"/>
      <c r="L226" s="215"/>
    </row>
    <row r="227" spans="2:12">
      <c r="B227" s="215"/>
      <c r="C227" s="215"/>
      <c r="D227" s="215"/>
      <c r="E227" s="215"/>
      <c r="F227" s="215"/>
      <c r="G227" s="215"/>
      <c r="H227" s="215"/>
      <c r="I227" s="215"/>
      <c r="J227" s="215"/>
      <c r="K227" s="215"/>
      <c r="L227" s="215"/>
    </row>
    <row r="228" spans="2:12">
      <c r="B228" s="215"/>
      <c r="C228" s="215"/>
      <c r="D228" s="215"/>
      <c r="E228" s="215"/>
      <c r="F228" s="215"/>
      <c r="G228" s="215"/>
      <c r="H228" s="215"/>
      <c r="I228" s="215"/>
      <c r="J228" s="215"/>
      <c r="K228" s="215"/>
      <c r="L228" s="215"/>
    </row>
    <row r="229" spans="2:12">
      <c r="B229" s="215"/>
      <c r="C229" s="215"/>
      <c r="D229" s="215"/>
      <c r="E229" s="215"/>
      <c r="F229" s="215"/>
      <c r="G229" s="215"/>
      <c r="H229" s="215"/>
      <c r="I229" s="215"/>
      <c r="J229" s="215"/>
      <c r="K229" s="215"/>
      <c r="L229" s="215"/>
    </row>
    <row r="230" spans="2:12">
      <c r="B230" s="215"/>
      <c r="C230" s="215"/>
      <c r="D230" s="215"/>
      <c r="E230" s="215"/>
      <c r="F230" s="215"/>
      <c r="G230" s="215"/>
      <c r="H230" s="215"/>
      <c r="I230" s="215"/>
      <c r="J230" s="215"/>
      <c r="K230" s="215"/>
      <c r="L230" s="215"/>
    </row>
    <row r="231" spans="2:12">
      <c r="B231" s="215"/>
      <c r="C231" s="215"/>
      <c r="D231" s="215"/>
      <c r="E231" s="215"/>
      <c r="F231" s="215"/>
      <c r="G231" s="215"/>
      <c r="H231" s="215"/>
      <c r="I231" s="215"/>
      <c r="J231" s="215"/>
      <c r="K231" s="215"/>
      <c r="L231" s="215"/>
    </row>
    <row r="232" spans="2:12">
      <c r="B232" s="215"/>
      <c r="C232" s="215"/>
      <c r="D232" s="215"/>
      <c r="E232" s="215"/>
      <c r="F232" s="215"/>
      <c r="G232" s="215"/>
      <c r="H232" s="215"/>
      <c r="I232" s="215"/>
      <c r="J232" s="215"/>
      <c r="K232" s="215"/>
      <c r="L232" s="215"/>
    </row>
    <row r="233" spans="2:12">
      <c r="B233" s="215"/>
      <c r="C233" s="215"/>
      <c r="D233" s="215"/>
      <c r="E233" s="215"/>
      <c r="F233" s="215"/>
      <c r="G233" s="215"/>
      <c r="H233" s="215"/>
      <c r="I233" s="215"/>
      <c r="J233" s="215"/>
      <c r="K233" s="215"/>
      <c r="L233" s="215"/>
    </row>
    <row r="234" spans="2:12">
      <c r="B234" s="215"/>
      <c r="C234" s="215"/>
      <c r="D234" s="215"/>
      <c r="E234" s="215"/>
      <c r="F234" s="215"/>
      <c r="G234" s="215"/>
      <c r="H234" s="215"/>
      <c r="I234" s="215"/>
      <c r="J234" s="215"/>
      <c r="K234" s="215"/>
      <c r="L234" s="215"/>
    </row>
    <row r="235" spans="2:12">
      <c r="B235" s="215"/>
      <c r="C235" s="215"/>
      <c r="D235" s="215"/>
      <c r="E235" s="215"/>
      <c r="F235" s="215"/>
      <c r="G235" s="215"/>
      <c r="H235" s="215"/>
      <c r="I235" s="215"/>
      <c r="J235" s="215"/>
      <c r="K235" s="215"/>
      <c r="L235" s="215"/>
    </row>
    <row r="236" spans="2:12">
      <c r="B236" s="215"/>
      <c r="C236" s="215"/>
      <c r="D236" s="215"/>
      <c r="E236" s="215"/>
      <c r="F236" s="215"/>
      <c r="G236" s="215"/>
      <c r="H236" s="215"/>
      <c r="I236" s="215"/>
      <c r="J236" s="215"/>
      <c r="K236" s="215"/>
      <c r="L236" s="215"/>
    </row>
    <row r="237" spans="2:12">
      <c r="B237" s="215"/>
      <c r="C237" s="215"/>
      <c r="D237" s="215"/>
      <c r="E237" s="215"/>
      <c r="F237" s="215"/>
      <c r="G237" s="215"/>
      <c r="H237" s="215"/>
      <c r="I237" s="215"/>
      <c r="J237" s="215"/>
      <c r="K237" s="215"/>
      <c r="L237" s="215"/>
    </row>
    <row r="238" spans="2:12">
      <c r="B238" s="215"/>
      <c r="C238" s="215"/>
      <c r="D238" s="215"/>
      <c r="E238" s="215"/>
      <c r="F238" s="215"/>
      <c r="G238" s="215"/>
      <c r="H238" s="215"/>
      <c r="I238" s="215"/>
      <c r="J238" s="215"/>
      <c r="K238" s="215"/>
      <c r="L238" s="215"/>
    </row>
    <row r="239" spans="2:12">
      <c r="B239" s="215"/>
      <c r="C239" s="215"/>
      <c r="D239" s="215"/>
      <c r="E239" s="215"/>
      <c r="F239" s="215"/>
      <c r="G239" s="215"/>
      <c r="H239" s="215"/>
      <c r="I239" s="215"/>
      <c r="J239" s="215"/>
      <c r="K239" s="215"/>
      <c r="L239" s="215"/>
    </row>
    <row r="240" spans="2:12">
      <c r="B240" s="215"/>
      <c r="C240" s="215"/>
      <c r="D240" s="215"/>
      <c r="E240" s="215"/>
      <c r="F240" s="215"/>
      <c r="G240" s="215"/>
      <c r="H240" s="215"/>
      <c r="I240" s="215"/>
      <c r="J240" s="215"/>
      <c r="K240" s="215"/>
      <c r="L240" s="215"/>
    </row>
    <row r="241" spans="2:12">
      <c r="B241" s="215"/>
      <c r="C241" s="215"/>
      <c r="D241" s="215"/>
      <c r="E241" s="215"/>
      <c r="F241" s="215"/>
      <c r="G241" s="215"/>
      <c r="H241" s="215"/>
      <c r="I241" s="215"/>
      <c r="J241" s="215"/>
      <c r="K241" s="215"/>
      <c r="L241" s="215"/>
    </row>
    <row r="242" spans="2:12">
      <c r="B242" s="215"/>
      <c r="C242" s="215"/>
      <c r="D242" s="215"/>
      <c r="E242" s="215"/>
      <c r="F242" s="215"/>
      <c r="G242" s="215"/>
      <c r="H242" s="215"/>
      <c r="I242" s="215"/>
      <c r="J242" s="215"/>
      <c r="K242" s="215"/>
      <c r="L242" s="215"/>
    </row>
    <row r="243" spans="2:12">
      <c r="B243" s="215"/>
      <c r="C243" s="215"/>
      <c r="D243" s="215"/>
      <c r="E243" s="215"/>
      <c r="F243" s="215"/>
      <c r="G243" s="215"/>
      <c r="H243" s="215"/>
      <c r="I243" s="215"/>
      <c r="J243" s="215"/>
      <c r="K243" s="215"/>
      <c r="L243" s="215"/>
    </row>
    <row r="244" spans="2:12">
      <c r="B244" s="215"/>
      <c r="C244" s="215"/>
      <c r="D244" s="215"/>
      <c r="E244" s="215"/>
      <c r="F244" s="215"/>
      <c r="G244" s="215"/>
      <c r="H244" s="215"/>
      <c r="I244" s="215"/>
      <c r="J244" s="215"/>
      <c r="K244" s="215"/>
      <c r="L244" s="215"/>
    </row>
    <row r="245" spans="2:12">
      <c r="B245" s="215"/>
      <c r="C245" s="215"/>
      <c r="D245" s="215"/>
      <c r="E245" s="215"/>
      <c r="F245" s="215"/>
      <c r="G245" s="215"/>
      <c r="H245" s="215"/>
      <c r="I245" s="215"/>
      <c r="J245" s="215"/>
      <c r="K245" s="215"/>
      <c r="L245" s="215"/>
    </row>
    <row r="246" spans="2:12">
      <c r="B246" s="215"/>
      <c r="C246" s="215"/>
      <c r="D246" s="215"/>
      <c r="E246" s="215"/>
      <c r="F246" s="215"/>
      <c r="G246" s="215"/>
      <c r="H246" s="215"/>
      <c r="I246" s="215"/>
      <c r="J246" s="215"/>
      <c r="K246" s="215"/>
      <c r="L246" s="215"/>
    </row>
    <row r="247" spans="2:12">
      <c r="B247" s="215"/>
      <c r="C247" s="215"/>
      <c r="D247" s="215"/>
      <c r="E247" s="215"/>
      <c r="F247" s="215"/>
      <c r="G247" s="215"/>
      <c r="H247" s="215"/>
      <c r="I247" s="215"/>
      <c r="J247" s="215"/>
      <c r="K247" s="215"/>
      <c r="L247" s="215"/>
    </row>
  </sheetData>
  <mergeCells count="11">
    <mergeCell ref="A5:A6"/>
    <mergeCell ref="A2:J2"/>
    <mergeCell ref="A4:J4"/>
    <mergeCell ref="A11:J11"/>
    <mergeCell ref="A52:J52"/>
    <mergeCell ref="A53:J53"/>
    <mergeCell ref="A32:C32"/>
    <mergeCell ref="A14:D14"/>
    <mergeCell ref="E14:J14"/>
    <mergeCell ref="A35:J35"/>
    <mergeCell ref="E32:J3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Normal="130" zoomScaleSheetLayoutView="100" workbookViewId="0">
      <selection activeCell="E13" sqref="E13"/>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29" t="s">
        <v>0</v>
      </c>
      <c r="B3" s="829"/>
      <c r="C3" s="829"/>
      <c r="D3" s="829"/>
      <c r="E3" s="829"/>
      <c r="F3" s="829"/>
      <c r="G3" s="829"/>
      <c r="H3" s="829"/>
      <c r="I3" s="829"/>
      <c r="J3" s="829"/>
      <c r="K3" s="829"/>
      <c r="L3" s="829"/>
    </row>
    <row r="4" spans="1:12">
      <c r="A4" s="829"/>
      <c r="B4" s="829"/>
      <c r="C4" s="829"/>
      <c r="D4" s="829"/>
      <c r="E4" s="829"/>
      <c r="F4" s="829"/>
      <c r="G4" s="829"/>
      <c r="H4" s="829"/>
      <c r="I4" s="829"/>
      <c r="J4" s="829"/>
      <c r="K4" s="829"/>
      <c r="L4" s="829"/>
    </row>
    <row r="5" spans="1:12" ht="11.4">
      <c r="A5" s="3"/>
      <c r="B5" s="216"/>
      <c r="C5" s="2"/>
      <c r="D5" s="2"/>
      <c r="E5" s="37"/>
      <c r="F5" s="2"/>
      <c r="G5" s="2"/>
      <c r="H5" s="2"/>
      <c r="I5" s="2"/>
      <c r="J5" s="2"/>
      <c r="K5" s="2"/>
      <c r="L5" s="8" t="s">
        <v>1</v>
      </c>
    </row>
    <row r="6" spans="1:12" ht="11.4">
      <c r="A6" s="3"/>
      <c r="B6" s="216"/>
      <c r="C6" s="2"/>
      <c r="D6" s="2"/>
      <c r="E6" s="37"/>
      <c r="F6" s="2"/>
      <c r="G6" s="2"/>
      <c r="H6" s="2"/>
      <c r="I6" s="2"/>
      <c r="J6" s="2"/>
      <c r="K6" s="2"/>
      <c r="L6" s="5"/>
    </row>
    <row r="7" spans="1:12" ht="19.5" customHeight="1">
      <c r="A7" s="20" t="s">
        <v>381</v>
      </c>
      <c r="B7" s="217"/>
      <c r="C7" s="25"/>
      <c r="D7" s="25"/>
      <c r="E7" s="25"/>
      <c r="F7" s="25"/>
      <c r="G7" s="25"/>
      <c r="H7" s="25"/>
      <c r="I7" s="25"/>
      <c r="J7" s="25"/>
      <c r="K7" s="25"/>
      <c r="L7" s="25"/>
    </row>
    <row r="8" spans="1:12" ht="17.25" customHeight="1">
      <c r="A8" s="25"/>
      <c r="B8" s="25" t="s">
        <v>618</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569</v>
      </c>
      <c r="B10" s="217"/>
      <c r="C10" s="25"/>
      <c r="D10" s="25"/>
      <c r="E10" s="25"/>
      <c r="F10" s="25"/>
      <c r="G10" s="25"/>
      <c r="H10" s="25"/>
      <c r="I10" s="25"/>
      <c r="J10" s="25"/>
      <c r="K10" s="25"/>
      <c r="L10" s="22"/>
    </row>
    <row r="11" spans="1:12" ht="19.5" customHeight="1">
      <c r="A11" s="27"/>
      <c r="B11" s="25" t="s">
        <v>422</v>
      </c>
      <c r="C11" s="25"/>
      <c r="D11" s="25"/>
      <c r="E11" s="25"/>
      <c r="F11" s="21"/>
      <c r="G11" s="21"/>
      <c r="H11" s="21"/>
      <c r="I11" s="21"/>
      <c r="J11" s="21"/>
      <c r="K11" s="21"/>
      <c r="L11" s="22" t="s">
        <v>2</v>
      </c>
    </row>
    <row r="12" spans="1:12" ht="19.5" customHeight="1">
      <c r="A12" s="27"/>
      <c r="B12" s="25" t="s">
        <v>362</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374</v>
      </c>
      <c r="B14" s="25"/>
      <c r="C14" s="25"/>
      <c r="D14" s="25"/>
      <c r="E14" s="25"/>
      <c r="F14" s="25"/>
      <c r="G14" s="25"/>
      <c r="H14" s="25"/>
      <c r="I14" s="25"/>
      <c r="J14" s="25"/>
      <c r="K14" s="25"/>
      <c r="L14" s="22"/>
    </row>
    <row r="15" spans="1:12" ht="19.5" customHeight="1">
      <c r="A15" s="27"/>
      <c r="B15" s="25" t="s">
        <v>351</v>
      </c>
      <c r="C15" s="25"/>
      <c r="D15" s="25"/>
      <c r="E15" s="25"/>
      <c r="F15" s="21"/>
      <c r="G15" s="21"/>
      <c r="H15" s="21"/>
      <c r="I15" s="21"/>
      <c r="J15" s="21"/>
      <c r="K15" s="21"/>
      <c r="L15" s="22" t="s">
        <v>3</v>
      </c>
    </row>
    <row r="16" spans="1:12" ht="19.5" customHeight="1">
      <c r="A16" s="27"/>
      <c r="B16" s="25" t="s">
        <v>360</v>
      </c>
      <c r="C16" s="25"/>
      <c r="D16" s="25"/>
      <c r="E16" s="25"/>
      <c r="F16" s="25"/>
      <c r="G16" s="21"/>
      <c r="H16" s="21"/>
      <c r="I16" s="21"/>
      <c r="J16" s="21"/>
      <c r="K16" s="21"/>
      <c r="L16" s="22" t="s">
        <v>4</v>
      </c>
    </row>
    <row r="17" spans="1:12" ht="19.5" customHeight="1">
      <c r="A17" s="27"/>
      <c r="B17" s="25" t="s">
        <v>352</v>
      </c>
      <c r="C17" s="25"/>
      <c r="D17" s="25"/>
      <c r="E17" s="25"/>
      <c r="F17" s="25"/>
      <c r="G17" s="21"/>
      <c r="H17" s="21"/>
      <c r="I17" s="21"/>
      <c r="J17" s="21"/>
      <c r="K17" s="21"/>
      <c r="L17" s="22" t="s">
        <v>5</v>
      </c>
    </row>
    <row r="18" spans="1:12" ht="19.5" customHeight="1">
      <c r="A18" s="27"/>
      <c r="B18" s="25" t="s">
        <v>353</v>
      </c>
      <c r="C18" s="25"/>
      <c r="D18" s="25"/>
      <c r="E18" s="25"/>
      <c r="F18" s="21"/>
      <c r="G18" s="21"/>
      <c r="H18" s="21"/>
      <c r="I18" s="21"/>
      <c r="J18" s="21"/>
      <c r="K18" s="21"/>
      <c r="L18" s="22" t="s">
        <v>6</v>
      </c>
    </row>
    <row r="19" spans="1:12" ht="19.5" customHeight="1">
      <c r="A19" s="27"/>
      <c r="B19" s="25" t="s">
        <v>354</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373</v>
      </c>
      <c r="B21" s="25"/>
      <c r="C21" s="25"/>
      <c r="D21" s="25"/>
      <c r="E21" s="25"/>
      <c r="F21" s="25"/>
      <c r="G21" s="25"/>
      <c r="H21" s="25"/>
      <c r="I21" s="25"/>
      <c r="J21" s="25"/>
      <c r="K21" s="25"/>
      <c r="L21" s="30"/>
    </row>
    <row r="22" spans="1:12" ht="19.5" customHeight="1">
      <c r="A22" s="25"/>
      <c r="B22" s="25" t="s">
        <v>375</v>
      </c>
      <c r="C22" s="25"/>
      <c r="D22" s="25"/>
      <c r="E22" s="25"/>
      <c r="F22" s="25"/>
      <c r="G22" s="21"/>
      <c r="H22" s="21"/>
      <c r="I22" s="21"/>
      <c r="J22" s="21"/>
      <c r="K22" s="21"/>
      <c r="L22" s="22" t="s">
        <v>9</v>
      </c>
    </row>
    <row r="23" spans="1:12" ht="19.5" customHeight="1">
      <c r="A23" s="31"/>
      <c r="B23" s="25" t="s">
        <v>412</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245</v>
      </c>
      <c r="B25" s="25"/>
      <c r="C25" s="25"/>
      <c r="D25" s="25"/>
      <c r="E25" s="25"/>
      <c r="F25" s="25"/>
      <c r="G25" s="25"/>
      <c r="H25" s="25"/>
      <c r="I25" s="25"/>
      <c r="J25" s="25"/>
      <c r="K25" s="25"/>
      <c r="L25" s="30"/>
    </row>
    <row r="26" spans="1:12" ht="19.5" customHeight="1">
      <c r="A26" s="25"/>
      <c r="B26" s="25" t="s">
        <v>377</v>
      </c>
      <c r="C26" s="25"/>
      <c r="D26" s="25"/>
      <c r="E26" s="25"/>
      <c r="F26" s="21"/>
      <c r="G26" s="21"/>
      <c r="H26" s="21"/>
      <c r="I26" s="21"/>
      <c r="J26" s="21"/>
      <c r="K26" s="33"/>
      <c r="L26" s="22" t="s">
        <v>11</v>
      </c>
    </row>
    <row r="27" spans="1:12" ht="19.5" customHeight="1">
      <c r="A27" s="25"/>
      <c r="B27" s="25" t="s">
        <v>355</v>
      </c>
      <c r="C27" s="25"/>
      <c r="D27" s="25"/>
      <c r="E27" s="25"/>
      <c r="F27" s="25"/>
      <c r="G27" s="21"/>
      <c r="H27" s="21"/>
      <c r="I27" s="21"/>
      <c r="J27" s="21"/>
      <c r="K27" s="33"/>
      <c r="L27" s="22" t="s">
        <v>11</v>
      </c>
    </row>
    <row r="28" spans="1:12" ht="19.5" customHeight="1">
      <c r="A28" s="31"/>
      <c r="B28" s="25" t="s">
        <v>376</v>
      </c>
      <c r="C28" s="25"/>
      <c r="D28" s="25"/>
      <c r="E28" s="25"/>
      <c r="F28" s="21"/>
      <c r="G28" s="21"/>
      <c r="H28" s="33"/>
      <c r="I28" s="33"/>
      <c r="J28" s="33"/>
      <c r="K28" s="33"/>
      <c r="L28" s="22" t="s">
        <v>12</v>
      </c>
    </row>
    <row r="29" spans="1:12" ht="19.5" customHeight="1">
      <c r="A29" s="31"/>
      <c r="B29" s="25" t="s">
        <v>361</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366</v>
      </c>
      <c r="B31" s="25"/>
      <c r="C31" s="25"/>
      <c r="D31" s="25"/>
      <c r="E31" s="25"/>
      <c r="F31" s="25"/>
      <c r="G31" s="25"/>
      <c r="H31" s="25"/>
      <c r="I31" s="25"/>
      <c r="J31" s="25"/>
      <c r="K31" s="25"/>
      <c r="L31" s="22"/>
    </row>
    <row r="32" spans="1:12" ht="19.5" customHeight="1">
      <c r="A32" s="31"/>
      <c r="B32" s="25" t="s">
        <v>378</v>
      </c>
      <c r="C32" s="25"/>
      <c r="D32" s="25"/>
      <c r="E32" s="25"/>
      <c r="F32" s="25"/>
      <c r="G32" s="21"/>
      <c r="H32" s="21"/>
      <c r="I32" s="21"/>
      <c r="J32" s="21"/>
      <c r="K32" s="21"/>
      <c r="L32" s="22" t="s">
        <v>13</v>
      </c>
    </row>
    <row r="33" spans="1:12" ht="19.5" customHeight="1">
      <c r="A33" s="31"/>
      <c r="B33" s="25" t="s">
        <v>356</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357</v>
      </c>
      <c r="B35" s="26"/>
      <c r="C35" s="32"/>
      <c r="D35" s="26"/>
      <c r="E35" s="26"/>
      <c r="F35" s="26"/>
      <c r="G35" s="26"/>
      <c r="H35" s="26"/>
      <c r="I35" s="26"/>
      <c r="J35" s="26"/>
      <c r="K35" s="26"/>
      <c r="L35" s="22"/>
    </row>
    <row r="36" spans="1:12" ht="19.5" customHeight="1">
      <c r="A36" s="27"/>
      <c r="B36" s="25" t="s">
        <v>379</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358</v>
      </c>
      <c r="B38" s="35"/>
      <c r="C38" s="25"/>
      <c r="D38" s="25"/>
      <c r="E38" s="25"/>
      <c r="F38" s="25"/>
      <c r="G38" s="25"/>
      <c r="H38" s="25"/>
      <c r="I38" s="25"/>
      <c r="J38" s="25"/>
      <c r="K38" s="25"/>
      <c r="L38" s="38"/>
    </row>
    <row r="39" spans="1:12" ht="19.5" customHeight="1">
      <c r="A39" s="27"/>
      <c r="B39" s="25" t="s">
        <v>359</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204</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380</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7"/>
  <sheetViews>
    <sheetView showGridLines="0" view="pageBreakPreview" zoomScaleNormal="100" zoomScaleSheetLayoutView="100" zoomScalePageLayoutView="130" workbookViewId="0">
      <selection activeCell="F41" sqref="F41"/>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s>
  <sheetData>
    <row r="1" spans="1:8" ht="11.25" customHeight="1">
      <c r="A1" s="269" t="s">
        <v>263</v>
      </c>
      <c r="B1" s="268"/>
      <c r="C1" s="268"/>
      <c r="D1" s="268"/>
      <c r="E1" s="268"/>
      <c r="F1" s="268"/>
      <c r="G1" s="268"/>
    </row>
    <row r="2" spans="1:8" ht="14.25" customHeight="1">
      <c r="A2" s="923" t="s">
        <v>243</v>
      </c>
      <c r="B2" s="926" t="s">
        <v>52</v>
      </c>
      <c r="C2" s="929" t="str">
        <f>"ENERGÍA PRODUCIDA "&amp;UPPER('1. Resumen'!Q4)&amp;" "&amp;'1. Resumen'!Q5</f>
        <v>ENERGÍA PRODUCIDA JULIO 2023</v>
      </c>
      <c r="D2" s="929"/>
      <c r="E2" s="929"/>
      <c r="F2" s="929"/>
      <c r="G2" s="494" t="s">
        <v>264</v>
      </c>
      <c r="H2" s="203"/>
    </row>
    <row r="3" spans="1:8" ht="11.25" customHeight="1">
      <c r="A3" s="924"/>
      <c r="B3" s="927"/>
      <c r="C3" s="930" t="s">
        <v>265</v>
      </c>
      <c r="D3" s="930"/>
      <c r="E3" s="930"/>
      <c r="F3" s="931" t="str">
        <f>"TOTAL 
"&amp;UPPER('1. Resumen'!Q4)</f>
        <v>TOTAL 
JULIO</v>
      </c>
      <c r="G3" s="495" t="s">
        <v>266</v>
      </c>
      <c r="H3" s="194"/>
    </row>
    <row r="4" spans="1:8" ht="12.75" customHeight="1">
      <c r="A4" s="924"/>
      <c r="B4" s="927"/>
      <c r="C4" s="490" t="s">
        <v>208</v>
      </c>
      <c r="D4" s="490" t="s">
        <v>209</v>
      </c>
      <c r="E4" s="490" t="s">
        <v>267</v>
      </c>
      <c r="F4" s="932"/>
      <c r="G4" s="495">
        <v>2023</v>
      </c>
      <c r="H4" s="196"/>
    </row>
    <row r="5" spans="1:8" ht="11.25" customHeight="1">
      <c r="A5" s="925"/>
      <c r="B5" s="928"/>
      <c r="C5" s="491" t="s">
        <v>268</v>
      </c>
      <c r="D5" s="491" t="s">
        <v>268</v>
      </c>
      <c r="E5" s="491" t="s">
        <v>268</v>
      </c>
      <c r="F5" s="491" t="s">
        <v>268</v>
      </c>
      <c r="G5" s="496" t="s">
        <v>201</v>
      </c>
      <c r="H5" s="196"/>
    </row>
    <row r="6" spans="1:8" ht="8.4" customHeight="1">
      <c r="A6" s="525" t="s">
        <v>117</v>
      </c>
      <c r="B6" s="335" t="s">
        <v>84</v>
      </c>
      <c r="C6" s="336"/>
      <c r="D6" s="336"/>
      <c r="E6" s="336">
        <v>10106.440737499999</v>
      </c>
      <c r="F6" s="336">
        <v>10106.440737499999</v>
      </c>
      <c r="G6" s="524">
        <v>15873.050027499999</v>
      </c>
      <c r="H6" s="196"/>
    </row>
    <row r="7" spans="1:8" ht="8.4" customHeight="1">
      <c r="A7" s="521" t="s">
        <v>454</v>
      </c>
      <c r="B7" s="400"/>
      <c r="C7" s="401"/>
      <c r="D7" s="401"/>
      <c r="E7" s="401">
        <v>10106.440737499999</v>
      </c>
      <c r="F7" s="401">
        <v>10106.440737499999</v>
      </c>
      <c r="G7" s="523">
        <v>15873.050027499999</v>
      </c>
      <c r="H7" s="196"/>
    </row>
    <row r="8" spans="1:8" ht="8.4" customHeight="1">
      <c r="A8" s="525" t="s">
        <v>116</v>
      </c>
      <c r="B8" s="335" t="s">
        <v>61</v>
      </c>
      <c r="C8" s="336"/>
      <c r="D8" s="336"/>
      <c r="E8" s="336">
        <v>2195.7373749999997</v>
      </c>
      <c r="F8" s="336">
        <v>2195.7373749999997</v>
      </c>
      <c r="G8" s="524">
        <v>78517.215584999998</v>
      </c>
      <c r="H8" s="196"/>
    </row>
    <row r="9" spans="1:8" ht="8.4" customHeight="1">
      <c r="A9" s="521" t="s">
        <v>455</v>
      </c>
      <c r="B9" s="400"/>
      <c r="C9" s="401"/>
      <c r="D9" s="401"/>
      <c r="E9" s="401">
        <v>2195.7373749999997</v>
      </c>
      <c r="F9" s="401">
        <v>2195.7373749999997</v>
      </c>
      <c r="G9" s="523">
        <v>78517.215584999998</v>
      </c>
      <c r="H9" s="196"/>
    </row>
    <row r="10" spans="1:8" ht="8.4" customHeight="1">
      <c r="A10" s="520" t="s">
        <v>104</v>
      </c>
      <c r="B10" s="299" t="s">
        <v>81</v>
      </c>
      <c r="C10" s="493"/>
      <c r="D10" s="493"/>
      <c r="E10" s="493">
        <v>10180.44031</v>
      </c>
      <c r="F10" s="493">
        <v>10180.44031</v>
      </c>
      <c r="G10" s="522">
        <v>56894.331184999995</v>
      </c>
      <c r="H10" s="196"/>
    </row>
    <row r="11" spans="1:8" ht="8.4" customHeight="1">
      <c r="A11" s="521" t="s">
        <v>456</v>
      </c>
      <c r="B11" s="400"/>
      <c r="C11" s="401"/>
      <c r="D11" s="401"/>
      <c r="E11" s="401">
        <v>10180.44031</v>
      </c>
      <c r="F11" s="401">
        <v>10180.44031</v>
      </c>
      <c r="G11" s="523">
        <v>56894.331184999995</v>
      </c>
      <c r="H11" s="196"/>
    </row>
    <row r="12" spans="1:8" ht="8.4" customHeight="1">
      <c r="A12" s="520" t="s">
        <v>397</v>
      </c>
      <c r="B12" s="299" t="s">
        <v>399</v>
      </c>
      <c r="C12" s="493"/>
      <c r="D12" s="493"/>
      <c r="E12" s="493">
        <v>7961.6368949999996</v>
      </c>
      <c r="F12" s="493">
        <v>7961.6368949999996</v>
      </c>
      <c r="G12" s="522">
        <v>61152.874357499997</v>
      </c>
      <c r="H12" s="196"/>
    </row>
    <row r="13" spans="1:8" ht="8.4" customHeight="1">
      <c r="A13" s="521" t="s">
        <v>457</v>
      </c>
      <c r="B13" s="400"/>
      <c r="C13" s="401"/>
      <c r="D13" s="401"/>
      <c r="E13" s="401">
        <v>7961.6368949999996</v>
      </c>
      <c r="F13" s="401">
        <v>7961.6368949999996</v>
      </c>
      <c r="G13" s="523">
        <v>61152.874357499997</v>
      </c>
      <c r="H13" s="196"/>
    </row>
    <row r="14" spans="1:8" ht="8.4" customHeight="1">
      <c r="A14" s="520" t="s">
        <v>446</v>
      </c>
      <c r="B14" s="299" t="s">
        <v>73</v>
      </c>
      <c r="C14" s="493"/>
      <c r="D14" s="493"/>
      <c r="E14" s="493">
        <v>341.93540999999999</v>
      </c>
      <c r="F14" s="493">
        <v>341.93540999999999</v>
      </c>
      <c r="G14" s="522">
        <v>2929.5792849999998</v>
      </c>
      <c r="H14" s="196"/>
    </row>
    <row r="15" spans="1:8" ht="8.4" customHeight="1">
      <c r="A15" s="521" t="s">
        <v>458</v>
      </c>
      <c r="B15" s="400"/>
      <c r="C15" s="401"/>
      <c r="D15" s="401"/>
      <c r="E15" s="401">
        <v>341.93540999999999</v>
      </c>
      <c r="F15" s="401">
        <v>341.93540999999999</v>
      </c>
      <c r="G15" s="523">
        <v>2929.5792849999998</v>
      </c>
      <c r="H15" s="196"/>
    </row>
    <row r="16" spans="1:8" ht="8.4" customHeight="1">
      <c r="A16" s="520" t="s">
        <v>427</v>
      </c>
      <c r="B16" s="299" t="s">
        <v>433</v>
      </c>
      <c r="C16" s="493"/>
      <c r="D16" s="493"/>
      <c r="E16" s="493">
        <v>6727.875</v>
      </c>
      <c r="F16" s="493">
        <v>6727.875</v>
      </c>
      <c r="G16" s="522">
        <v>34220.599725</v>
      </c>
      <c r="H16" s="196"/>
    </row>
    <row r="17" spans="1:8" ht="8.4" customHeight="1">
      <c r="A17" s="521" t="s">
        <v>459</v>
      </c>
      <c r="B17" s="400"/>
      <c r="C17" s="401"/>
      <c r="D17" s="401"/>
      <c r="E17" s="401">
        <v>6727.875</v>
      </c>
      <c r="F17" s="401">
        <v>6727.875</v>
      </c>
      <c r="G17" s="523">
        <v>34220.599725</v>
      </c>
      <c r="H17" s="196"/>
    </row>
    <row r="18" spans="1:8" ht="8.4" customHeight="1">
      <c r="A18" s="520" t="s">
        <v>92</v>
      </c>
      <c r="B18" s="299" t="s">
        <v>269</v>
      </c>
      <c r="C18" s="493">
        <v>57282.882732500002</v>
      </c>
      <c r="D18" s="493"/>
      <c r="E18" s="493"/>
      <c r="F18" s="493">
        <v>57282.882732500002</v>
      </c>
      <c r="G18" s="522">
        <v>760092.23240749992</v>
      </c>
      <c r="H18" s="196"/>
    </row>
    <row r="19" spans="1:8" ht="8.4" customHeight="1">
      <c r="A19" s="521" t="s">
        <v>460</v>
      </c>
      <c r="B19" s="400"/>
      <c r="C19" s="401">
        <v>57282.882732500002</v>
      </c>
      <c r="D19" s="401"/>
      <c r="E19" s="401"/>
      <c r="F19" s="401">
        <v>57282.882732500002</v>
      </c>
      <c r="G19" s="523">
        <v>760092.23240749992</v>
      </c>
      <c r="H19" s="196"/>
    </row>
    <row r="20" spans="1:8" ht="8.4" customHeight="1">
      <c r="A20" s="520" t="s">
        <v>448</v>
      </c>
      <c r="B20" s="299" t="s">
        <v>306</v>
      </c>
      <c r="C20" s="493">
        <v>9270.6510875000004</v>
      </c>
      <c r="D20" s="493"/>
      <c r="E20" s="493"/>
      <c r="F20" s="493">
        <v>9270.6510875000004</v>
      </c>
      <c r="G20" s="522">
        <v>89786.482699999979</v>
      </c>
      <c r="H20" s="196"/>
    </row>
    <row r="21" spans="1:8" ht="8.4" customHeight="1">
      <c r="A21" s="521" t="s">
        <v>461</v>
      </c>
      <c r="B21" s="400"/>
      <c r="C21" s="401">
        <v>9270.6510875000004</v>
      </c>
      <c r="D21" s="401"/>
      <c r="E21" s="401"/>
      <c r="F21" s="401">
        <v>9270.6510875000004</v>
      </c>
      <c r="G21" s="523">
        <v>89786.482699999979</v>
      </c>
      <c r="H21" s="196"/>
    </row>
    <row r="22" spans="1:8" ht="8.4" customHeight="1">
      <c r="A22" s="520" t="s">
        <v>516</v>
      </c>
      <c r="B22" s="299" t="s">
        <v>522</v>
      </c>
      <c r="C22" s="493">
        <v>394.462425</v>
      </c>
      <c r="D22" s="493"/>
      <c r="E22" s="493"/>
      <c r="F22" s="493">
        <v>394.462425</v>
      </c>
      <c r="G22" s="522">
        <v>3468.5322825000007</v>
      </c>
      <c r="H22" s="196"/>
    </row>
    <row r="23" spans="1:8" ht="8.4" customHeight="1">
      <c r="A23" s="520"/>
      <c r="B23" s="299" t="s">
        <v>523</v>
      </c>
      <c r="C23" s="493">
        <v>729.17567750000001</v>
      </c>
      <c r="D23" s="493"/>
      <c r="E23" s="493"/>
      <c r="F23" s="493">
        <v>729.17567750000001</v>
      </c>
      <c r="G23" s="522">
        <v>5396.6628975000003</v>
      </c>
      <c r="H23" s="196"/>
    </row>
    <row r="24" spans="1:8" ht="8.4" customHeight="1">
      <c r="A24" s="521" t="s">
        <v>518</v>
      </c>
      <c r="B24" s="400"/>
      <c r="C24" s="401">
        <v>1123.6381025000001</v>
      </c>
      <c r="D24" s="401"/>
      <c r="E24" s="401"/>
      <c r="F24" s="401">
        <v>1123.6381025000001</v>
      </c>
      <c r="G24" s="523">
        <v>8865.1951800000006</v>
      </c>
      <c r="H24" s="196"/>
    </row>
    <row r="25" spans="1:8" ht="8.4" customHeight="1">
      <c r="A25" s="520" t="s">
        <v>229</v>
      </c>
      <c r="B25" s="299" t="s">
        <v>270</v>
      </c>
      <c r="C25" s="493"/>
      <c r="D25" s="493">
        <v>2767.1006849999999</v>
      </c>
      <c r="E25" s="493"/>
      <c r="F25" s="493">
        <v>2767.1006849999999</v>
      </c>
      <c r="G25" s="522">
        <v>7172.8840049999999</v>
      </c>
      <c r="H25" s="196"/>
    </row>
    <row r="26" spans="1:8" ht="8.4" customHeight="1">
      <c r="A26" s="521" t="s">
        <v>462</v>
      </c>
      <c r="B26" s="400"/>
      <c r="C26" s="401"/>
      <c r="D26" s="401">
        <v>2767.1006849999999</v>
      </c>
      <c r="E26" s="401"/>
      <c r="F26" s="401">
        <v>2767.1006849999999</v>
      </c>
      <c r="G26" s="523">
        <v>7172.8840049999999</v>
      </c>
      <c r="H26" s="196"/>
    </row>
    <row r="27" spans="1:8" ht="8.4" customHeight="1">
      <c r="A27" s="520" t="s">
        <v>91</v>
      </c>
      <c r="B27" s="299" t="s">
        <v>271</v>
      </c>
      <c r="C27" s="493">
        <v>27140.753000000001</v>
      </c>
      <c r="D27" s="493"/>
      <c r="E27" s="493"/>
      <c r="F27" s="493">
        <v>27140.753000000001</v>
      </c>
      <c r="G27" s="522">
        <v>497651.29200000007</v>
      </c>
      <c r="H27" s="196"/>
    </row>
    <row r="28" spans="1:8" ht="8.4" customHeight="1">
      <c r="A28" s="520"/>
      <c r="B28" s="299" t="s">
        <v>272</v>
      </c>
      <c r="C28" s="493">
        <v>9178.1990000000005</v>
      </c>
      <c r="D28" s="493"/>
      <c r="E28" s="493"/>
      <c r="F28" s="493">
        <v>9178.1990000000005</v>
      </c>
      <c r="G28" s="522">
        <v>142770.212</v>
      </c>
      <c r="H28" s="196"/>
    </row>
    <row r="29" spans="1:8" ht="8.4" customHeight="1">
      <c r="A29" s="521" t="s">
        <v>463</v>
      </c>
      <c r="B29" s="400"/>
      <c r="C29" s="401">
        <v>36318.952000000005</v>
      </c>
      <c r="D29" s="401"/>
      <c r="E29" s="401"/>
      <c r="F29" s="401">
        <v>36318.952000000005</v>
      </c>
      <c r="G29" s="523">
        <v>640421.50400000007</v>
      </c>
      <c r="H29" s="196"/>
    </row>
    <row r="30" spans="1:8" ht="8.4" customHeight="1">
      <c r="A30" s="520" t="s">
        <v>517</v>
      </c>
      <c r="B30" s="299" t="s">
        <v>524</v>
      </c>
      <c r="C30" s="493"/>
      <c r="D30" s="493"/>
      <c r="E30" s="493">
        <v>200.89525</v>
      </c>
      <c r="F30" s="493">
        <v>200.89525</v>
      </c>
      <c r="G30" s="522">
        <v>1433.83375</v>
      </c>
      <c r="H30" s="196"/>
    </row>
    <row r="31" spans="1:8" ht="8.4" customHeight="1">
      <c r="A31" s="521" t="s">
        <v>519</v>
      </c>
      <c r="B31" s="400"/>
      <c r="C31" s="401"/>
      <c r="D31" s="401"/>
      <c r="E31" s="401">
        <v>200.89525</v>
      </c>
      <c r="F31" s="401">
        <v>200.89525</v>
      </c>
      <c r="G31" s="523">
        <v>1433.83375</v>
      </c>
      <c r="H31" s="196"/>
    </row>
    <row r="32" spans="1:8" ht="8.4" customHeight="1">
      <c r="A32" s="520" t="s">
        <v>89</v>
      </c>
      <c r="B32" s="299" t="s">
        <v>273</v>
      </c>
      <c r="C32" s="493">
        <v>1145.834355</v>
      </c>
      <c r="D32" s="493"/>
      <c r="E32" s="493"/>
      <c r="F32" s="493">
        <v>1145.834355</v>
      </c>
      <c r="G32" s="522">
        <v>7846.9078125000005</v>
      </c>
      <c r="H32" s="196"/>
    </row>
    <row r="33" spans="1:8" ht="8.4" customHeight="1">
      <c r="A33" s="520"/>
      <c r="B33" s="299" t="s">
        <v>274</v>
      </c>
      <c r="C33" s="493">
        <v>414.88892750000002</v>
      </c>
      <c r="D33" s="493"/>
      <c r="E33" s="493"/>
      <c r="F33" s="493">
        <v>414.88892750000002</v>
      </c>
      <c r="G33" s="522">
        <v>2698.6073799999999</v>
      </c>
      <c r="H33" s="196"/>
    </row>
    <row r="34" spans="1:8" ht="8.4" customHeight="1">
      <c r="A34" s="520"/>
      <c r="B34" s="299" t="s">
        <v>275</v>
      </c>
      <c r="C34" s="493">
        <v>3321.3283925000001</v>
      </c>
      <c r="D34" s="493"/>
      <c r="E34" s="493"/>
      <c r="F34" s="493">
        <v>3321.3283925000001</v>
      </c>
      <c r="G34" s="522">
        <v>22596.691104999998</v>
      </c>
      <c r="H34" s="196"/>
    </row>
    <row r="35" spans="1:8" ht="8.4" customHeight="1">
      <c r="A35" s="520"/>
      <c r="B35" s="299" t="s">
        <v>276</v>
      </c>
      <c r="C35" s="493">
        <v>7316.3584950000004</v>
      </c>
      <c r="D35" s="493"/>
      <c r="E35" s="493"/>
      <c r="F35" s="493">
        <v>7316.3584950000004</v>
      </c>
      <c r="G35" s="522">
        <v>52057.303629999995</v>
      </c>
      <c r="H35" s="196"/>
    </row>
    <row r="36" spans="1:8" ht="8.4" customHeight="1">
      <c r="A36" s="520"/>
      <c r="B36" s="299" t="s">
        <v>277</v>
      </c>
      <c r="C36" s="493">
        <v>46296.207617499997</v>
      </c>
      <c r="D36" s="493"/>
      <c r="E36" s="493"/>
      <c r="F36" s="493">
        <v>46296.207617499997</v>
      </c>
      <c r="G36" s="522">
        <v>351421.84649500001</v>
      </c>
      <c r="H36" s="196"/>
    </row>
    <row r="37" spans="1:8" ht="8.4" customHeight="1">
      <c r="A37" s="520"/>
      <c r="B37" s="299" t="s">
        <v>278</v>
      </c>
      <c r="C37" s="493">
        <v>4093.6785475000001</v>
      </c>
      <c r="D37" s="493"/>
      <c r="E37" s="493"/>
      <c r="F37" s="493">
        <v>4093.6785475000001</v>
      </c>
      <c r="G37" s="522">
        <v>30072.132154999999</v>
      </c>
      <c r="H37" s="196"/>
    </row>
    <row r="38" spans="1:8" ht="8.4" customHeight="1">
      <c r="A38" s="520"/>
      <c r="B38" s="299" t="s">
        <v>279</v>
      </c>
      <c r="C38" s="493"/>
      <c r="D38" s="493">
        <v>194.91401250000001</v>
      </c>
      <c r="E38" s="493"/>
      <c r="F38" s="493">
        <v>194.91401250000001</v>
      </c>
      <c r="G38" s="522">
        <v>394.2263375</v>
      </c>
      <c r="H38" s="196"/>
    </row>
    <row r="39" spans="1:8" ht="8.4" customHeight="1">
      <c r="A39" s="520"/>
      <c r="B39" s="299" t="s">
        <v>280</v>
      </c>
      <c r="C39" s="493"/>
      <c r="D39" s="493">
        <v>262.14671500000003</v>
      </c>
      <c r="E39" s="493"/>
      <c r="F39" s="493">
        <v>262.14671500000003</v>
      </c>
      <c r="G39" s="522">
        <v>408.41185000000002</v>
      </c>
      <c r="H39" s="196"/>
    </row>
    <row r="40" spans="1:8" ht="8.4" customHeight="1">
      <c r="A40" s="521" t="s">
        <v>464</v>
      </c>
      <c r="B40" s="400"/>
      <c r="C40" s="401">
        <v>62588.296334999999</v>
      </c>
      <c r="D40" s="401">
        <v>457.06072750000004</v>
      </c>
      <c r="E40" s="401"/>
      <c r="F40" s="401">
        <v>63045.357062499999</v>
      </c>
      <c r="G40" s="523">
        <v>467496.12676499994</v>
      </c>
      <c r="H40" s="196"/>
    </row>
    <row r="41" spans="1:8" ht="8.4" customHeight="1">
      <c r="A41" s="520" t="s">
        <v>110</v>
      </c>
      <c r="B41" s="299" t="s">
        <v>68</v>
      </c>
      <c r="C41" s="493"/>
      <c r="D41" s="493"/>
      <c r="E41" s="493">
        <v>3787.0071500000004</v>
      </c>
      <c r="F41" s="493">
        <v>3787.0071500000004</v>
      </c>
      <c r="G41" s="522">
        <v>20231.342574999999</v>
      </c>
      <c r="H41" s="196"/>
    </row>
    <row r="42" spans="1:8" ht="8.4" customHeight="1">
      <c r="A42" s="521" t="s">
        <v>465</v>
      </c>
      <c r="B42" s="400"/>
      <c r="C42" s="401"/>
      <c r="D42" s="401"/>
      <c r="E42" s="401">
        <v>3787.0071500000004</v>
      </c>
      <c r="F42" s="401">
        <v>3787.0071500000004</v>
      </c>
      <c r="G42" s="523">
        <v>20231.342574999999</v>
      </c>
      <c r="H42" s="196"/>
    </row>
    <row r="43" spans="1:8" ht="8.4" customHeight="1">
      <c r="A43" s="520" t="s">
        <v>90</v>
      </c>
      <c r="B43" s="299" t="s">
        <v>281</v>
      </c>
      <c r="C43" s="493">
        <v>71728.402000000002</v>
      </c>
      <c r="D43" s="493"/>
      <c r="E43" s="493"/>
      <c r="F43" s="493">
        <v>71728.402000000002</v>
      </c>
      <c r="G43" s="522">
        <v>741352.89150000003</v>
      </c>
      <c r="H43" s="196"/>
    </row>
    <row r="44" spans="1:8" ht="8.4" customHeight="1">
      <c r="A44" s="521" t="s">
        <v>466</v>
      </c>
      <c r="B44" s="400"/>
      <c r="C44" s="401">
        <v>71728.402000000002</v>
      </c>
      <c r="D44" s="401"/>
      <c r="E44" s="401"/>
      <c r="F44" s="401">
        <v>71728.402000000002</v>
      </c>
      <c r="G44" s="523">
        <v>741352.89150000003</v>
      </c>
      <c r="H44" s="196"/>
    </row>
    <row r="45" spans="1:8" ht="8.4" customHeight="1">
      <c r="A45" s="520" t="s">
        <v>99</v>
      </c>
      <c r="B45" s="299" t="s">
        <v>282</v>
      </c>
      <c r="C45" s="493">
        <v>4892.4221675000008</v>
      </c>
      <c r="D45" s="493"/>
      <c r="E45" s="493"/>
      <c r="F45" s="493">
        <v>4892.4221675000008</v>
      </c>
      <c r="G45" s="522">
        <v>29668.804875000002</v>
      </c>
      <c r="H45" s="196"/>
    </row>
    <row r="46" spans="1:8" ht="8.4" customHeight="1">
      <c r="A46" s="520"/>
      <c r="B46" s="299" t="s">
        <v>615</v>
      </c>
      <c r="C46" s="493">
        <v>0</v>
      </c>
      <c r="D46" s="493"/>
      <c r="E46" s="493"/>
      <c r="F46" s="493">
        <v>0</v>
      </c>
      <c r="G46" s="522">
        <v>0</v>
      </c>
      <c r="H46" s="196"/>
    </row>
    <row r="47" spans="1:8" ht="8.4" customHeight="1">
      <c r="A47" s="520"/>
      <c r="B47" s="299" t="s">
        <v>283</v>
      </c>
      <c r="C47" s="493"/>
      <c r="D47" s="493">
        <v>13454.906025</v>
      </c>
      <c r="E47" s="493"/>
      <c r="F47" s="493">
        <v>13454.906025</v>
      </c>
      <c r="G47" s="522">
        <v>69538.566327499997</v>
      </c>
      <c r="H47" s="196"/>
    </row>
    <row r="48" spans="1:8" ht="8.4" customHeight="1">
      <c r="A48" s="521" t="s">
        <v>467</v>
      </c>
      <c r="B48" s="400"/>
      <c r="C48" s="401">
        <v>4892.4221675000008</v>
      </c>
      <c r="D48" s="401">
        <v>13454.906025</v>
      </c>
      <c r="E48" s="401"/>
      <c r="F48" s="401">
        <v>18347.328192500001</v>
      </c>
      <c r="G48" s="523">
        <v>99207.371202499999</v>
      </c>
      <c r="H48" s="196"/>
    </row>
    <row r="49" spans="1:8" ht="8.4" customHeight="1">
      <c r="A49" s="520" t="s">
        <v>111</v>
      </c>
      <c r="B49" s="299" t="s">
        <v>71</v>
      </c>
      <c r="C49" s="493"/>
      <c r="D49" s="493"/>
      <c r="E49" s="493">
        <v>1798.83755</v>
      </c>
      <c r="F49" s="493">
        <v>1798.83755</v>
      </c>
      <c r="G49" s="522">
        <v>15557.832449999998</v>
      </c>
      <c r="H49" s="196"/>
    </row>
    <row r="50" spans="1:8" ht="8.4" customHeight="1">
      <c r="A50" s="521" t="s">
        <v>468</v>
      </c>
      <c r="B50" s="400"/>
      <c r="C50" s="401"/>
      <c r="D50" s="401"/>
      <c r="E50" s="401">
        <v>1798.83755</v>
      </c>
      <c r="F50" s="401">
        <v>1798.83755</v>
      </c>
      <c r="G50" s="523">
        <v>15557.832449999998</v>
      </c>
      <c r="H50" s="196"/>
    </row>
    <row r="51" spans="1:8" ht="8.4" customHeight="1">
      <c r="A51" s="520" t="s">
        <v>87</v>
      </c>
      <c r="B51" s="299" t="s">
        <v>284</v>
      </c>
      <c r="C51" s="493">
        <v>373981.07639999996</v>
      </c>
      <c r="D51" s="493"/>
      <c r="E51" s="493"/>
      <c r="F51" s="493">
        <v>373981.07639999996</v>
      </c>
      <c r="G51" s="522">
        <v>2707044.5976000004</v>
      </c>
      <c r="H51" s="196"/>
    </row>
    <row r="52" spans="1:8" ht="8.4" customHeight="1">
      <c r="A52" s="520"/>
      <c r="B52" s="299" t="s">
        <v>285</v>
      </c>
      <c r="C52" s="493">
        <v>121577.45903999999</v>
      </c>
      <c r="D52" s="493"/>
      <c r="E52" s="493"/>
      <c r="F52" s="493">
        <v>121577.45903999999</v>
      </c>
      <c r="G52" s="522">
        <v>867104.73983999994</v>
      </c>
      <c r="H52" s="196"/>
    </row>
    <row r="53" spans="1:8" ht="8.4" customHeight="1">
      <c r="A53" s="521" t="s">
        <v>469</v>
      </c>
      <c r="B53" s="400"/>
      <c r="C53" s="401">
        <v>495558.53543999995</v>
      </c>
      <c r="D53" s="401"/>
      <c r="E53" s="401"/>
      <c r="F53" s="401">
        <v>495558.53543999995</v>
      </c>
      <c r="G53" s="523">
        <v>3574149.3374400004</v>
      </c>
      <c r="H53" s="196"/>
    </row>
    <row r="54" spans="1:8" ht="8.4" customHeight="1">
      <c r="A54" s="520" t="s">
        <v>230</v>
      </c>
      <c r="B54" s="299" t="s">
        <v>286</v>
      </c>
      <c r="C54" s="493">
        <v>22019.558872499998</v>
      </c>
      <c r="D54" s="493"/>
      <c r="E54" s="493"/>
      <c r="F54" s="493">
        <v>22019.558872499998</v>
      </c>
      <c r="G54" s="522">
        <v>1300367.8637199998</v>
      </c>
      <c r="H54" s="196"/>
    </row>
    <row r="55" spans="1:8" ht="8.4" customHeight="1">
      <c r="A55" s="520"/>
      <c r="B55" s="299" t="s">
        <v>287</v>
      </c>
      <c r="C55" s="493">
        <v>3373.0978224999999</v>
      </c>
      <c r="D55" s="493"/>
      <c r="E55" s="493"/>
      <c r="F55" s="493">
        <v>3373.0978224999999</v>
      </c>
      <c r="G55" s="522">
        <v>30014.207955000005</v>
      </c>
      <c r="H55" s="111"/>
    </row>
    <row r="56" spans="1:8" ht="8.4" customHeight="1">
      <c r="A56" s="521" t="s">
        <v>470</v>
      </c>
      <c r="B56" s="400"/>
      <c r="C56" s="401">
        <v>25392.656694999998</v>
      </c>
      <c r="D56" s="401"/>
      <c r="E56" s="401"/>
      <c r="F56" s="401">
        <v>25392.656694999998</v>
      </c>
      <c r="G56" s="523">
        <v>1330382.0716749998</v>
      </c>
      <c r="H56" s="111"/>
    </row>
    <row r="57" spans="1:8" ht="8.4" customHeight="1">
      <c r="A57" s="520" t="s">
        <v>231</v>
      </c>
      <c r="B57" s="299" t="s">
        <v>288</v>
      </c>
      <c r="C57" s="493">
        <v>31317.1284375</v>
      </c>
      <c r="D57" s="493"/>
      <c r="E57" s="493"/>
      <c r="F57" s="493">
        <v>31317.1284375</v>
      </c>
      <c r="G57" s="522">
        <v>180968.86034500002</v>
      </c>
      <c r="H57" s="111"/>
    </row>
    <row r="58" spans="1:8" ht="8.4" customHeight="1">
      <c r="A58" s="521" t="s">
        <v>471</v>
      </c>
      <c r="B58" s="400"/>
      <c r="C58" s="401">
        <v>31317.1284375</v>
      </c>
      <c r="D58" s="401"/>
      <c r="E58" s="401"/>
      <c r="F58" s="401">
        <v>31317.1284375</v>
      </c>
      <c r="G58" s="523">
        <v>180968.86034500002</v>
      </c>
      <c r="H58" s="111"/>
    </row>
    <row r="59" spans="1:8" ht="8.4" customHeight="1">
      <c r="A59" s="520" t="s">
        <v>447</v>
      </c>
      <c r="B59" s="299" t="s">
        <v>63</v>
      </c>
      <c r="C59" s="493"/>
      <c r="D59" s="493"/>
      <c r="E59" s="493">
        <v>1056.728515</v>
      </c>
      <c r="F59" s="493">
        <v>1056.728515</v>
      </c>
      <c r="G59" s="522">
        <v>30443.342935000001</v>
      </c>
      <c r="H59" s="111"/>
    </row>
    <row r="60" spans="1:8" ht="8.4" customHeight="1">
      <c r="A60" s="520"/>
      <c r="B60" s="299" t="s">
        <v>62</v>
      </c>
      <c r="C60" s="493"/>
      <c r="D60" s="493"/>
      <c r="E60" s="493">
        <v>1319.7084075</v>
      </c>
      <c r="F60" s="493">
        <v>1319.7084075</v>
      </c>
      <c r="G60" s="522">
        <v>32185.587724999998</v>
      </c>
      <c r="H60" s="111"/>
    </row>
    <row r="61" spans="1:8" ht="8.4" customHeight="1">
      <c r="A61" s="520"/>
      <c r="B61" s="299" t="s">
        <v>58</v>
      </c>
      <c r="C61" s="493"/>
      <c r="D61" s="493"/>
      <c r="E61" s="493">
        <v>2223.4728799999998</v>
      </c>
      <c r="F61" s="493">
        <v>2223.4728799999998</v>
      </c>
      <c r="G61" s="522">
        <v>63705.827652499996</v>
      </c>
      <c r="H61" s="111"/>
    </row>
    <row r="62" spans="1:8" ht="8.4" customHeight="1">
      <c r="A62" s="520"/>
      <c r="B62" s="299" t="s">
        <v>55</v>
      </c>
      <c r="C62" s="493"/>
      <c r="D62" s="493"/>
      <c r="E62" s="493">
        <v>3205.9598875000001</v>
      </c>
      <c r="F62" s="493">
        <v>3205.9598875000001</v>
      </c>
      <c r="G62" s="522">
        <v>74712.781227499989</v>
      </c>
      <c r="H62" s="111"/>
    </row>
    <row r="63" spans="1:8" ht="8.4" customHeight="1">
      <c r="A63" s="520"/>
      <c r="B63" s="299" t="s">
        <v>66</v>
      </c>
      <c r="C63" s="493"/>
      <c r="D63" s="493"/>
      <c r="E63" s="493">
        <v>1653.9082475</v>
      </c>
      <c r="F63" s="493">
        <v>1653.9082475</v>
      </c>
      <c r="G63" s="522">
        <v>20195.7645175</v>
      </c>
      <c r="H63" s="111"/>
    </row>
    <row r="64" spans="1:8" ht="8.4" customHeight="1">
      <c r="A64" s="520"/>
      <c r="B64" s="299" t="s">
        <v>65</v>
      </c>
      <c r="C64" s="493"/>
      <c r="D64" s="493"/>
      <c r="E64" s="493">
        <v>1989.6140025</v>
      </c>
      <c r="F64" s="493">
        <v>1989.6140025</v>
      </c>
      <c r="G64" s="522">
        <v>23107.732059999998</v>
      </c>
      <c r="H64" s="197"/>
    </row>
    <row r="65" spans="1:8" ht="8.4" customHeight="1">
      <c r="A65" s="521" t="s">
        <v>472</v>
      </c>
      <c r="B65" s="400"/>
      <c r="C65" s="401"/>
      <c r="D65" s="401"/>
      <c r="E65" s="401">
        <v>11449.391940000001</v>
      </c>
      <c r="F65" s="401">
        <v>11449.391940000001</v>
      </c>
      <c r="G65" s="523">
        <v>244351.03611749999</v>
      </c>
      <c r="H65" s="197"/>
    </row>
    <row r="66" spans="1:8" ht="8.4" customHeight="1">
      <c r="A66" s="520" t="s">
        <v>86</v>
      </c>
      <c r="B66" s="299" t="s">
        <v>434</v>
      </c>
      <c r="C66" s="493">
        <v>47594.882750000004</v>
      </c>
      <c r="D66" s="493"/>
      <c r="E66" s="493"/>
      <c r="F66" s="493">
        <v>47594.882750000004</v>
      </c>
      <c r="G66" s="522">
        <v>315890.55249999999</v>
      </c>
      <c r="H66" s="197"/>
    </row>
    <row r="67" spans="1:8" ht="8.4" customHeight="1">
      <c r="A67" s="520"/>
      <c r="B67" s="299" t="s">
        <v>289</v>
      </c>
      <c r="C67" s="493">
        <v>17900.88825</v>
      </c>
      <c r="D67" s="493"/>
      <c r="E67" s="493"/>
      <c r="F67" s="493">
        <v>17900.88825</v>
      </c>
      <c r="G67" s="522">
        <v>120274.03225</v>
      </c>
      <c r="H67" s="197"/>
    </row>
    <row r="68" spans="1:8" ht="8.4" customHeight="1">
      <c r="A68" s="520"/>
      <c r="B68" s="299" t="s">
        <v>290</v>
      </c>
      <c r="C68" s="493">
        <v>75059.620750000002</v>
      </c>
      <c r="D68" s="493"/>
      <c r="E68" s="493"/>
      <c r="F68" s="493">
        <v>75059.620750000002</v>
      </c>
      <c r="G68" s="522">
        <v>639297.62824999995</v>
      </c>
      <c r="H68" s="197"/>
    </row>
    <row r="69" spans="1:8" ht="8.4" customHeight="1">
      <c r="A69" s="520"/>
      <c r="B69" s="299" t="s">
        <v>291</v>
      </c>
      <c r="C69" s="493">
        <v>61006.840249999994</v>
      </c>
      <c r="D69" s="493"/>
      <c r="E69" s="493"/>
      <c r="F69" s="493">
        <v>61006.840249999994</v>
      </c>
      <c r="G69" s="522">
        <v>539817.22550000006</v>
      </c>
      <c r="H69" s="197"/>
    </row>
    <row r="70" spans="1:8" ht="8.4" customHeight="1">
      <c r="A70" s="520"/>
      <c r="B70" s="299" t="s">
        <v>292</v>
      </c>
      <c r="C70" s="493">
        <v>43249.742000000006</v>
      </c>
      <c r="D70" s="493"/>
      <c r="E70" s="493"/>
      <c r="F70" s="493">
        <v>43249.742000000006</v>
      </c>
      <c r="G70" s="522">
        <v>294524.09675000003</v>
      </c>
    </row>
    <row r="71" spans="1:8" ht="8.4" customHeight="1">
      <c r="A71" s="520"/>
      <c r="B71" s="299" t="s">
        <v>293</v>
      </c>
      <c r="C71" s="493"/>
      <c r="D71" s="493">
        <v>111463.32800000001</v>
      </c>
      <c r="E71" s="493"/>
      <c r="F71" s="493">
        <v>111463.32800000001</v>
      </c>
      <c r="G71" s="522">
        <v>421192.59774999996</v>
      </c>
    </row>
    <row r="72" spans="1:8" ht="8.4" customHeight="1">
      <c r="A72" s="520"/>
      <c r="B72" s="299" t="s">
        <v>294</v>
      </c>
      <c r="C72" s="493"/>
      <c r="D72" s="493">
        <v>81201.780249999996</v>
      </c>
      <c r="E72" s="493"/>
      <c r="F72" s="493">
        <v>81201.780249999996</v>
      </c>
      <c r="G72" s="522">
        <v>428330.92674999998</v>
      </c>
    </row>
    <row r="73" spans="1:8" ht="8.4" customHeight="1">
      <c r="A73" s="520"/>
      <c r="B73" s="299" t="s">
        <v>295</v>
      </c>
      <c r="C73" s="493"/>
      <c r="D73" s="493">
        <v>295960.00399999996</v>
      </c>
      <c r="E73" s="493"/>
      <c r="F73" s="493">
        <v>295960.00399999996</v>
      </c>
      <c r="G73" s="522">
        <v>1669308.4004999998</v>
      </c>
    </row>
    <row r="74" spans="1:8" ht="8.4" customHeight="1">
      <c r="A74" s="520"/>
      <c r="B74" s="299" t="s">
        <v>395</v>
      </c>
      <c r="C74" s="493"/>
      <c r="D74" s="493"/>
      <c r="E74" s="493">
        <v>358.27600000000001</v>
      </c>
      <c r="F74" s="493">
        <v>358.27600000000001</v>
      </c>
      <c r="G74" s="522">
        <v>2367.6992499999997</v>
      </c>
    </row>
    <row r="75" spans="1:8" ht="8.4" customHeight="1">
      <c r="A75" s="521" t="s">
        <v>473</v>
      </c>
      <c r="B75" s="400"/>
      <c r="C75" s="401">
        <v>244811.97400000002</v>
      </c>
      <c r="D75" s="401">
        <v>488625.11224999995</v>
      </c>
      <c r="E75" s="401">
        <v>358.27600000000001</v>
      </c>
      <c r="F75" s="401">
        <v>733795.36224999989</v>
      </c>
      <c r="G75" s="523">
        <v>4431003.1595000001</v>
      </c>
    </row>
    <row r="76" spans="1:8" ht="8.4" customHeight="1">
      <c r="A76" s="520" t="s">
        <v>94</v>
      </c>
      <c r="B76" s="299" t="s">
        <v>296</v>
      </c>
      <c r="C76" s="493"/>
      <c r="D76" s="493">
        <v>825.45474999999999</v>
      </c>
      <c r="E76" s="493"/>
      <c r="F76" s="493">
        <v>825.45474999999999</v>
      </c>
      <c r="G76" s="522">
        <v>3486.2015000000001</v>
      </c>
    </row>
    <row r="77" spans="1:8" ht="8.4" customHeight="1">
      <c r="A77" s="520"/>
      <c r="B77" s="299" t="s">
        <v>297</v>
      </c>
      <c r="C77" s="493"/>
      <c r="D77" s="493">
        <v>64337.104749999999</v>
      </c>
      <c r="E77" s="493"/>
      <c r="F77" s="493">
        <v>64337.104749999999</v>
      </c>
      <c r="G77" s="522">
        <v>364423.93550000002</v>
      </c>
    </row>
    <row r="78" spans="1:8" ht="8.4" customHeight="1">
      <c r="A78" s="520"/>
      <c r="B78" s="299" t="s">
        <v>298</v>
      </c>
      <c r="C78" s="493"/>
      <c r="D78" s="493">
        <v>2018.7484999999999</v>
      </c>
      <c r="E78" s="493"/>
      <c r="F78" s="493">
        <v>2018.7484999999999</v>
      </c>
      <c r="G78" s="522">
        <v>53752.964250000005</v>
      </c>
    </row>
    <row r="79" spans="1:8" ht="8.4" customHeight="1">
      <c r="A79" s="521" t="s">
        <v>474</v>
      </c>
      <c r="B79" s="400"/>
      <c r="C79" s="401"/>
      <c r="D79" s="401">
        <v>67181.30799999999</v>
      </c>
      <c r="E79" s="401"/>
      <c r="F79" s="401">
        <v>67181.30799999999</v>
      </c>
      <c r="G79" s="523">
        <v>421663.10125000007</v>
      </c>
    </row>
    <row r="80" spans="1:8" ht="8.4" customHeight="1">
      <c r="A80" s="520" t="s">
        <v>96</v>
      </c>
      <c r="B80" s="299" t="s">
        <v>402</v>
      </c>
      <c r="C80" s="493"/>
      <c r="D80" s="493"/>
      <c r="E80" s="493">
        <v>33307.657749999998</v>
      </c>
      <c r="F80" s="493">
        <v>33307.657749999998</v>
      </c>
      <c r="G80" s="522">
        <v>229575.60525000002</v>
      </c>
    </row>
    <row r="81" spans="1:7" ht="8.4" customHeight="1">
      <c r="A81" s="520"/>
      <c r="B81" s="299" t="s">
        <v>401</v>
      </c>
      <c r="C81" s="493"/>
      <c r="D81" s="493"/>
      <c r="E81" s="493">
        <v>41140.110500000003</v>
      </c>
      <c r="F81" s="493">
        <v>41140.110500000003</v>
      </c>
      <c r="G81" s="522">
        <v>239877.92625000002</v>
      </c>
    </row>
    <row r="82" spans="1:7" ht="8.4" customHeight="1">
      <c r="A82" s="520"/>
      <c r="B82" s="299" t="s">
        <v>604</v>
      </c>
      <c r="C82" s="493"/>
      <c r="D82" s="493"/>
      <c r="E82" s="493">
        <v>8685.24</v>
      </c>
      <c r="F82" s="493">
        <v>8685.24</v>
      </c>
      <c r="G82" s="522">
        <v>13829.609</v>
      </c>
    </row>
    <row r="83" spans="1:7" ht="8.4" customHeight="1">
      <c r="A83" s="521" t="s">
        <v>475</v>
      </c>
      <c r="B83" s="400"/>
      <c r="C83" s="401"/>
      <c r="D83" s="401"/>
      <c r="E83" s="401">
        <v>83133.008249999999</v>
      </c>
      <c r="F83" s="401">
        <v>83133.008249999999</v>
      </c>
      <c r="G83" s="523">
        <v>483283.14050000004</v>
      </c>
    </row>
    <row r="84" spans="1:7" ht="8.4" customHeight="1">
      <c r="A84" s="520" t="s">
        <v>95</v>
      </c>
      <c r="B84" s="299" t="s">
        <v>75</v>
      </c>
      <c r="C84" s="493"/>
      <c r="D84" s="493"/>
      <c r="E84" s="493">
        <v>18620.082547499998</v>
      </c>
      <c r="F84" s="493">
        <v>18620.082547499998</v>
      </c>
      <c r="G84" s="522">
        <v>136298.77446000002</v>
      </c>
    </row>
    <row r="85" spans="1:7" ht="8.4" customHeight="1">
      <c r="A85" s="520"/>
      <c r="B85" s="299" t="s">
        <v>77</v>
      </c>
      <c r="C85" s="493"/>
      <c r="D85" s="493"/>
      <c r="E85" s="493">
        <v>12785.971820000001</v>
      </c>
      <c r="F85" s="493">
        <v>12785.971820000001</v>
      </c>
      <c r="G85" s="522">
        <v>52014.435794999998</v>
      </c>
    </row>
    <row r="86" spans="1:7" ht="8.4" customHeight="1">
      <c r="A86" s="521" t="s">
        <v>476</v>
      </c>
      <c r="B86" s="400"/>
      <c r="C86" s="401"/>
      <c r="D86" s="401"/>
      <c r="E86" s="401">
        <v>31406.054367500001</v>
      </c>
      <c r="F86" s="401">
        <v>31406.054367500001</v>
      </c>
      <c r="G86" s="523">
        <v>188313.21025500001</v>
      </c>
    </row>
    <row r="87" spans="1:7" ht="8.4" customHeight="1"/>
  </sheetData>
  <mergeCells count="5">
    <mergeCell ref="A2:A5"/>
    <mergeCell ref="B2:B5"/>
    <mergeCell ref="C2:F2"/>
    <mergeCell ref="C3:E3"/>
    <mergeCell ref="F3:F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79"/>
  <sheetViews>
    <sheetView showGridLines="0" view="pageBreakPreview" zoomScale="130" zoomScaleNormal="100" zoomScaleSheetLayoutView="130" zoomScalePageLayoutView="130" workbookViewId="0">
      <selection activeCell="D11" sqref="D11"/>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3" bestFit="1" customWidth="1"/>
  </cols>
  <sheetData>
    <row r="1" spans="1:8" ht="13.8" customHeight="1">
      <c r="A1" s="923" t="s">
        <v>243</v>
      </c>
      <c r="B1" s="926" t="s">
        <v>52</v>
      </c>
      <c r="C1" s="929" t="str">
        <f>+'18. ANEXOI-1'!C2:F2</f>
        <v>ENERGÍA PRODUCIDA JULIO 2023</v>
      </c>
      <c r="D1" s="929"/>
      <c r="E1" s="929"/>
      <c r="F1" s="929"/>
      <c r="G1" s="494" t="s">
        <v>264</v>
      </c>
      <c r="H1" s="203"/>
    </row>
    <row r="2" spans="1:8" ht="11.25" customHeight="1">
      <c r="A2" s="924"/>
      <c r="B2" s="927"/>
      <c r="C2" s="930" t="s">
        <v>265</v>
      </c>
      <c r="D2" s="930"/>
      <c r="E2" s="930"/>
      <c r="F2" s="931" t="str">
        <f>"TOTAL 
"&amp;UPPER('1. Resumen'!Q4)</f>
        <v>TOTAL 
JULIO</v>
      </c>
      <c r="G2" s="495" t="s">
        <v>266</v>
      </c>
      <c r="H2" s="194"/>
    </row>
    <row r="3" spans="1:8" ht="11.25" customHeight="1">
      <c r="A3" s="924"/>
      <c r="B3" s="927"/>
      <c r="C3" s="490" t="s">
        <v>208</v>
      </c>
      <c r="D3" s="490" t="s">
        <v>209</v>
      </c>
      <c r="E3" s="490" t="s">
        <v>267</v>
      </c>
      <c r="F3" s="932"/>
      <c r="G3" s="495">
        <v>2023</v>
      </c>
      <c r="H3" s="196"/>
    </row>
    <row r="4" spans="1:8" ht="11.25" customHeight="1">
      <c r="A4" s="933"/>
      <c r="B4" s="934"/>
      <c r="C4" s="491" t="s">
        <v>268</v>
      </c>
      <c r="D4" s="491" t="s">
        <v>268</v>
      </c>
      <c r="E4" s="491" t="s">
        <v>268</v>
      </c>
      <c r="F4" s="491" t="s">
        <v>268</v>
      </c>
      <c r="G4" s="496" t="s">
        <v>201</v>
      </c>
      <c r="H4" s="196"/>
    </row>
    <row r="5" spans="1:8" ht="9" customHeight="1">
      <c r="A5" s="520" t="s">
        <v>85</v>
      </c>
      <c r="B5" s="299" t="s">
        <v>616</v>
      </c>
      <c r="C5" s="493">
        <v>0</v>
      </c>
      <c r="D5" s="493"/>
      <c r="E5" s="493"/>
      <c r="F5" s="493">
        <v>0</v>
      </c>
      <c r="G5" s="522">
        <v>110650.23636499999</v>
      </c>
    </row>
    <row r="6" spans="1:8" ht="9" customHeight="1">
      <c r="A6" s="520"/>
      <c r="B6" s="299" t="s">
        <v>299</v>
      </c>
      <c r="C6" s="493">
        <v>42010.842177499995</v>
      </c>
      <c r="D6" s="493"/>
      <c r="E6" s="493"/>
      <c r="F6" s="493">
        <v>42010.842177499995</v>
      </c>
      <c r="G6" s="522">
        <v>489707.81442750013</v>
      </c>
    </row>
    <row r="7" spans="1:8" ht="9" customHeight="1">
      <c r="A7" s="520"/>
      <c r="B7" s="299" t="s">
        <v>300</v>
      </c>
      <c r="C7" s="493"/>
      <c r="D7" s="493">
        <v>531720.04255250003</v>
      </c>
      <c r="E7" s="493"/>
      <c r="F7" s="493">
        <v>531720.04255250003</v>
      </c>
      <c r="G7" s="522">
        <v>3242664.9562300001</v>
      </c>
    </row>
    <row r="8" spans="1:8" ht="9" customHeight="1">
      <c r="A8" s="520"/>
      <c r="B8" s="299" t="s">
        <v>301</v>
      </c>
      <c r="C8" s="493"/>
      <c r="D8" s="493">
        <v>71886.457457500001</v>
      </c>
      <c r="E8" s="493"/>
      <c r="F8" s="493">
        <v>71886.457457500001</v>
      </c>
      <c r="G8" s="522">
        <v>318882.44783249998</v>
      </c>
    </row>
    <row r="9" spans="1:8" ht="9" customHeight="1">
      <c r="A9" s="520"/>
      <c r="B9" s="299" t="s">
        <v>302</v>
      </c>
      <c r="C9" s="493"/>
      <c r="D9" s="493">
        <v>54685.103672500001</v>
      </c>
      <c r="E9" s="493"/>
      <c r="F9" s="493">
        <v>54685.103672500001</v>
      </c>
      <c r="G9" s="522">
        <v>63363.731574999998</v>
      </c>
    </row>
    <row r="10" spans="1:8" ht="9" customHeight="1">
      <c r="A10" s="520"/>
      <c r="B10" s="299" t="s">
        <v>303</v>
      </c>
      <c r="C10" s="493"/>
      <c r="D10" s="493">
        <v>34935.204892499998</v>
      </c>
      <c r="E10" s="493"/>
      <c r="F10" s="493">
        <v>34935.204892499998</v>
      </c>
      <c r="G10" s="522">
        <v>106892.09681999999</v>
      </c>
    </row>
    <row r="11" spans="1:8" ht="9" customHeight="1">
      <c r="A11" s="520"/>
      <c r="B11" s="299" t="s">
        <v>403</v>
      </c>
      <c r="C11" s="493"/>
      <c r="D11" s="493"/>
      <c r="E11" s="493">
        <v>8213.9864600000001</v>
      </c>
      <c r="F11" s="493">
        <v>8213.9864600000001</v>
      </c>
      <c r="G11" s="522">
        <v>55016.172392499997</v>
      </c>
    </row>
    <row r="12" spans="1:8" ht="9" customHeight="1">
      <c r="A12" s="520"/>
      <c r="B12" s="299" t="s">
        <v>617</v>
      </c>
      <c r="C12" s="493"/>
      <c r="D12" s="493"/>
      <c r="E12" s="493">
        <v>50257.116087500006</v>
      </c>
      <c r="F12" s="493">
        <v>50257.116087500006</v>
      </c>
      <c r="G12" s="522">
        <v>338063.84445999999</v>
      </c>
    </row>
    <row r="13" spans="1:8" ht="9" customHeight="1">
      <c r="A13" s="520"/>
      <c r="B13" s="299" t="s">
        <v>603</v>
      </c>
      <c r="C13" s="493"/>
      <c r="D13" s="493"/>
      <c r="E13" s="493">
        <v>5436.4919849999997</v>
      </c>
      <c r="F13" s="493">
        <v>5436.4919849999997</v>
      </c>
      <c r="G13" s="522">
        <v>10857.684045</v>
      </c>
    </row>
    <row r="14" spans="1:8" ht="9" customHeight="1">
      <c r="A14" s="521" t="s">
        <v>477</v>
      </c>
      <c r="B14" s="400"/>
      <c r="C14" s="401">
        <v>42010.842177499995</v>
      </c>
      <c r="D14" s="401">
        <v>693226.80857500003</v>
      </c>
      <c r="E14" s="401">
        <v>63907.594532500007</v>
      </c>
      <c r="F14" s="401">
        <v>799145.24528500007</v>
      </c>
      <c r="G14" s="523">
        <v>4736098.9841474993</v>
      </c>
    </row>
    <row r="15" spans="1:8" ht="9" customHeight="1">
      <c r="A15" s="520" t="s">
        <v>232</v>
      </c>
      <c r="B15" s="299" t="s">
        <v>304</v>
      </c>
      <c r="C15" s="493"/>
      <c r="D15" s="493">
        <v>362047.67728750012</v>
      </c>
      <c r="E15" s="493"/>
      <c r="F15" s="493">
        <v>362047.67728750012</v>
      </c>
      <c r="G15" s="522">
        <v>1668458.8935225001</v>
      </c>
    </row>
    <row r="16" spans="1:8" ht="9" customHeight="1">
      <c r="A16" s="521" t="s">
        <v>478</v>
      </c>
      <c r="B16" s="400"/>
      <c r="C16" s="401"/>
      <c r="D16" s="401">
        <v>362047.67728750012</v>
      </c>
      <c r="E16" s="401"/>
      <c r="F16" s="401">
        <v>362047.67728750012</v>
      </c>
      <c r="G16" s="523">
        <v>1668458.8935225001</v>
      </c>
    </row>
    <row r="17" spans="1:7" ht="9" customHeight="1">
      <c r="A17" s="520" t="s">
        <v>428</v>
      </c>
      <c r="B17" s="299" t="s">
        <v>432</v>
      </c>
      <c r="C17" s="493"/>
      <c r="D17" s="493"/>
      <c r="E17" s="493">
        <v>3276.1544675</v>
      </c>
      <c r="F17" s="493">
        <v>3276.1544675</v>
      </c>
      <c r="G17" s="522">
        <v>78111.017315000019</v>
      </c>
    </row>
    <row r="18" spans="1:7" ht="9" customHeight="1">
      <c r="A18" s="520"/>
      <c r="B18" s="299" t="s">
        <v>429</v>
      </c>
      <c r="C18" s="493"/>
      <c r="D18" s="493"/>
      <c r="E18" s="493">
        <v>1540.4036375000001</v>
      </c>
      <c r="F18" s="493">
        <v>1540.4036375000001</v>
      </c>
      <c r="G18" s="522">
        <v>28891.840607500002</v>
      </c>
    </row>
    <row r="19" spans="1:7" ht="9" customHeight="1">
      <c r="A19" s="521" t="s">
        <v>479</v>
      </c>
      <c r="B19" s="400"/>
      <c r="C19" s="401"/>
      <c r="D19" s="401"/>
      <c r="E19" s="401">
        <v>4816.5581050000001</v>
      </c>
      <c r="F19" s="401">
        <v>4816.5581050000001</v>
      </c>
      <c r="G19" s="523">
        <v>107002.85792250003</v>
      </c>
    </row>
    <row r="20" spans="1:7" ht="9" customHeight="1">
      <c r="A20" s="520" t="s">
        <v>106</v>
      </c>
      <c r="B20" s="299" t="s">
        <v>64</v>
      </c>
      <c r="C20" s="493"/>
      <c r="D20" s="493"/>
      <c r="E20" s="493">
        <v>4038.72741</v>
      </c>
      <c r="F20" s="493">
        <v>4038.72741</v>
      </c>
      <c r="G20" s="522">
        <v>25949.775287499997</v>
      </c>
    </row>
    <row r="21" spans="1:7" ht="9" customHeight="1">
      <c r="A21" s="520"/>
      <c r="B21" s="299" t="s">
        <v>394</v>
      </c>
      <c r="C21" s="493"/>
      <c r="D21" s="493"/>
      <c r="E21" s="493">
        <v>2522.7225699999999</v>
      </c>
      <c r="F21" s="493">
        <v>2522.7225699999999</v>
      </c>
      <c r="G21" s="522">
        <v>58239.186600000001</v>
      </c>
    </row>
    <row r="22" spans="1:7" ht="9" customHeight="1">
      <c r="A22" s="520"/>
      <c r="B22" s="299" t="s">
        <v>392</v>
      </c>
      <c r="C22" s="493"/>
      <c r="D22" s="493"/>
      <c r="E22" s="493">
        <v>3685.0678550000002</v>
      </c>
      <c r="F22" s="493">
        <v>3685.0678550000002</v>
      </c>
      <c r="G22" s="522">
        <v>71980.253450000004</v>
      </c>
    </row>
    <row r="23" spans="1:7" ht="9" customHeight="1">
      <c r="A23" s="520"/>
      <c r="B23" s="299" t="s">
        <v>393</v>
      </c>
      <c r="C23" s="493"/>
      <c r="D23" s="493"/>
      <c r="E23" s="493">
        <v>3800.6059850000001</v>
      </c>
      <c r="F23" s="493">
        <v>3800.6059850000001</v>
      </c>
      <c r="G23" s="522">
        <v>70425.80601</v>
      </c>
    </row>
    <row r="24" spans="1:7" ht="9" customHeight="1">
      <c r="A24" s="728" t="s">
        <v>480</v>
      </c>
      <c r="B24" s="729"/>
      <c r="C24" s="730"/>
      <c r="D24" s="730"/>
      <c r="E24" s="730">
        <v>14047.123819999999</v>
      </c>
      <c r="F24" s="730">
        <v>14047.123819999999</v>
      </c>
      <c r="G24" s="731">
        <v>226595.02134750001</v>
      </c>
    </row>
    <row r="25" spans="1:7" ht="9" customHeight="1">
      <c r="A25" s="520" t="s">
        <v>444</v>
      </c>
      <c r="B25" s="299" t="s">
        <v>450</v>
      </c>
      <c r="C25" s="493"/>
      <c r="D25" s="493"/>
      <c r="E25" s="493">
        <v>8362.8390424999998</v>
      </c>
      <c r="F25" s="493">
        <v>8362.8390424999998</v>
      </c>
      <c r="G25" s="522">
        <v>38100.825675</v>
      </c>
    </row>
    <row r="26" spans="1:7" ht="9" customHeight="1">
      <c r="A26" s="521" t="s">
        <v>481</v>
      </c>
      <c r="B26" s="400"/>
      <c r="C26" s="401"/>
      <c r="D26" s="401"/>
      <c r="E26" s="401">
        <v>8362.8390424999998</v>
      </c>
      <c r="F26" s="401">
        <v>8362.8390424999998</v>
      </c>
      <c r="G26" s="523">
        <v>38100.825675</v>
      </c>
    </row>
    <row r="27" spans="1:7" ht="9" customHeight="1">
      <c r="A27" s="520" t="s">
        <v>445</v>
      </c>
      <c r="B27" s="299" t="s">
        <v>451</v>
      </c>
      <c r="C27" s="493"/>
      <c r="D27" s="493"/>
      <c r="E27" s="493">
        <v>9991.8544349999993</v>
      </c>
      <c r="F27" s="493">
        <v>9991.8544349999993</v>
      </c>
      <c r="G27" s="522">
        <v>46426.391034999993</v>
      </c>
    </row>
    <row r="28" spans="1:7" ht="9" customHeight="1">
      <c r="A28" s="521" t="s">
        <v>482</v>
      </c>
      <c r="B28" s="400"/>
      <c r="C28" s="401"/>
      <c r="D28" s="401"/>
      <c r="E28" s="401">
        <v>9991.8544349999993</v>
      </c>
      <c r="F28" s="401">
        <v>9991.8544349999993</v>
      </c>
      <c r="G28" s="523">
        <v>46426.391034999993</v>
      </c>
    </row>
    <row r="29" spans="1:7" ht="9" customHeight="1">
      <c r="A29" s="520" t="s">
        <v>112</v>
      </c>
      <c r="B29" s="299" t="s">
        <v>72</v>
      </c>
      <c r="C29" s="493"/>
      <c r="D29" s="493"/>
      <c r="E29" s="493">
        <v>2558</v>
      </c>
      <c r="F29" s="493">
        <v>2558</v>
      </c>
      <c r="G29" s="522">
        <v>16379.7</v>
      </c>
    </row>
    <row r="30" spans="1:7" ht="9" customHeight="1">
      <c r="A30" s="521" t="s">
        <v>483</v>
      </c>
      <c r="B30" s="400"/>
      <c r="C30" s="401"/>
      <c r="D30" s="401"/>
      <c r="E30" s="401">
        <v>2558</v>
      </c>
      <c r="F30" s="401">
        <v>2558</v>
      </c>
      <c r="G30" s="523">
        <v>16379.7</v>
      </c>
    </row>
    <row r="31" spans="1:7" ht="9" customHeight="1">
      <c r="A31" s="520" t="s">
        <v>101</v>
      </c>
      <c r="B31" s="299" t="s">
        <v>305</v>
      </c>
      <c r="C31" s="493">
        <v>12992.2866975</v>
      </c>
      <c r="D31" s="493"/>
      <c r="E31" s="493"/>
      <c r="F31" s="493">
        <v>12992.2866975</v>
      </c>
      <c r="G31" s="522">
        <v>81224.865527499991</v>
      </c>
    </row>
    <row r="32" spans="1:7" ht="9" customHeight="1">
      <c r="A32" s="521" t="s">
        <v>484</v>
      </c>
      <c r="B32" s="400"/>
      <c r="C32" s="401">
        <v>12992.2866975</v>
      </c>
      <c r="D32" s="401"/>
      <c r="E32" s="401"/>
      <c r="F32" s="401">
        <v>12992.2866975</v>
      </c>
      <c r="G32" s="523">
        <v>81224.865527499991</v>
      </c>
    </row>
    <row r="33" spans="1:7" ht="9" customHeight="1">
      <c r="A33" s="520" t="s">
        <v>233</v>
      </c>
      <c r="B33" s="299" t="s">
        <v>57</v>
      </c>
      <c r="C33" s="493"/>
      <c r="D33" s="493"/>
      <c r="E33" s="493">
        <v>10116.445</v>
      </c>
      <c r="F33" s="493">
        <v>10116.445</v>
      </c>
      <c r="G33" s="522">
        <v>83580.440999999992</v>
      </c>
    </row>
    <row r="34" spans="1:7" ht="9" customHeight="1">
      <c r="A34" s="521" t="s">
        <v>485</v>
      </c>
      <c r="B34" s="400"/>
      <c r="C34" s="401"/>
      <c r="D34" s="401"/>
      <c r="E34" s="401">
        <v>10116.445</v>
      </c>
      <c r="F34" s="401">
        <v>10116.445</v>
      </c>
      <c r="G34" s="523">
        <v>83580.440999999992</v>
      </c>
    </row>
    <row r="35" spans="1:7" ht="9" customHeight="1">
      <c r="A35" s="520" t="s">
        <v>405</v>
      </c>
      <c r="B35" s="299" t="s">
        <v>409</v>
      </c>
      <c r="C35" s="493">
        <v>37935.866780000004</v>
      </c>
      <c r="D35" s="493"/>
      <c r="E35" s="493"/>
      <c r="F35" s="493">
        <v>37935.866780000004</v>
      </c>
      <c r="G35" s="522">
        <v>396269.49790499994</v>
      </c>
    </row>
    <row r="36" spans="1:7" ht="9" customHeight="1">
      <c r="A36" s="521" t="s">
        <v>486</v>
      </c>
      <c r="B36" s="400"/>
      <c r="C36" s="401">
        <v>37935.866780000004</v>
      </c>
      <c r="D36" s="401"/>
      <c r="E36" s="401"/>
      <c r="F36" s="401">
        <v>37935.866780000004</v>
      </c>
      <c r="G36" s="523">
        <v>396269.49790499994</v>
      </c>
    </row>
    <row r="37" spans="1:7" ht="9" customHeight="1">
      <c r="A37" s="520" t="s">
        <v>436</v>
      </c>
      <c r="B37" s="299" t="s">
        <v>440</v>
      </c>
      <c r="C37" s="493"/>
      <c r="D37" s="493"/>
      <c r="E37" s="493">
        <v>3622.0569049999999</v>
      </c>
      <c r="F37" s="493">
        <v>3622.0569049999999</v>
      </c>
      <c r="G37" s="522">
        <v>49775.310739999994</v>
      </c>
    </row>
    <row r="38" spans="1:7" ht="9" customHeight="1">
      <c r="A38" s="521" t="s">
        <v>487</v>
      </c>
      <c r="B38" s="400"/>
      <c r="C38" s="401"/>
      <c r="D38" s="401"/>
      <c r="E38" s="401">
        <v>3622.0569049999999</v>
      </c>
      <c r="F38" s="401">
        <v>3622.0569049999999</v>
      </c>
      <c r="G38" s="523">
        <v>49775.310739999994</v>
      </c>
    </row>
    <row r="39" spans="1:7" s="46" customFormat="1" ht="9" customHeight="1">
      <c r="A39" s="520" t="s">
        <v>114</v>
      </c>
      <c r="B39" s="299" t="s">
        <v>307</v>
      </c>
      <c r="C39" s="493"/>
      <c r="D39" s="493">
        <v>47.990639999999999</v>
      </c>
      <c r="E39" s="493"/>
      <c r="F39" s="493">
        <v>47.990639999999999</v>
      </c>
      <c r="G39" s="522">
        <v>433.17064999999997</v>
      </c>
    </row>
    <row r="40" spans="1:7" ht="9" customHeight="1">
      <c r="A40" s="520"/>
      <c r="B40" s="299" t="s">
        <v>308</v>
      </c>
      <c r="C40" s="493"/>
      <c r="D40" s="493">
        <v>579.88316750000001</v>
      </c>
      <c r="E40" s="493"/>
      <c r="F40" s="493">
        <v>579.88316750000001</v>
      </c>
      <c r="G40" s="522">
        <v>1122.74233</v>
      </c>
    </row>
    <row r="41" spans="1:7" ht="9" customHeight="1">
      <c r="A41" s="521" t="s">
        <v>488</v>
      </c>
      <c r="B41" s="400"/>
      <c r="C41" s="401"/>
      <c r="D41" s="401">
        <v>627.8738075</v>
      </c>
      <c r="E41" s="401"/>
      <c r="F41" s="401">
        <v>627.8738075</v>
      </c>
      <c r="G41" s="523">
        <v>1555.9129800000001</v>
      </c>
    </row>
    <row r="42" spans="1:7" ht="9" customHeight="1">
      <c r="A42" s="520" t="s">
        <v>390</v>
      </c>
      <c r="B42" s="299" t="s">
        <v>309</v>
      </c>
      <c r="C42" s="493"/>
      <c r="D42" s="493">
        <v>619074.28359999997</v>
      </c>
      <c r="E42" s="493"/>
      <c r="F42" s="493">
        <v>619074.28359999997</v>
      </c>
      <c r="G42" s="522">
        <v>3609206.0470949998</v>
      </c>
    </row>
    <row r="43" spans="1:7" ht="9" customHeight="1">
      <c r="A43" s="520"/>
      <c r="B43" s="299" t="s">
        <v>543</v>
      </c>
      <c r="C43" s="493"/>
      <c r="D43" s="493">
        <v>187865.55870250001</v>
      </c>
      <c r="E43" s="493"/>
      <c r="F43" s="493">
        <v>187865.55870250001</v>
      </c>
      <c r="G43" s="522">
        <v>1322001.6861975</v>
      </c>
    </row>
    <row r="44" spans="1:7" ht="9" customHeight="1">
      <c r="A44" s="520"/>
      <c r="B44" s="299" t="s">
        <v>407</v>
      </c>
      <c r="C44" s="493">
        <v>146006.28078249999</v>
      </c>
      <c r="D44" s="493"/>
      <c r="E44" s="493"/>
      <c r="F44" s="493">
        <v>146006.28078249999</v>
      </c>
      <c r="G44" s="522">
        <v>1727528.8569199999</v>
      </c>
    </row>
    <row r="45" spans="1:7" ht="9" customHeight="1">
      <c r="A45" s="520"/>
      <c r="B45" s="299" t="s">
        <v>310</v>
      </c>
      <c r="C45" s="493">
        <v>3173.732735</v>
      </c>
      <c r="D45" s="493"/>
      <c r="E45" s="493"/>
      <c r="F45" s="493">
        <v>3173.732735</v>
      </c>
      <c r="G45" s="522">
        <v>34680.866152499999</v>
      </c>
    </row>
    <row r="46" spans="1:7" ht="9" customHeight="1">
      <c r="A46" s="521" t="s">
        <v>489</v>
      </c>
      <c r="B46" s="400"/>
      <c r="C46" s="401">
        <v>149180.01351749999</v>
      </c>
      <c r="D46" s="401">
        <v>806939.84230250004</v>
      </c>
      <c r="E46" s="401"/>
      <c r="F46" s="401">
        <v>956119.85582000006</v>
      </c>
      <c r="G46" s="523">
        <v>6693417.4563649995</v>
      </c>
    </row>
    <row r="47" spans="1:7" ht="9" customHeight="1">
      <c r="A47" s="520" t="s">
        <v>452</v>
      </c>
      <c r="B47" s="299" t="s">
        <v>525</v>
      </c>
      <c r="C47" s="493">
        <v>15065.557249999998</v>
      </c>
      <c r="D47" s="493"/>
      <c r="E47" s="493"/>
      <c r="F47" s="493">
        <v>15065.557249999998</v>
      </c>
      <c r="G47" s="522">
        <v>241548.87338</v>
      </c>
    </row>
    <row r="48" spans="1:7" ht="9" customHeight="1">
      <c r="A48" s="521" t="s">
        <v>490</v>
      </c>
      <c r="B48" s="400"/>
      <c r="C48" s="401">
        <v>15065.557249999998</v>
      </c>
      <c r="D48" s="401"/>
      <c r="E48" s="401"/>
      <c r="F48" s="401">
        <v>15065.557249999998</v>
      </c>
      <c r="G48" s="523">
        <v>241548.87338</v>
      </c>
    </row>
    <row r="49" spans="1:8" ht="9" customHeight="1">
      <c r="A49" s="520" t="s">
        <v>113</v>
      </c>
      <c r="B49" s="299" t="s">
        <v>70</v>
      </c>
      <c r="C49" s="493"/>
      <c r="D49" s="493"/>
      <c r="E49" s="493">
        <v>1454.7262500000002</v>
      </c>
      <c r="F49" s="493">
        <v>1454.7262500000002</v>
      </c>
      <c r="G49" s="522">
        <v>14891.8189325</v>
      </c>
    </row>
    <row r="50" spans="1:8" ht="9" customHeight="1">
      <c r="A50" s="521" t="s">
        <v>491</v>
      </c>
      <c r="B50" s="400"/>
      <c r="C50" s="401"/>
      <c r="D50" s="401"/>
      <c r="E50" s="401">
        <v>1454.7262500000002</v>
      </c>
      <c r="F50" s="401">
        <v>1454.7262500000002</v>
      </c>
      <c r="G50" s="523">
        <v>14891.8189325</v>
      </c>
      <c r="H50" s="319"/>
    </row>
    <row r="51" spans="1:8" ht="9" customHeight="1">
      <c r="A51" s="520" t="s">
        <v>442</v>
      </c>
      <c r="B51" s="299" t="s">
        <v>226</v>
      </c>
      <c r="C51" s="493"/>
      <c r="D51" s="493"/>
      <c r="E51" s="493">
        <v>3747.0653000000002</v>
      </c>
      <c r="F51" s="493">
        <v>3747.0653000000002</v>
      </c>
      <c r="G51" s="522">
        <v>25372.9467</v>
      </c>
    </row>
    <row r="52" spans="1:8" ht="9" customHeight="1">
      <c r="A52" s="521" t="s">
        <v>492</v>
      </c>
      <c r="B52" s="400"/>
      <c r="C52" s="401"/>
      <c r="D52" s="401"/>
      <c r="E52" s="401">
        <v>3747.0653000000002</v>
      </c>
      <c r="F52" s="401">
        <v>3747.0653000000002</v>
      </c>
      <c r="G52" s="523">
        <v>25372.9467</v>
      </c>
    </row>
    <row r="53" spans="1:8" ht="9" customHeight="1">
      <c r="A53" s="520" t="s">
        <v>108</v>
      </c>
      <c r="B53" s="299" t="s">
        <v>79</v>
      </c>
      <c r="C53" s="493"/>
      <c r="D53" s="493"/>
      <c r="E53" s="493">
        <v>3515.8252499999999</v>
      </c>
      <c r="F53" s="493">
        <v>3515.8252499999999</v>
      </c>
      <c r="G53" s="522">
        <v>25776.3187425</v>
      </c>
    </row>
    <row r="54" spans="1:8" ht="9" customHeight="1">
      <c r="A54" s="521" t="s">
        <v>493</v>
      </c>
      <c r="B54" s="400"/>
      <c r="C54" s="401"/>
      <c r="D54" s="401"/>
      <c r="E54" s="401">
        <v>3515.8252499999999</v>
      </c>
      <c r="F54" s="401">
        <v>3515.8252499999999</v>
      </c>
      <c r="G54" s="523">
        <v>25776.3187425</v>
      </c>
    </row>
    <row r="55" spans="1:8" ht="9" customHeight="1">
      <c r="A55" s="520" t="s">
        <v>234</v>
      </c>
      <c r="B55" s="299" t="s">
        <v>69</v>
      </c>
      <c r="C55" s="493"/>
      <c r="D55" s="493"/>
      <c r="E55" s="493">
        <v>764.83272999999997</v>
      </c>
      <c r="F55" s="493">
        <v>764.83272999999997</v>
      </c>
      <c r="G55" s="522">
        <v>19577.8338625</v>
      </c>
    </row>
    <row r="56" spans="1:8" ht="9" customHeight="1">
      <c r="A56" s="520"/>
      <c r="B56" s="299" t="s">
        <v>311</v>
      </c>
      <c r="C56" s="493">
        <v>72013.559397500008</v>
      </c>
      <c r="D56" s="493"/>
      <c r="E56" s="493"/>
      <c r="F56" s="493">
        <v>72013.559397500008</v>
      </c>
      <c r="G56" s="522">
        <v>861179.63005250006</v>
      </c>
    </row>
    <row r="57" spans="1:8" ht="9" customHeight="1">
      <c r="A57" s="520"/>
      <c r="B57" s="299" t="s">
        <v>312</v>
      </c>
      <c r="C57" s="493">
        <v>31572.783309999999</v>
      </c>
      <c r="D57" s="493"/>
      <c r="E57" s="493"/>
      <c r="F57" s="493">
        <v>31572.783309999999</v>
      </c>
      <c r="G57" s="522">
        <v>394418.99276250007</v>
      </c>
    </row>
    <row r="58" spans="1:8" ht="9" customHeight="1">
      <c r="A58" s="520"/>
      <c r="B58" s="299" t="s">
        <v>60</v>
      </c>
      <c r="C58" s="493"/>
      <c r="D58" s="493"/>
      <c r="E58" s="493">
        <v>137.34635750000001</v>
      </c>
      <c r="F58" s="493">
        <v>137.34635750000001</v>
      </c>
      <c r="G58" s="522">
        <v>41962.434005000003</v>
      </c>
    </row>
    <row r="59" spans="1:8" ht="9" customHeight="1">
      <c r="A59" s="521" t="s">
        <v>494</v>
      </c>
      <c r="B59" s="400"/>
      <c r="C59" s="401">
        <v>103586.34270750001</v>
      </c>
      <c r="D59" s="401"/>
      <c r="E59" s="401">
        <v>902.17908749999992</v>
      </c>
      <c r="F59" s="401">
        <v>104488.52179500001</v>
      </c>
      <c r="G59" s="523">
        <v>1317138.8906825001</v>
      </c>
    </row>
    <row r="60" spans="1:8" ht="9" customHeight="1">
      <c r="A60" s="520" t="s">
        <v>235</v>
      </c>
      <c r="B60" s="299" t="s">
        <v>76</v>
      </c>
      <c r="C60" s="493"/>
      <c r="D60" s="493"/>
      <c r="E60" s="493">
        <v>10331.136974999999</v>
      </c>
      <c r="F60" s="493">
        <v>10331.136974999999</v>
      </c>
      <c r="G60" s="522">
        <v>79197.276134999993</v>
      </c>
    </row>
    <row r="61" spans="1:8" ht="9" customHeight="1">
      <c r="A61" s="521" t="s">
        <v>495</v>
      </c>
      <c r="B61" s="400"/>
      <c r="C61" s="401"/>
      <c r="D61" s="401"/>
      <c r="E61" s="401">
        <v>10331.136974999999</v>
      </c>
      <c r="F61" s="401">
        <v>10331.136974999999</v>
      </c>
      <c r="G61" s="523">
        <v>79197.276134999993</v>
      </c>
    </row>
    <row r="62" spans="1:8" ht="9" customHeight="1">
      <c r="A62" s="520" t="s">
        <v>97</v>
      </c>
      <c r="B62" s="299" t="s">
        <v>74</v>
      </c>
      <c r="C62" s="493"/>
      <c r="D62" s="493"/>
      <c r="E62" s="493">
        <v>31322.070052499999</v>
      </c>
      <c r="F62" s="493">
        <v>31322.070052499999</v>
      </c>
      <c r="G62" s="522">
        <v>235247.14427249998</v>
      </c>
    </row>
    <row r="63" spans="1:8" ht="9" customHeight="1">
      <c r="A63" s="521" t="s">
        <v>496</v>
      </c>
      <c r="B63" s="400"/>
      <c r="C63" s="401"/>
      <c r="D63" s="401"/>
      <c r="E63" s="401">
        <v>31322.070052499999</v>
      </c>
      <c r="F63" s="401">
        <v>31322.070052499999</v>
      </c>
      <c r="G63" s="523">
        <v>235247.14427249998</v>
      </c>
    </row>
    <row r="64" spans="1:8" ht="9" customHeight="1">
      <c r="A64" s="520" t="s">
        <v>105</v>
      </c>
      <c r="B64" s="299" t="s">
        <v>225</v>
      </c>
      <c r="C64" s="493"/>
      <c r="D64" s="493"/>
      <c r="E64" s="493">
        <v>4220.1009999999997</v>
      </c>
      <c r="F64" s="493">
        <v>4220.1009999999997</v>
      </c>
      <c r="G64" s="522">
        <v>31520.8942575</v>
      </c>
    </row>
    <row r="65" spans="1:7" ht="9" customHeight="1">
      <c r="A65" s="521" t="s">
        <v>497</v>
      </c>
      <c r="B65" s="400"/>
      <c r="C65" s="401"/>
      <c r="D65" s="401"/>
      <c r="E65" s="401">
        <v>4220.1009999999997</v>
      </c>
      <c r="F65" s="401">
        <v>4220.1009999999997</v>
      </c>
      <c r="G65" s="523">
        <v>31520.8942575</v>
      </c>
    </row>
    <row r="66" spans="1:7" ht="9" customHeight="1">
      <c r="A66" s="520" t="s">
        <v>391</v>
      </c>
      <c r="B66" s="299" t="s">
        <v>83</v>
      </c>
      <c r="C66" s="493"/>
      <c r="D66" s="493"/>
      <c r="E66" s="493">
        <v>864.60182499999996</v>
      </c>
      <c r="F66" s="493">
        <v>864.60182499999996</v>
      </c>
      <c r="G66" s="522">
        <v>5679.4704999999994</v>
      </c>
    </row>
    <row r="67" spans="1:7" ht="9" customHeight="1">
      <c r="A67" s="520"/>
      <c r="B67" s="299" t="s">
        <v>82</v>
      </c>
      <c r="C67" s="493"/>
      <c r="D67" s="493"/>
      <c r="E67" s="493">
        <v>2037.6750500000001</v>
      </c>
      <c r="F67" s="493">
        <v>2037.6750500000001</v>
      </c>
      <c r="G67" s="522">
        <v>15665.1773925</v>
      </c>
    </row>
    <row r="68" spans="1:7" ht="9" customHeight="1">
      <c r="A68" s="520"/>
      <c r="B68" s="299" t="s">
        <v>404</v>
      </c>
      <c r="C68" s="493"/>
      <c r="D68" s="493"/>
      <c r="E68" s="493">
        <v>1586.9422999999999</v>
      </c>
      <c r="F68" s="493">
        <v>1586.9422999999999</v>
      </c>
      <c r="G68" s="522">
        <v>8961.2459325000018</v>
      </c>
    </row>
    <row r="69" spans="1:7" ht="9" customHeight="1">
      <c r="A69" s="520"/>
      <c r="B69" s="299" t="s">
        <v>439</v>
      </c>
      <c r="C69" s="493"/>
      <c r="D69" s="493"/>
      <c r="E69" s="493">
        <v>1438.738425</v>
      </c>
      <c r="F69" s="493">
        <v>1438.738425</v>
      </c>
      <c r="G69" s="522">
        <v>8883.3966249999994</v>
      </c>
    </row>
    <row r="70" spans="1:7" ht="10.199999999999999" customHeight="1">
      <c r="A70" s="521" t="s">
        <v>498</v>
      </c>
      <c r="B70" s="400"/>
      <c r="C70" s="401"/>
      <c r="D70" s="401"/>
      <c r="E70" s="401">
        <v>5927.9575999999997</v>
      </c>
      <c r="F70" s="401">
        <v>5927.9575999999997</v>
      </c>
      <c r="G70" s="523">
        <v>39189.29045</v>
      </c>
    </row>
    <row r="71" spans="1:7" ht="9" customHeight="1">
      <c r="A71" s="520" t="s">
        <v>236</v>
      </c>
      <c r="B71" s="299" t="s">
        <v>313</v>
      </c>
      <c r="C71" s="493"/>
      <c r="D71" s="493">
        <v>1486.7419925000002</v>
      </c>
      <c r="E71" s="493"/>
      <c r="F71" s="493">
        <v>1486.7419925000002</v>
      </c>
      <c r="G71" s="522">
        <v>3520.3079625</v>
      </c>
    </row>
    <row r="72" spans="1:7" ht="9" customHeight="1">
      <c r="A72" s="521" t="s">
        <v>499</v>
      </c>
      <c r="B72" s="400"/>
      <c r="C72" s="401"/>
      <c r="D72" s="401">
        <v>1486.7419925000002</v>
      </c>
      <c r="E72" s="401"/>
      <c r="F72" s="401">
        <v>1486.7419925000002</v>
      </c>
      <c r="G72" s="523">
        <v>3520.3079625</v>
      </c>
    </row>
    <row r="73" spans="1:7" ht="9" customHeight="1">
      <c r="A73" s="520" t="s">
        <v>443</v>
      </c>
      <c r="B73" s="299" t="s">
        <v>80</v>
      </c>
      <c r="C73" s="493"/>
      <c r="D73" s="493"/>
      <c r="E73" s="493">
        <v>3726.2939925000001</v>
      </c>
      <c r="F73" s="493">
        <v>3726.2939925000001</v>
      </c>
      <c r="G73" s="522">
        <v>24768.395012500001</v>
      </c>
    </row>
    <row r="74" spans="1:7" ht="9" customHeight="1">
      <c r="A74" s="521" t="s">
        <v>500</v>
      </c>
      <c r="B74" s="400"/>
      <c r="C74" s="401"/>
      <c r="D74" s="401"/>
      <c r="E74" s="401">
        <v>3726.2939925000001</v>
      </c>
      <c r="F74" s="401">
        <v>3726.2939925000001</v>
      </c>
      <c r="G74" s="523">
        <v>24768.395012500001</v>
      </c>
    </row>
    <row r="75" spans="1:7" ht="9" customHeight="1">
      <c r="A75" s="520" t="s">
        <v>419</v>
      </c>
      <c r="B75" s="299" t="s">
        <v>430</v>
      </c>
      <c r="C75" s="493"/>
      <c r="D75" s="493"/>
      <c r="E75" s="493">
        <v>7461.1049299999995</v>
      </c>
      <c r="F75" s="493">
        <v>7461.1049299999995</v>
      </c>
      <c r="G75" s="522">
        <v>84132.861812499992</v>
      </c>
    </row>
    <row r="76" spans="1:7" ht="9" customHeight="1">
      <c r="A76" s="521" t="s">
        <v>501</v>
      </c>
      <c r="B76" s="400"/>
      <c r="C76" s="401"/>
      <c r="D76" s="401"/>
      <c r="E76" s="401">
        <v>7461.1049299999995</v>
      </c>
      <c r="F76" s="401">
        <v>7461.1049299999995</v>
      </c>
      <c r="G76" s="523">
        <v>84132.861812499992</v>
      </c>
    </row>
    <row r="77" spans="1:7" ht="9" customHeight="1">
      <c r="A77" s="520" t="s">
        <v>102</v>
      </c>
      <c r="B77" s="299" t="s">
        <v>59</v>
      </c>
      <c r="C77" s="493"/>
      <c r="D77" s="493"/>
      <c r="E77" s="493">
        <v>3613.9667424999998</v>
      </c>
      <c r="F77" s="493">
        <v>3613.9667424999998</v>
      </c>
      <c r="G77" s="522">
        <v>76488.679612499996</v>
      </c>
    </row>
    <row r="78" spans="1:7" ht="9" customHeight="1">
      <c r="A78" s="521" t="s">
        <v>502</v>
      </c>
      <c r="B78" s="400"/>
      <c r="C78" s="401"/>
      <c r="D78" s="401"/>
      <c r="E78" s="401">
        <v>3613.9667424999998</v>
      </c>
      <c r="F78" s="401">
        <v>3613.9667424999998</v>
      </c>
      <c r="G78" s="523">
        <v>76488.679612499996</v>
      </c>
    </row>
    <row r="79" spans="1:7" ht="12" customHeight="1"/>
  </sheetData>
  <mergeCells count="5">
    <mergeCell ref="A1:A4"/>
    <mergeCell ref="B1:B4"/>
    <mergeCell ref="C1:F1"/>
    <mergeCell ref="C2:E2"/>
    <mergeCell ref="F2:F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1"/>
  <sheetViews>
    <sheetView showGridLines="0" view="pageBreakPreview" zoomScale="130" zoomScaleNormal="100" zoomScaleSheetLayoutView="130" zoomScalePageLayoutView="115" workbookViewId="0">
      <selection activeCell="F41" sqref="F41"/>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23" t="s">
        <v>243</v>
      </c>
      <c r="B1" s="926" t="s">
        <v>52</v>
      </c>
      <c r="C1" s="929" t="str">
        <f>+'19. ANEXOI-2'!C1:F1</f>
        <v>ENERGÍA PRODUCIDA JULIO 2023</v>
      </c>
      <c r="D1" s="929"/>
      <c r="E1" s="929"/>
      <c r="F1" s="929"/>
      <c r="G1" s="494" t="s">
        <v>264</v>
      </c>
      <c r="H1" s="203"/>
    </row>
    <row r="2" spans="1:8" ht="11.25" customHeight="1">
      <c r="A2" s="924"/>
      <c r="B2" s="927"/>
      <c r="C2" s="930" t="s">
        <v>265</v>
      </c>
      <c r="D2" s="930"/>
      <c r="E2" s="930"/>
      <c r="F2" s="931" t="str">
        <f>"TOTAL 
"&amp;UPPER('1. Resumen'!Q4)</f>
        <v>TOTAL 
JULIO</v>
      </c>
      <c r="G2" s="495" t="s">
        <v>266</v>
      </c>
      <c r="H2" s="194"/>
    </row>
    <row r="3" spans="1:8" ht="11.25" customHeight="1">
      <c r="A3" s="924"/>
      <c r="B3" s="927"/>
      <c r="C3" s="490" t="s">
        <v>208</v>
      </c>
      <c r="D3" s="490" t="s">
        <v>209</v>
      </c>
      <c r="E3" s="490" t="s">
        <v>267</v>
      </c>
      <c r="F3" s="932"/>
      <c r="G3" s="495">
        <v>2023</v>
      </c>
      <c r="H3" s="196"/>
    </row>
    <row r="4" spans="1:8" ht="11.25" customHeight="1">
      <c r="A4" s="933"/>
      <c r="B4" s="934"/>
      <c r="C4" s="491" t="s">
        <v>268</v>
      </c>
      <c r="D4" s="491" t="s">
        <v>268</v>
      </c>
      <c r="E4" s="491" t="s">
        <v>268</v>
      </c>
      <c r="F4" s="491" t="s">
        <v>268</v>
      </c>
      <c r="G4" s="496" t="s">
        <v>201</v>
      </c>
      <c r="H4" s="196"/>
    </row>
    <row r="5" spans="1:8" s="299" customFormat="1" ht="9" customHeight="1">
      <c r="A5" s="520" t="s">
        <v>237</v>
      </c>
      <c r="B5" s="299" t="s">
        <v>314</v>
      </c>
      <c r="C5" s="493"/>
      <c r="D5" s="493">
        <v>166640.82796</v>
      </c>
      <c r="E5" s="493"/>
      <c r="F5" s="493">
        <v>166640.82796</v>
      </c>
      <c r="G5" s="522">
        <v>206419.79475</v>
      </c>
    </row>
    <row r="6" spans="1:8" s="299" customFormat="1" ht="9" customHeight="1">
      <c r="A6" s="521" t="s">
        <v>503</v>
      </c>
      <c r="B6" s="400"/>
      <c r="C6" s="401"/>
      <c r="D6" s="401">
        <v>166640.82796</v>
      </c>
      <c r="E6" s="401"/>
      <c r="F6" s="401">
        <v>166640.82796</v>
      </c>
      <c r="G6" s="523">
        <v>206419.79475</v>
      </c>
    </row>
    <row r="7" spans="1:8" s="299" customFormat="1" ht="9" customHeight="1">
      <c r="A7" s="520" t="s">
        <v>93</v>
      </c>
      <c r="B7" s="299" t="s">
        <v>315</v>
      </c>
      <c r="C7" s="493">
        <v>33701.698112500002</v>
      </c>
      <c r="D7" s="493"/>
      <c r="E7" s="493"/>
      <c r="F7" s="493">
        <v>33701.698112500002</v>
      </c>
      <c r="G7" s="522">
        <v>445324.53949000005</v>
      </c>
    </row>
    <row r="8" spans="1:8" s="299" customFormat="1" ht="9" customHeight="1">
      <c r="A8" s="520"/>
      <c r="B8" s="299" t="s">
        <v>541</v>
      </c>
      <c r="C8" s="493">
        <v>0</v>
      </c>
      <c r="D8" s="493"/>
      <c r="E8" s="493"/>
      <c r="F8" s="493">
        <v>0</v>
      </c>
      <c r="G8" s="522">
        <v>0</v>
      </c>
    </row>
    <row r="9" spans="1:8" s="299" customFormat="1" ht="9" customHeight="1">
      <c r="A9" s="521" t="s">
        <v>504</v>
      </c>
      <c r="B9" s="400"/>
      <c r="C9" s="401">
        <v>33701.698112500002</v>
      </c>
      <c r="D9" s="401"/>
      <c r="E9" s="401"/>
      <c r="F9" s="401">
        <v>33701.698112500002</v>
      </c>
      <c r="G9" s="523">
        <v>445324.53949000005</v>
      </c>
    </row>
    <row r="10" spans="1:8" s="299" customFormat="1" ht="9" customHeight="1">
      <c r="A10" s="520" t="s">
        <v>406</v>
      </c>
      <c r="B10" s="299" t="s">
        <v>435</v>
      </c>
      <c r="C10" s="493"/>
      <c r="D10" s="493"/>
      <c r="E10" s="493">
        <v>26.4131775</v>
      </c>
      <c r="F10" s="493">
        <v>26.4131775</v>
      </c>
      <c r="G10" s="522">
        <v>20778.115845</v>
      </c>
    </row>
    <row r="11" spans="1:8" s="299" customFormat="1" ht="9" customHeight="1">
      <c r="A11" s="521" t="s">
        <v>505</v>
      </c>
      <c r="B11" s="400"/>
      <c r="C11" s="401"/>
      <c r="D11" s="401"/>
      <c r="E11" s="401">
        <v>26.4131775</v>
      </c>
      <c r="F11" s="401">
        <v>26.4131775</v>
      </c>
      <c r="G11" s="523">
        <v>20778.115845</v>
      </c>
    </row>
    <row r="12" spans="1:8" s="299" customFormat="1" ht="9" customHeight="1">
      <c r="A12" s="520" t="s">
        <v>382</v>
      </c>
      <c r="B12" s="299" t="s">
        <v>386</v>
      </c>
      <c r="C12" s="493"/>
      <c r="D12" s="493"/>
      <c r="E12" s="493">
        <v>14624.096485</v>
      </c>
      <c r="F12" s="493">
        <v>14624.096485</v>
      </c>
      <c r="G12" s="522">
        <v>99678.155202499998</v>
      </c>
    </row>
    <row r="13" spans="1:8" s="299" customFormat="1" ht="9" customHeight="1">
      <c r="A13" s="521" t="s">
        <v>506</v>
      </c>
      <c r="B13" s="400"/>
      <c r="C13" s="401"/>
      <c r="D13" s="401"/>
      <c r="E13" s="401">
        <v>14624.096485</v>
      </c>
      <c r="F13" s="401">
        <v>14624.096485</v>
      </c>
      <c r="G13" s="523">
        <v>99678.155202499998</v>
      </c>
    </row>
    <row r="14" spans="1:8" s="299" customFormat="1" ht="9" customHeight="1">
      <c r="A14" s="520" t="s">
        <v>100</v>
      </c>
      <c r="B14" s="299" t="s">
        <v>611</v>
      </c>
      <c r="C14" s="493"/>
      <c r="D14" s="493">
        <v>20064.550467499997</v>
      </c>
      <c r="E14" s="493"/>
      <c r="F14" s="493">
        <v>20064.550467499997</v>
      </c>
      <c r="G14" s="522">
        <v>48612.1326825</v>
      </c>
    </row>
    <row r="15" spans="1:8" s="299" customFormat="1" ht="9" customHeight="1">
      <c r="A15" s="521" t="s">
        <v>507</v>
      </c>
      <c r="B15" s="400"/>
      <c r="C15" s="401"/>
      <c r="D15" s="401">
        <v>20064.550467499997</v>
      </c>
      <c r="E15" s="401"/>
      <c r="F15" s="401">
        <v>20064.550467499997</v>
      </c>
      <c r="G15" s="523">
        <v>48612.1326825</v>
      </c>
    </row>
    <row r="16" spans="1:8" s="299" customFormat="1" ht="9" customHeight="1">
      <c r="A16" s="520" t="s">
        <v>115</v>
      </c>
      <c r="B16" s="299" t="s">
        <v>316</v>
      </c>
      <c r="C16" s="493"/>
      <c r="D16" s="493">
        <v>4138.5678799999996</v>
      </c>
      <c r="E16" s="493"/>
      <c r="F16" s="493">
        <v>4138.5678799999996</v>
      </c>
      <c r="G16" s="522">
        <v>8305.8270574999988</v>
      </c>
    </row>
    <row r="17" spans="1:7" s="299" customFormat="1" ht="9" customHeight="1">
      <c r="A17" s="521" t="s">
        <v>508</v>
      </c>
      <c r="B17" s="400"/>
      <c r="C17" s="401"/>
      <c r="D17" s="401">
        <v>4138.5678799999996</v>
      </c>
      <c r="E17" s="401"/>
      <c r="F17" s="401">
        <v>4138.5678799999996</v>
      </c>
      <c r="G17" s="523">
        <v>8305.8270574999988</v>
      </c>
    </row>
    <row r="18" spans="1:7" s="299" customFormat="1" ht="9" customHeight="1">
      <c r="A18" s="520" t="s">
        <v>109</v>
      </c>
      <c r="B18" s="299" t="s">
        <v>431</v>
      </c>
      <c r="C18" s="493"/>
      <c r="D18" s="493"/>
      <c r="E18" s="493">
        <v>9633.6858224999996</v>
      </c>
      <c r="F18" s="493">
        <v>9633.6858224999996</v>
      </c>
      <c r="G18" s="522">
        <v>91687.408710000003</v>
      </c>
    </row>
    <row r="19" spans="1:7" s="299" customFormat="1" ht="9" customHeight="1">
      <c r="A19" s="520"/>
      <c r="B19" s="299" t="s">
        <v>67</v>
      </c>
      <c r="C19" s="493"/>
      <c r="D19" s="493"/>
      <c r="E19" s="493">
        <v>5528.928355</v>
      </c>
      <c r="F19" s="493">
        <v>5528.928355</v>
      </c>
      <c r="G19" s="522">
        <v>32684.241155</v>
      </c>
    </row>
    <row r="20" spans="1:7" s="299" customFormat="1" ht="9" customHeight="1">
      <c r="A20" s="521" t="s">
        <v>509</v>
      </c>
      <c r="B20" s="400"/>
      <c r="C20" s="401"/>
      <c r="D20" s="401"/>
      <c r="E20" s="401">
        <v>15162.6141775</v>
      </c>
      <c r="F20" s="401">
        <v>15162.6141775</v>
      </c>
      <c r="G20" s="523">
        <v>124371.649865</v>
      </c>
    </row>
    <row r="21" spans="1:7" s="299" customFormat="1" ht="9" customHeight="1">
      <c r="A21" s="520" t="s">
        <v>88</v>
      </c>
      <c r="B21" s="299" t="s">
        <v>317</v>
      </c>
      <c r="C21" s="493">
        <v>20667.071052499999</v>
      </c>
      <c r="D21" s="493"/>
      <c r="E21" s="493"/>
      <c r="F21" s="493">
        <v>20667.071052499999</v>
      </c>
      <c r="G21" s="522">
        <v>178174.02209249997</v>
      </c>
    </row>
    <row r="22" spans="1:7" s="299" customFormat="1" ht="9" customHeight="1">
      <c r="A22" s="520"/>
      <c r="B22" s="299" t="s">
        <v>318</v>
      </c>
      <c r="C22" s="493">
        <v>33705.635667499999</v>
      </c>
      <c r="D22" s="493"/>
      <c r="E22" s="493"/>
      <c r="F22" s="493">
        <v>33705.635667499999</v>
      </c>
      <c r="G22" s="522">
        <v>515376.67669499991</v>
      </c>
    </row>
    <row r="23" spans="1:7" s="299" customFormat="1" ht="9" customHeight="1">
      <c r="A23" s="520"/>
      <c r="B23" s="299" t="s">
        <v>319</v>
      </c>
      <c r="C23" s="493">
        <v>7845.18192</v>
      </c>
      <c r="D23" s="493"/>
      <c r="E23" s="493"/>
      <c r="F23" s="493">
        <v>7845.18192</v>
      </c>
      <c r="G23" s="522">
        <v>107947.35111249999</v>
      </c>
    </row>
    <row r="24" spans="1:7" s="299" customFormat="1" ht="9" customHeight="1">
      <c r="A24" s="520"/>
      <c r="B24" s="299" t="s">
        <v>320</v>
      </c>
      <c r="C24" s="493">
        <v>91.471819999999994</v>
      </c>
      <c r="D24" s="493"/>
      <c r="E24" s="493"/>
      <c r="F24" s="493">
        <v>91.471819999999994</v>
      </c>
      <c r="G24" s="522">
        <v>225.8297025</v>
      </c>
    </row>
    <row r="25" spans="1:7" s="299" customFormat="1" ht="9" customHeight="1">
      <c r="A25" s="520"/>
      <c r="B25" s="299" t="s">
        <v>321</v>
      </c>
      <c r="C25" s="493">
        <v>10593.735887500001</v>
      </c>
      <c r="D25" s="493"/>
      <c r="E25" s="493"/>
      <c r="F25" s="493">
        <v>10593.735887500001</v>
      </c>
      <c r="G25" s="522">
        <v>96717.949485000005</v>
      </c>
    </row>
    <row r="26" spans="1:7" s="299" customFormat="1" ht="9" customHeight="1">
      <c r="A26" s="520"/>
      <c r="B26" s="299" t="s">
        <v>322</v>
      </c>
      <c r="C26" s="493">
        <v>1330.1568950000001</v>
      </c>
      <c r="D26" s="493"/>
      <c r="E26" s="493"/>
      <c r="F26" s="493">
        <v>1330.1568950000001</v>
      </c>
      <c r="G26" s="522">
        <v>10274.883165000001</v>
      </c>
    </row>
    <row r="27" spans="1:7" s="299" customFormat="1" ht="9" customHeight="1">
      <c r="A27" s="520"/>
      <c r="B27" s="299" t="s">
        <v>323</v>
      </c>
      <c r="C27" s="493">
        <v>4973.6681399999998</v>
      </c>
      <c r="D27" s="493"/>
      <c r="E27" s="493"/>
      <c r="F27" s="493">
        <v>4973.6681399999998</v>
      </c>
      <c r="G27" s="522">
        <v>35230.888067499996</v>
      </c>
    </row>
    <row r="28" spans="1:7" s="299" customFormat="1" ht="9" customHeight="1">
      <c r="A28" s="520"/>
      <c r="B28" s="299" t="s">
        <v>324</v>
      </c>
      <c r="C28" s="493">
        <v>3543.9636</v>
      </c>
      <c r="D28" s="493"/>
      <c r="E28" s="493"/>
      <c r="F28" s="493">
        <v>3543.9636</v>
      </c>
      <c r="G28" s="522">
        <v>11024.693899999998</v>
      </c>
    </row>
    <row r="29" spans="1:7" s="299" customFormat="1" ht="9" customHeight="1">
      <c r="A29" s="520"/>
      <c r="B29" s="299" t="s">
        <v>325</v>
      </c>
      <c r="C29" s="493">
        <v>816.85564499999998</v>
      </c>
      <c r="D29" s="493"/>
      <c r="E29" s="493"/>
      <c r="F29" s="493">
        <v>816.85564499999998</v>
      </c>
      <c r="G29" s="522">
        <v>15053.395630000001</v>
      </c>
    </row>
    <row r="30" spans="1:7" s="299" customFormat="1" ht="9" customHeight="1">
      <c r="A30" s="520"/>
      <c r="B30" s="299" t="s">
        <v>326</v>
      </c>
      <c r="C30" s="493">
        <v>297.58417250000002</v>
      </c>
      <c r="D30" s="493"/>
      <c r="E30" s="493"/>
      <c r="F30" s="493">
        <v>297.58417250000002</v>
      </c>
      <c r="G30" s="522">
        <v>1207.3616400000001</v>
      </c>
    </row>
    <row r="31" spans="1:7" s="299" customFormat="1" ht="9" customHeight="1">
      <c r="A31" s="520"/>
      <c r="B31" s="299" t="s">
        <v>327</v>
      </c>
      <c r="C31" s="493">
        <v>228.91128499999999</v>
      </c>
      <c r="D31" s="493"/>
      <c r="E31" s="493"/>
      <c r="F31" s="493">
        <v>228.91128499999999</v>
      </c>
      <c r="G31" s="522">
        <v>922.62801249999995</v>
      </c>
    </row>
    <row r="32" spans="1:7" s="299" customFormat="1" ht="9" customHeight="1">
      <c r="A32" s="520"/>
      <c r="B32" s="299" t="s">
        <v>328</v>
      </c>
      <c r="C32" s="493">
        <v>50293.655952500005</v>
      </c>
      <c r="D32" s="493"/>
      <c r="E32" s="493"/>
      <c r="F32" s="493">
        <v>50293.655952500005</v>
      </c>
      <c r="G32" s="522">
        <v>466205.75747000001</v>
      </c>
    </row>
    <row r="33" spans="1:8" s="299" customFormat="1" ht="9" customHeight="1">
      <c r="A33" s="521" t="s">
        <v>510</v>
      </c>
      <c r="B33" s="400"/>
      <c r="C33" s="401">
        <v>134387.89203750002</v>
      </c>
      <c r="D33" s="401"/>
      <c r="E33" s="401"/>
      <c r="F33" s="401">
        <v>134387.89203750002</v>
      </c>
      <c r="G33" s="523">
        <v>1438361.4369724998</v>
      </c>
    </row>
    <row r="34" spans="1:8" s="299" customFormat="1" ht="9" customHeight="1">
      <c r="A34" s="520" t="s">
        <v>107</v>
      </c>
      <c r="B34" s="299" t="s">
        <v>224</v>
      </c>
      <c r="C34" s="493"/>
      <c r="D34" s="493"/>
      <c r="E34" s="493">
        <v>3442.2667499999998</v>
      </c>
      <c r="F34" s="493">
        <v>3442.2667499999998</v>
      </c>
      <c r="G34" s="522">
        <v>30382.706462499998</v>
      </c>
    </row>
    <row r="35" spans="1:8" s="299" customFormat="1" ht="9" customHeight="1">
      <c r="A35" s="521" t="s">
        <v>511</v>
      </c>
      <c r="B35" s="400"/>
      <c r="C35" s="401"/>
      <c r="D35" s="401"/>
      <c r="E35" s="401">
        <v>3442.2667499999998</v>
      </c>
      <c r="F35" s="401">
        <v>3442.2667499999998</v>
      </c>
      <c r="G35" s="523">
        <v>30382.706462499998</v>
      </c>
    </row>
    <row r="36" spans="1:8" s="299" customFormat="1" ht="9" customHeight="1">
      <c r="A36" s="520" t="s">
        <v>98</v>
      </c>
      <c r="B36" s="299" t="s">
        <v>408</v>
      </c>
      <c r="C36" s="493"/>
      <c r="D36" s="493">
        <v>167193.00049999999</v>
      </c>
      <c r="E36" s="493"/>
      <c r="F36" s="493">
        <v>167193.00049999999</v>
      </c>
      <c r="G36" s="522">
        <v>908621.61736499995</v>
      </c>
    </row>
    <row r="37" spans="1:8" s="299" customFormat="1" ht="9" customHeight="1">
      <c r="A37" s="521" t="s">
        <v>512</v>
      </c>
      <c r="B37" s="400"/>
      <c r="C37" s="401"/>
      <c r="D37" s="401">
        <v>167193.00049999999</v>
      </c>
      <c r="E37" s="401"/>
      <c r="F37" s="401">
        <v>167193.00049999999</v>
      </c>
      <c r="G37" s="523">
        <v>908621.61736499995</v>
      </c>
    </row>
    <row r="38" spans="1:8" s="299" customFormat="1" ht="9" customHeight="1">
      <c r="A38" s="520" t="s">
        <v>103</v>
      </c>
      <c r="B38" s="299" t="s">
        <v>329</v>
      </c>
      <c r="C38" s="493"/>
      <c r="D38" s="493">
        <v>45072.545757500004</v>
      </c>
      <c r="E38" s="493"/>
      <c r="F38" s="493">
        <v>45072.545757500004</v>
      </c>
      <c r="G38" s="522">
        <v>194646.47118250001</v>
      </c>
    </row>
    <row r="39" spans="1:8" s="299" customFormat="1" ht="9" customHeight="1">
      <c r="A39" s="521" t="s">
        <v>513</v>
      </c>
      <c r="B39" s="400"/>
      <c r="C39" s="401"/>
      <c r="D39" s="401">
        <v>45072.545757500004</v>
      </c>
      <c r="E39" s="401"/>
      <c r="F39" s="401">
        <v>45072.545757500004</v>
      </c>
      <c r="G39" s="523">
        <v>194646.47118250001</v>
      </c>
    </row>
    <row r="40" spans="1:8">
      <c r="A40" s="386" t="s">
        <v>400</v>
      </c>
      <c r="B40" s="386"/>
      <c r="C40" s="385">
        <v>1569146.0382774998</v>
      </c>
      <c r="D40" s="385">
        <v>2839923.9242175003</v>
      </c>
      <c r="E40" s="385">
        <v>396547.82584500004</v>
      </c>
      <c r="F40" s="385">
        <v>4805617.7883400004</v>
      </c>
      <c r="G40" s="497">
        <v>33824501.566777505</v>
      </c>
    </row>
    <row r="41" spans="1:8">
      <c r="A41" s="386" t="s">
        <v>330</v>
      </c>
      <c r="B41" s="386"/>
      <c r="C41" s="387"/>
      <c r="D41" s="387"/>
      <c r="E41" s="412"/>
      <c r="F41" s="388">
        <f>+'3. Tipo Generación'!D14*1000</f>
        <v>8142.8750999999975</v>
      </c>
      <c r="G41" s="498">
        <f>+'4. Tipo Recurso'!$G$20*1000</f>
        <v>10239.563859999998</v>
      </c>
    </row>
    <row r="42" spans="1:8">
      <c r="A42" s="499" t="s">
        <v>331</v>
      </c>
      <c r="B42" s="386"/>
      <c r="C42" s="387"/>
      <c r="D42" s="387"/>
      <c r="E42" s="412"/>
      <c r="F42" s="388">
        <f>+'3. Tipo Generación'!D15*1000</f>
        <v>0</v>
      </c>
      <c r="G42" s="498">
        <f>+'4. Tipo Recurso'!$G$21*1000</f>
        <v>254.42452999999998</v>
      </c>
    </row>
    <row r="43" spans="1:8" ht="6.75" customHeight="1">
      <c r="A43" s="500"/>
      <c r="B43" s="500"/>
      <c r="C43" s="500"/>
      <c r="D43" s="500"/>
      <c r="E43" s="500"/>
      <c r="F43" s="500"/>
      <c r="G43" s="500"/>
    </row>
    <row r="44" spans="1:8" ht="23.25" customHeight="1">
      <c r="A44" s="935" t="s">
        <v>607</v>
      </c>
      <c r="B44" s="935"/>
      <c r="C44" s="935"/>
      <c r="D44" s="935"/>
      <c r="E44" s="935"/>
      <c r="F44" s="935"/>
      <c r="G44" s="935"/>
    </row>
    <row r="45" spans="1:8" ht="17.25" customHeight="1">
      <c r="A45" s="533"/>
      <c r="B45" s="533"/>
      <c r="C45" s="533"/>
      <c r="D45" s="533"/>
      <c r="E45" s="533"/>
      <c r="F45" s="533"/>
      <c r="G45" s="533"/>
      <c r="H45" s="46"/>
    </row>
    <row r="46" spans="1:8" ht="17.25" customHeight="1">
      <c r="A46" s="648" t="s">
        <v>600</v>
      </c>
      <c r="B46" s="533"/>
      <c r="C46" s="533"/>
      <c r="D46" s="533"/>
      <c r="E46" s="533"/>
      <c r="F46" s="533"/>
      <c r="G46" s="533"/>
      <c r="H46" s="46"/>
    </row>
    <row r="47" spans="1:8" ht="17.25" customHeight="1">
      <c r="A47" s="533" t="s">
        <v>601</v>
      </c>
      <c r="B47" s="533"/>
      <c r="C47" s="533"/>
      <c r="D47" s="533"/>
      <c r="E47" s="533"/>
      <c r="F47" s="533"/>
      <c r="G47" s="533"/>
      <c r="H47" s="46"/>
    </row>
    <row r="48" spans="1:8" ht="17.25" customHeight="1">
      <c r="A48" s="533" t="s">
        <v>602</v>
      </c>
      <c r="B48" s="533"/>
      <c r="C48" s="533"/>
      <c r="D48" s="533"/>
      <c r="E48" s="533"/>
      <c r="F48" s="533"/>
      <c r="G48" s="533"/>
      <c r="H48" s="46"/>
    </row>
    <row r="49" spans="1:8" ht="17.25" customHeight="1">
      <c r="A49" s="533" t="s">
        <v>612</v>
      </c>
      <c r="B49" s="533"/>
      <c r="C49" s="533"/>
      <c r="D49" s="533"/>
      <c r="E49" s="533"/>
      <c r="F49" s="533"/>
      <c r="G49" s="533"/>
      <c r="H49" s="46"/>
    </row>
    <row r="50" spans="1:8" ht="17.25" customHeight="1">
      <c r="A50" s="533" t="s">
        <v>613</v>
      </c>
      <c r="B50" s="533"/>
      <c r="C50" s="533"/>
      <c r="D50" s="533"/>
      <c r="E50" s="533"/>
      <c r="F50" s="533"/>
      <c r="G50" s="533"/>
      <c r="H50" s="46"/>
    </row>
    <row r="51" spans="1:8" ht="17.25" customHeight="1">
      <c r="A51" s="533" t="s">
        <v>614</v>
      </c>
      <c r="B51" s="533"/>
      <c r="C51" s="533"/>
      <c r="D51" s="533"/>
      <c r="E51" s="533"/>
      <c r="F51" s="533"/>
      <c r="G51" s="533"/>
      <c r="H51" s="46"/>
    </row>
    <row r="52" spans="1:8" ht="17.25" customHeight="1">
      <c r="A52" s="533" t="s">
        <v>609</v>
      </c>
      <c r="B52" s="533"/>
      <c r="C52" s="533"/>
      <c r="D52" s="533"/>
      <c r="E52" s="533"/>
      <c r="F52" s="533"/>
      <c r="G52" s="533"/>
      <c r="H52" s="46"/>
    </row>
    <row r="53" spans="1:8" ht="17.25" customHeight="1">
      <c r="A53" s="533" t="s">
        <v>610</v>
      </c>
      <c r="B53" s="533"/>
      <c r="C53" s="533"/>
      <c r="D53" s="533"/>
      <c r="E53" s="533"/>
      <c r="F53" s="533"/>
      <c r="G53" s="533"/>
      <c r="H53" s="46"/>
    </row>
    <row r="54" spans="1:8" ht="18.600000000000001" customHeight="1">
      <c r="A54" s="533"/>
      <c r="B54" s="270"/>
      <c r="C54" s="270"/>
      <c r="D54" s="270"/>
      <c r="E54" s="270"/>
      <c r="F54" s="270"/>
    </row>
    <row r="55" spans="1:8">
      <c r="A55" s="299"/>
      <c r="B55" s="270"/>
      <c r="C55" s="270"/>
      <c r="D55" s="270"/>
      <c r="E55" s="270"/>
      <c r="F55" s="270"/>
    </row>
    <row r="56" spans="1:8">
      <c r="A56" s="299"/>
      <c r="B56" s="270"/>
      <c r="C56" s="270"/>
      <c r="D56" s="270"/>
      <c r="E56" s="270"/>
      <c r="F56" s="270"/>
    </row>
    <row r="57" spans="1:8">
      <c r="A57" s="299"/>
      <c r="B57" s="270"/>
      <c r="C57" s="270"/>
      <c r="D57" s="270"/>
      <c r="E57" s="270"/>
      <c r="F57" s="270"/>
    </row>
    <row r="58" spans="1:8">
      <c r="A58" s="299"/>
      <c r="B58" s="270"/>
      <c r="C58" s="270"/>
      <c r="D58" s="270"/>
      <c r="E58" s="270"/>
      <c r="F58" s="270"/>
    </row>
    <row r="59" spans="1:8">
      <c r="A59" s="299"/>
    </row>
    <row r="60" spans="1:8">
      <c r="A60" s="299"/>
    </row>
    <row r="61" spans="1:8">
      <c r="A61" s="299"/>
    </row>
  </sheetData>
  <mergeCells count="6">
    <mergeCell ref="A44:G44"/>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5"/>
  <sheetViews>
    <sheetView showGridLines="0" view="pageBreakPreview" zoomScaleNormal="100" zoomScaleSheetLayoutView="100" zoomScalePageLayoutView="115" workbookViewId="0">
      <selection activeCell="C22" sqref="C22"/>
    </sheetView>
  </sheetViews>
  <sheetFormatPr baseColWidth="10" defaultColWidth="9.28515625" defaultRowHeight="9.6"/>
  <cols>
    <col min="1" max="1" width="28.85546875" style="270" customWidth="1"/>
    <col min="2" max="2" width="24.7109375" style="270" customWidth="1"/>
    <col min="3" max="5" width="16.140625" style="270" customWidth="1"/>
    <col min="6" max="6" width="15.140625" style="270" customWidth="1"/>
    <col min="7" max="7" width="9.28515625" style="270"/>
    <col min="8" max="8" width="15.7109375" style="270" customWidth="1"/>
    <col min="9" max="9" width="9.28515625" style="270"/>
    <col min="10" max="11" width="9.28515625" style="270" customWidth="1"/>
    <col min="12" max="16384" width="9.28515625" style="270"/>
  </cols>
  <sheetData>
    <row r="1" spans="1:12" ht="11.25" customHeight="1">
      <c r="A1" s="507" t="s">
        <v>334</v>
      </c>
      <c r="B1" s="508"/>
      <c r="C1" s="508"/>
      <c r="D1" s="508"/>
      <c r="E1" s="508"/>
      <c r="F1" s="508"/>
    </row>
    <row r="2" spans="1:12" s="299" customFormat="1" ht="11.25" customHeight="1">
      <c r="A2" s="936" t="s">
        <v>243</v>
      </c>
      <c r="B2" s="939" t="s">
        <v>52</v>
      </c>
      <c r="C2" s="939" t="s">
        <v>335</v>
      </c>
      <c r="D2" s="939"/>
      <c r="E2" s="939"/>
      <c r="F2" s="942"/>
      <c r="G2" s="337"/>
      <c r="H2" s="337"/>
      <c r="I2" s="337"/>
      <c r="J2" s="337"/>
      <c r="K2" s="337"/>
    </row>
    <row r="3" spans="1:12" s="299" customFormat="1" ht="11.25" customHeight="1">
      <c r="A3" s="937"/>
      <c r="B3" s="940"/>
      <c r="C3" s="389" t="str">
        <f>UPPER('1. Resumen'!Q4)&amp;" "&amp;'1. Resumen'!Q5</f>
        <v>JULIO 2023</v>
      </c>
      <c r="D3" s="390" t="str">
        <f>UPPER('1. Resumen'!Q4)&amp;" "&amp;'1. Resumen'!Q5-1</f>
        <v>JULIO 2022</v>
      </c>
      <c r="E3" s="390">
        <v>2023</v>
      </c>
      <c r="F3" s="501" t="s">
        <v>544</v>
      </c>
      <c r="G3" s="338"/>
      <c r="H3" s="338"/>
      <c r="I3" s="338"/>
      <c r="J3" s="338"/>
      <c r="K3" s="338"/>
      <c r="L3" s="337"/>
    </row>
    <row r="4" spans="1:12" s="299" customFormat="1" ht="11.25" customHeight="1">
      <c r="A4" s="937"/>
      <c r="B4" s="940"/>
      <c r="C4" s="391">
        <f>+'8. Max Potencia'!D8</f>
        <v>45118.84375</v>
      </c>
      <c r="D4" s="391">
        <f>+'8. Max Potencia'!E8</f>
        <v>44761.802083333336</v>
      </c>
      <c r="E4" s="391">
        <f>+'8. Max Potencia'!G8</f>
        <v>45027.791666666664</v>
      </c>
      <c r="F4" s="502" t="s">
        <v>332</v>
      </c>
      <c r="G4" s="339"/>
      <c r="H4" s="339"/>
      <c r="I4" s="340"/>
      <c r="J4" s="340"/>
      <c r="K4" s="340"/>
      <c r="L4" s="337"/>
    </row>
    <row r="5" spans="1:12" s="299" customFormat="1" ht="11.25" customHeight="1">
      <c r="A5" s="938"/>
      <c r="B5" s="941"/>
      <c r="C5" s="392">
        <f>+'8. Max Potencia'!D9</f>
        <v>45118.84375</v>
      </c>
      <c r="D5" s="392">
        <f>+'8. Max Potencia'!E9</f>
        <v>44761.802083333336</v>
      </c>
      <c r="E5" s="392">
        <f>+'8. Max Potencia'!G9</f>
        <v>45027.791666666664</v>
      </c>
      <c r="F5" s="503" t="s">
        <v>333</v>
      </c>
      <c r="G5" s="339"/>
      <c r="H5" s="339"/>
      <c r="I5" s="339"/>
      <c r="J5" s="339"/>
      <c r="K5" s="339"/>
      <c r="L5" s="341"/>
    </row>
    <row r="6" spans="1:12" s="299" customFormat="1" ht="9" customHeight="1">
      <c r="A6" s="788" t="s">
        <v>117</v>
      </c>
      <c r="B6" s="789" t="s">
        <v>84</v>
      </c>
      <c r="C6" s="790">
        <v>9.2228100000000008</v>
      </c>
      <c r="D6" s="790">
        <v>18.298210000000001</v>
      </c>
      <c r="E6" s="790">
        <v>0</v>
      </c>
      <c r="F6" s="791">
        <f>+IF(D6=0,"",C6/D6-1)</f>
        <v>-0.49597201037697125</v>
      </c>
      <c r="G6" s="339"/>
      <c r="H6" s="541"/>
      <c r="I6" s="541"/>
      <c r="J6" s="339"/>
      <c r="K6" s="339"/>
      <c r="L6" s="342"/>
    </row>
    <row r="7" spans="1:12" s="299" customFormat="1" ht="9" customHeight="1">
      <c r="A7" s="521" t="s">
        <v>454</v>
      </c>
      <c r="B7" s="400"/>
      <c r="C7" s="401">
        <v>9.2228100000000008</v>
      </c>
      <c r="D7" s="401">
        <v>18.298210000000001</v>
      </c>
      <c r="E7" s="401">
        <v>0</v>
      </c>
      <c r="F7" s="776">
        <f t="shared" ref="F7:F66" si="0">+IF(D7=0,"",C7/D7-1)</f>
        <v>-0.49597201037697125</v>
      </c>
      <c r="G7" s="339"/>
      <c r="H7" s="541"/>
      <c r="I7" s="541"/>
      <c r="J7" s="339"/>
      <c r="K7" s="339"/>
      <c r="L7" s="343"/>
    </row>
    <row r="8" spans="1:12" s="299" customFormat="1" ht="9" customHeight="1">
      <c r="A8" s="525" t="s">
        <v>116</v>
      </c>
      <c r="B8" s="335" t="s">
        <v>61</v>
      </c>
      <c r="C8" s="336">
        <v>3.1196700000000002</v>
      </c>
      <c r="D8" s="336">
        <v>4.9308300000000003</v>
      </c>
      <c r="E8" s="336">
        <v>19.995640000000002</v>
      </c>
      <c r="F8" s="775">
        <f t="shared" si="0"/>
        <v>-0.36731341376603943</v>
      </c>
      <c r="G8" s="339"/>
      <c r="H8" s="541"/>
      <c r="I8" s="541"/>
      <c r="J8" s="339"/>
      <c r="K8" s="339"/>
      <c r="L8" s="344"/>
    </row>
    <row r="9" spans="1:12" s="299" customFormat="1" ht="9" customHeight="1">
      <c r="A9" s="521" t="s">
        <v>455</v>
      </c>
      <c r="B9" s="400"/>
      <c r="C9" s="401">
        <v>3.1196700000000002</v>
      </c>
      <c r="D9" s="401">
        <v>4.9308300000000003</v>
      </c>
      <c r="E9" s="401">
        <v>19.995640000000002</v>
      </c>
      <c r="F9" s="776">
        <f t="shared" si="0"/>
        <v>-0.36731341376603943</v>
      </c>
      <c r="G9" s="339"/>
      <c r="H9" s="541"/>
      <c r="I9" s="541"/>
      <c r="J9" s="339"/>
      <c r="K9" s="339"/>
      <c r="L9" s="343"/>
    </row>
    <row r="10" spans="1:12" s="299" customFormat="1" ht="9" customHeight="1">
      <c r="A10" s="520" t="s">
        <v>104</v>
      </c>
      <c r="B10" s="299" t="s">
        <v>81</v>
      </c>
      <c r="C10" s="493">
        <v>17.541370000000001</v>
      </c>
      <c r="D10" s="493">
        <v>15.35294</v>
      </c>
      <c r="E10" s="493">
        <v>16.584250000000001</v>
      </c>
      <c r="F10" s="777">
        <f t="shared" si="0"/>
        <v>0.14254142854723595</v>
      </c>
      <c r="G10" s="339"/>
      <c r="H10" s="541"/>
      <c r="I10" s="541"/>
      <c r="J10" s="339"/>
      <c r="K10" s="339"/>
      <c r="L10" s="343"/>
    </row>
    <row r="11" spans="1:12" s="299" customFormat="1" ht="9" customHeight="1">
      <c r="A11" s="521" t="s">
        <v>456</v>
      </c>
      <c r="B11" s="400"/>
      <c r="C11" s="401">
        <v>17.541370000000001</v>
      </c>
      <c r="D11" s="401">
        <v>15.35294</v>
      </c>
      <c r="E11" s="401">
        <v>16.584250000000001</v>
      </c>
      <c r="F11" s="776">
        <f t="shared" si="0"/>
        <v>0.14254142854723595</v>
      </c>
      <c r="G11" s="339"/>
      <c r="H11" s="541"/>
      <c r="I11" s="541"/>
      <c r="J11" s="339"/>
      <c r="K11" s="339"/>
      <c r="L11" s="343"/>
    </row>
    <row r="12" spans="1:12" s="299" customFormat="1" ht="9" customHeight="1">
      <c r="A12" s="520" t="s">
        <v>397</v>
      </c>
      <c r="B12" s="299" t="s">
        <v>399</v>
      </c>
      <c r="C12" s="493">
        <v>12.51919</v>
      </c>
      <c r="D12" s="493">
        <v>11.636089999999999</v>
      </c>
      <c r="E12" s="493">
        <v>16.36101</v>
      </c>
      <c r="F12" s="777">
        <f t="shared" si="0"/>
        <v>7.5893190925818033E-2</v>
      </c>
      <c r="G12" s="339"/>
      <c r="H12" s="541"/>
      <c r="I12" s="541"/>
      <c r="J12" s="339"/>
      <c r="K12" s="339"/>
      <c r="L12" s="343"/>
    </row>
    <row r="13" spans="1:12" s="299" customFormat="1" ht="9" customHeight="1">
      <c r="A13" s="521" t="s">
        <v>457</v>
      </c>
      <c r="B13" s="400"/>
      <c r="C13" s="401">
        <v>12.51919</v>
      </c>
      <c r="D13" s="401">
        <v>11.636089999999999</v>
      </c>
      <c r="E13" s="401">
        <v>16.36101</v>
      </c>
      <c r="F13" s="776">
        <f t="shared" si="0"/>
        <v>7.5893190925818033E-2</v>
      </c>
      <c r="G13" s="339"/>
      <c r="H13" s="541"/>
      <c r="I13" s="541"/>
      <c r="J13" s="339"/>
      <c r="K13" s="339"/>
      <c r="L13" s="343"/>
    </row>
    <row r="14" spans="1:12" s="299" customFormat="1" ht="9" customHeight="1">
      <c r="A14" s="520" t="s">
        <v>446</v>
      </c>
      <c r="B14" s="299" t="s">
        <v>73</v>
      </c>
      <c r="C14" s="493">
        <v>0.88183</v>
      </c>
      <c r="D14" s="493">
        <v>0</v>
      </c>
      <c r="E14" s="493">
        <v>0.69369999999999998</v>
      </c>
      <c r="F14" s="777" t="str">
        <f t="shared" si="0"/>
        <v/>
      </c>
      <c r="G14" s="339"/>
      <c r="H14" s="541"/>
      <c r="I14" s="541"/>
      <c r="J14" s="339"/>
      <c r="K14" s="339"/>
      <c r="L14" s="343"/>
    </row>
    <row r="15" spans="1:12" s="299" customFormat="1" ht="9" customHeight="1">
      <c r="A15" s="521" t="s">
        <v>458</v>
      </c>
      <c r="B15" s="400"/>
      <c r="C15" s="401">
        <v>0.88183</v>
      </c>
      <c r="D15" s="401">
        <v>0</v>
      </c>
      <c r="E15" s="401">
        <v>0.69369999999999998</v>
      </c>
      <c r="F15" s="776" t="str">
        <f t="shared" si="0"/>
        <v/>
      </c>
      <c r="G15" s="339"/>
      <c r="H15" s="541"/>
      <c r="I15" s="541"/>
      <c r="J15" s="339"/>
      <c r="K15" s="339"/>
      <c r="L15" s="343"/>
    </row>
    <row r="16" spans="1:12" s="299" customFormat="1" ht="9" customHeight="1">
      <c r="A16" s="520" t="s">
        <v>427</v>
      </c>
      <c r="B16" s="299" t="s">
        <v>433</v>
      </c>
      <c r="C16" s="493">
        <v>9.75</v>
      </c>
      <c r="D16" s="493">
        <v>9.6138999999999992</v>
      </c>
      <c r="E16" s="493">
        <v>0</v>
      </c>
      <c r="F16" s="777">
        <f t="shared" si="0"/>
        <v>1.4156585776843977E-2</v>
      </c>
      <c r="G16" s="339"/>
      <c r="H16" s="541"/>
      <c r="I16" s="541"/>
      <c r="J16" s="339"/>
      <c r="K16" s="339"/>
      <c r="L16" s="343"/>
    </row>
    <row r="17" spans="1:16" s="299" customFormat="1" ht="9" customHeight="1">
      <c r="A17" s="521" t="s">
        <v>459</v>
      </c>
      <c r="B17" s="400"/>
      <c r="C17" s="401">
        <v>9.75</v>
      </c>
      <c r="D17" s="401">
        <v>9.6138999999999992</v>
      </c>
      <c r="E17" s="401">
        <v>0</v>
      </c>
      <c r="F17" s="776">
        <f t="shared" si="0"/>
        <v>1.4156585776843977E-2</v>
      </c>
      <c r="G17" s="339"/>
      <c r="H17" s="541"/>
      <c r="I17" s="541"/>
      <c r="J17" s="339"/>
      <c r="K17" s="339"/>
      <c r="L17" s="344"/>
    </row>
    <row r="18" spans="1:16" s="299" customFormat="1" ht="9" customHeight="1">
      <c r="A18" s="520" t="s">
        <v>92</v>
      </c>
      <c r="B18" s="299" t="s">
        <v>269</v>
      </c>
      <c r="C18" s="493">
        <v>99.417339999999996</v>
      </c>
      <c r="D18" s="493">
        <v>118.20270000000001</v>
      </c>
      <c r="E18" s="493">
        <v>220.55670000000001</v>
      </c>
      <c r="F18" s="777">
        <f t="shared" si="0"/>
        <v>-0.15892496533497125</v>
      </c>
      <c r="G18" s="339"/>
      <c r="H18" s="541"/>
      <c r="I18" s="541"/>
      <c r="J18" s="339"/>
      <c r="K18" s="339"/>
      <c r="L18" s="344"/>
    </row>
    <row r="19" spans="1:16" s="299" customFormat="1" ht="9" customHeight="1">
      <c r="A19" s="521" t="s">
        <v>460</v>
      </c>
      <c r="B19" s="400"/>
      <c r="C19" s="401">
        <v>99.417339999999996</v>
      </c>
      <c r="D19" s="401">
        <v>118.20270000000001</v>
      </c>
      <c r="E19" s="401">
        <v>220.55670000000001</v>
      </c>
      <c r="F19" s="776">
        <f t="shared" si="0"/>
        <v>-0.15892496533497125</v>
      </c>
      <c r="G19" s="339"/>
      <c r="H19" s="541"/>
      <c r="I19" s="541"/>
      <c r="J19" s="339"/>
      <c r="K19" s="339"/>
      <c r="L19" s="344"/>
    </row>
    <row r="20" spans="1:16" s="299" customFormat="1" ht="9" customHeight="1">
      <c r="A20" s="520" t="s">
        <v>448</v>
      </c>
      <c r="B20" s="299" t="s">
        <v>306</v>
      </c>
      <c r="C20" s="493">
        <v>13.02576</v>
      </c>
      <c r="D20" s="493">
        <v>13.12749</v>
      </c>
      <c r="E20" s="493">
        <v>19.764520000000001</v>
      </c>
      <c r="F20" s="777">
        <f t="shared" si="0"/>
        <v>-7.7493869734427401E-3</v>
      </c>
      <c r="G20" s="339"/>
      <c r="H20" s="541"/>
      <c r="I20" s="541"/>
      <c r="J20" s="339"/>
      <c r="K20" s="339"/>
      <c r="L20" s="339"/>
      <c r="M20" s="339"/>
      <c r="N20" s="339"/>
      <c r="O20" s="339"/>
      <c r="P20" s="339"/>
    </row>
    <row r="21" spans="1:16" s="299" customFormat="1" ht="9" customHeight="1">
      <c r="A21" s="521" t="s">
        <v>461</v>
      </c>
      <c r="B21" s="400"/>
      <c r="C21" s="401">
        <v>13.02576</v>
      </c>
      <c r="D21" s="401">
        <v>13.12749</v>
      </c>
      <c r="E21" s="401">
        <v>19.764520000000001</v>
      </c>
      <c r="F21" s="776">
        <f t="shared" si="0"/>
        <v>-7.7493869734427401E-3</v>
      </c>
      <c r="G21" s="339"/>
      <c r="H21" s="541"/>
      <c r="I21" s="541"/>
      <c r="J21" s="339"/>
      <c r="K21" s="339"/>
      <c r="L21" s="339"/>
      <c r="M21" s="339"/>
      <c r="N21" s="339"/>
      <c r="O21" s="339"/>
      <c r="P21" s="339"/>
    </row>
    <row r="22" spans="1:16" s="299" customFormat="1" ht="9" customHeight="1">
      <c r="A22" s="520" t="s">
        <v>516</v>
      </c>
      <c r="B22" s="299" t="s">
        <v>522</v>
      </c>
      <c r="C22" s="493">
        <v>0.62475999999999998</v>
      </c>
      <c r="D22" s="493">
        <v>0.54683999999999999</v>
      </c>
      <c r="E22" s="493">
        <v>0.83906000000000003</v>
      </c>
      <c r="F22" s="777">
        <f t="shared" si="0"/>
        <v>0.1424914051642161</v>
      </c>
      <c r="G22" s="339"/>
      <c r="H22" s="541"/>
      <c r="I22" s="541"/>
      <c r="J22" s="339"/>
      <c r="K22" s="339"/>
      <c r="L22" s="343"/>
    </row>
    <row r="23" spans="1:16" s="299" customFormat="1" ht="9" customHeight="1">
      <c r="A23" s="520"/>
      <c r="B23" s="299" t="s">
        <v>523</v>
      </c>
      <c r="C23" s="493">
        <v>1.1234900000000001</v>
      </c>
      <c r="D23" s="493">
        <v>1.0402</v>
      </c>
      <c r="E23" s="493">
        <v>1.6083499999999999</v>
      </c>
      <c r="F23" s="777">
        <f t="shared" si="0"/>
        <v>8.0071140165352883E-2</v>
      </c>
      <c r="G23" s="339"/>
      <c r="H23" s="541"/>
      <c r="I23" s="541"/>
      <c r="J23" s="339"/>
      <c r="K23" s="339"/>
      <c r="L23" s="343"/>
    </row>
    <row r="24" spans="1:16" s="299" customFormat="1" ht="9" customHeight="1">
      <c r="A24" s="521" t="s">
        <v>518</v>
      </c>
      <c r="B24" s="400"/>
      <c r="C24" s="401">
        <v>1.7482500000000001</v>
      </c>
      <c r="D24" s="401">
        <v>1.58704</v>
      </c>
      <c r="E24" s="401">
        <v>2.4474100000000001</v>
      </c>
      <c r="F24" s="776">
        <f t="shared" si="0"/>
        <v>0.1015790402258292</v>
      </c>
      <c r="G24" s="339"/>
      <c r="H24" s="541"/>
      <c r="I24" s="541"/>
      <c r="J24" s="339"/>
      <c r="K24" s="339"/>
      <c r="L24" s="343"/>
    </row>
    <row r="25" spans="1:16" s="299" customFormat="1" ht="9" customHeight="1">
      <c r="A25" s="520" t="s">
        <v>229</v>
      </c>
      <c r="B25" s="299" t="s">
        <v>270</v>
      </c>
      <c r="C25" s="493">
        <v>0</v>
      </c>
      <c r="D25" s="493">
        <v>0</v>
      </c>
      <c r="E25" s="493">
        <v>0</v>
      </c>
      <c r="F25" s="777" t="str">
        <f t="shared" si="0"/>
        <v/>
      </c>
      <c r="G25" s="339"/>
      <c r="H25" s="541"/>
      <c r="I25" s="541"/>
      <c r="J25" s="339"/>
      <c r="K25" s="339"/>
      <c r="L25" s="343"/>
    </row>
    <row r="26" spans="1:16" s="299" customFormat="1" ht="9" customHeight="1">
      <c r="A26" s="521" t="s">
        <v>462</v>
      </c>
      <c r="B26" s="400"/>
      <c r="C26" s="401">
        <v>0</v>
      </c>
      <c r="D26" s="401">
        <v>0</v>
      </c>
      <c r="E26" s="401">
        <v>0</v>
      </c>
      <c r="F26" s="776" t="str">
        <f t="shared" si="0"/>
        <v/>
      </c>
      <c r="G26" s="339"/>
      <c r="H26" s="541"/>
      <c r="I26" s="541"/>
      <c r="J26" s="339"/>
      <c r="K26" s="339"/>
      <c r="L26" s="343"/>
    </row>
    <row r="27" spans="1:16" s="299" customFormat="1" ht="9" customHeight="1">
      <c r="A27" s="520" t="s">
        <v>91</v>
      </c>
      <c r="B27" s="299" t="s">
        <v>271</v>
      </c>
      <c r="C27" s="493">
        <v>54.945999999999998</v>
      </c>
      <c r="D27" s="493">
        <v>66.915000000000006</v>
      </c>
      <c r="E27" s="493">
        <v>129.45600000000002</v>
      </c>
      <c r="F27" s="777">
        <f t="shared" si="0"/>
        <v>-0.17886871404020033</v>
      </c>
      <c r="G27" s="339"/>
      <c r="H27" s="541"/>
      <c r="I27" s="541"/>
      <c r="J27" s="339"/>
      <c r="K27" s="339"/>
      <c r="L27" s="343"/>
    </row>
    <row r="28" spans="1:16" s="299" customFormat="1" ht="9" customHeight="1">
      <c r="A28" s="520"/>
      <c r="B28" s="299" t="s">
        <v>272</v>
      </c>
      <c r="C28" s="493">
        <v>10.032999999999999</v>
      </c>
      <c r="D28" s="493">
        <v>16.824000000000002</v>
      </c>
      <c r="E28" s="493">
        <v>40.941000000000003</v>
      </c>
      <c r="F28" s="777">
        <f t="shared" si="0"/>
        <v>-0.40364954826438426</v>
      </c>
      <c r="G28" s="339"/>
      <c r="H28" s="541"/>
      <c r="I28" s="541"/>
      <c r="J28" s="339"/>
      <c r="K28" s="339"/>
      <c r="L28" s="343"/>
    </row>
    <row r="29" spans="1:16" s="299" customFormat="1" ht="9" customHeight="1">
      <c r="A29" s="521" t="s">
        <v>463</v>
      </c>
      <c r="B29" s="400"/>
      <c r="C29" s="401">
        <v>64.978999999999999</v>
      </c>
      <c r="D29" s="401">
        <v>83.739000000000004</v>
      </c>
      <c r="E29" s="401">
        <v>170.39700000000002</v>
      </c>
      <c r="F29" s="776">
        <f t="shared" si="0"/>
        <v>-0.2240294247602671</v>
      </c>
      <c r="G29" s="339"/>
      <c r="H29" s="541"/>
      <c r="I29" s="541"/>
      <c r="J29" s="339"/>
      <c r="K29" s="339"/>
      <c r="L29" s="345"/>
    </row>
    <row r="30" spans="1:16" s="299" customFormat="1" ht="9" customHeight="1">
      <c r="A30" s="520" t="s">
        <v>517</v>
      </c>
      <c r="B30" s="299" t="s">
        <v>524</v>
      </c>
      <c r="C30" s="493">
        <v>0</v>
      </c>
      <c r="D30" s="493">
        <v>0</v>
      </c>
      <c r="E30" s="493">
        <v>0</v>
      </c>
      <c r="F30" s="777" t="str">
        <f t="shared" si="0"/>
        <v/>
      </c>
      <c r="G30" s="339"/>
      <c r="H30" s="541"/>
      <c r="I30" s="541"/>
      <c r="J30" s="339"/>
      <c r="K30" s="339"/>
      <c r="L30" s="343"/>
    </row>
    <row r="31" spans="1:16" s="299" customFormat="1" ht="9" customHeight="1">
      <c r="A31" s="521" t="s">
        <v>519</v>
      </c>
      <c r="B31" s="400"/>
      <c r="C31" s="401">
        <v>0</v>
      </c>
      <c r="D31" s="401">
        <v>0</v>
      </c>
      <c r="E31" s="401">
        <v>0</v>
      </c>
      <c r="F31" s="776" t="str">
        <f t="shared" si="0"/>
        <v/>
      </c>
      <c r="G31" s="339"/>
      <c r="H31" s="541"/>
      <c r="I31" s="541"/>
      <c r="J31" s="339"/>
      <c r="K31" s="339"/>
      <c r="L31" s="343"/>
    </row>
    <row r="32" spans="1:16" s="299" customFormat="1" ht="9" customHeight="1">
      <c r="A32" s="520" t="s">
        <v>89</v>
      </c>
      <c r="B32" s="299" t="s">
        <v>273</v>
      </c>
      <c r="C32" s="493">
        <v>1.5665499999999999</v>
      </c>
      <c r="D32" s="493">
        <v>1.6732800000000001</v>
      </c>
      <c r="E32" s="493">
        <v>1.3606100000000001</v>
      </c>
      <c r="F32" s="777">
        <f t="shared" si="0"/>
        <v>-6.3784901510805292E-2</v>
      </c>
      <c r="G32" s="339"/>
      <c r="H32" s="541"/>
      <c r="I32" s="541"/>
      <c r="J32" s="339"/>
      <c r="K32" s="339"/>
      <c r="L32" s="343"/>
    </row>
    <row r="33" spans="1:12" s="299" customFormat="1" ht="9" customHeight="1">
      <c r="A33" s="520"/>
      <c r="B33" s="299" t="s">
        <v>274</v>
      </c>
      <c r="C33" s="493">
        <v>0.55796999999999997</v>
      </c>
      <c r="D33" s="493">
        <v>0.56828999999999996</v>
      </c>
      <c r="E33" s="493">
        <v>0.53900000000000003</v>
      </c>
      <c r="F33" s="777">
        <f t="shared" si="0"/>
        <v>-1.8159742385049915E-2</v>
      </c>
      <c r="G33" s="339"/>
      <c r="H33" s="541"/>
      <c r="I33" s="541"/>
      <c r="J33" s="339"/>
      <c r="K33" s="339"/>
      <c r="L33" s="345"/>
    </row>
    <row r="34" spans="1:12" s="299" customFormat="1" ht="9" customHeight="1">
      <c r="A34" s="520"/>
      <c r="B34" s="299" t="s">
        <v>275</v>
      </c>
      <c r="C34" s="493">
        <v>4.4365300000000003</v>
      </c>
      <c r="D34" s="493">
        <v>4.6949899999999998</v>
      </c>
      <c r="E34" s="493">
        <v>3.8472299999999997</v>
      </c>
      <c r="F34" s="777">
        <f t="shared" si="0"/>
        <v>-5.5050170500895557E-2</v>
      </c>
      <c r="G34" s="339"/>
      <c r="H34" s="541"/>
      <c r="I34" s="541"/>
      <c r="J34" s="339"/>
      <c r="K34" s="339"/>
      <c r="L34" s="343"/>
    </row>
    <row r="35" spans="1:12" s="299" customFormat="1" ht="9" customHeight="1">
      <c r="A35" s="520"/>
      <c r="B35" s="299" t="s">
        <v>276</v>
      </c>
      <c r="C35" s="493">
        <v>13.67262</v>
      </c>
      <c r="D35" s="493">
        <v>13.80185</v>
      </c>
      <c r="E35" s="493">
        <v>8.0567499999999992</v>
      </c>
      <c r="F35" s="777">
        <f t="shared" si="0"/>
        <v>-9.3632375369968601E-3</v>
      </c>
      <c r="G35" s="339"/>
      <c r="H35" s="541"/>
      <c r="I35" s="541"/>
      <c r="J35" s="339"/>
      <c r="K35" s="339"/>
      <c r="L35" s="343"/>
    </row>
    <row r="36" spans="1:12" s="299" customFormat="1" ht="9" customHeight="1">
      <c r="A36" s="520"/>
      <c r="B36" s="299" t="s">
        <v>277</v>
      </c>
      <c r="C36" s="493">
        <v>94.862319999999997</v>
      </c>
      <c r="D36" s="493">
        <v>110.46556999999999</v>
      </c>
      <c r="E36" s="493">
        <v>37.745890000000003</v>
      </c>
      <c r="F36" s="777">
        <f t="shared" si="0"/>
        <v>-0.1412498935188583</v>
      </c>
      <c r="G36" s="339"/>
      <c r="H36" s="541"/>
      <c r="I36" s="541"/>
      <c r="J36" s="339"/>
      <c r="K36" s="339"/>
      <c r="L36" s="343"/>
    </row>
    <row r="37" spans="1:12" s="299" customFormat="1" ht="9" customHeight="1">
      <c r="A37" s="520"/>
      <c r="B37" s="299" t="s">
        <v>278</v>
      </c>
      <c r="C37" s="493">
        <v>7.9924099999999996</v>
      </c>
      <c r="D37" s="493">
        <v>8.1898199999999992</v>
      </c>
      <c r="E37" s="493">
        <v>4.9024999999999999</v>
      </c>
      <c r="F37" s="777">
        <f t="shared" si="0"/>
        <v>-2.4104314868947041E-2</v>
      </c>
      <c r="G37" s="339"/>
      <c r="H37" s="541"/>
      <c r="I37" s="541"/>
      <c r="J37" s="339"/>
      <c r="K37" s="339"/>
      <c r="L37" s="343"/>
    </row>
    <row r="38" spans="1:12" s="299" customFormat="1" ht="9" customHeight="1">
      <c r="A38" s="520"/>
      <c r="B38" s="299" t="s">
        <v>279</v>
      </c>
      <c r="C38" s="493">
        <v>0</v>
      </c>
      <c r="D38" s="493">
        <v>0</v>
      </c>
      <c r="E38" s="493">
        <v>0</v>
      </c>
      <c r="F38" s="777" t="str">
        <f t="shared" si="0"/>
        <v/>
      </c>
      <c r="G38" s="339"/>
      <c r="H38" s="541"/>
      <c r="I38" s="541"/>
      <c r="J38" s="339"/>
      <c r="K38" s="339"/>
      <c r="L38" s="343"/>
    </row>
    <row r="39" spans="1:12" s="299" customFormat="1" ht="9" customHeight="1">
      <c r="A39" s="520"/>
      <c r="B39" s="299" t="s">
        <v>280</v>
      </c>
      <c r="C39" s="493">
        <v>0</v>
      </c>
      <c r="D39" s="493">
        <v>0</v>
      </c>
      <c r="E39" s="493">
        <v>0</v>
      </c>
      <c r="F39" s="777" t="str">
        <f t="shared" si="0"/>
        <v/>
      </c>
      <c r="G39" s="339"/>
      <c r="H39" s="541"/>
      <c r="I39" s="541"/>
      <c r="J39" s="339"/>
      <c r="K39" s="339"/>
      <c r="L39" s="343"/>
    </row>
    <row r="40" spans="1:12" s="299" customFormat="1" ht="9" customHeight="1">
      <c r="A40" s="521" t="s">
        <v>464</v>
      </c>
      <c r="B40" s="400"/>
      <c r="C40" s="401">
        <v>123.08840000000001</v>
      </c>
      <c r="D40" s="401">
        <v>139.3938</v>
      </c>
      <c r="E40" s="401">
        <v>56.451980000000006</v>
      </c>
      <c r="F40" s="776">
        <f t="shared" si="0"/>
        <v>-0.11697363871276911</v>
      </c>
      <c r="G40" s="339"/>
      <c r="H40" s="541"/>
      <c r="I40" s="541"/>
      <c r="J40" s="339"/>
      <c r="K40" s="339"/>
      <c r="L40" s="343"/>
    </row>
    <row r="41" spans="1:12" s="299" customFormat="1" ht="9" customHeight="1">
      <c r="A41" s="520" t="s">
        <v>110</v>
      </c>
      <c r="B41" s="299" t="s">
        <v>68</v>
      </c>
      <c r="C41" s="493">
        <v>4.9641400000000004</v>
      </c>
      <c r="D41" s="493">
        <v>0</v>
      </c>
      <c r="E41" s="493">
        <v>5.0482500000000003</v>
      </c>
      <c r="F41" s="777" t="str">
        <f t="shared" si="0"/>
        <v/>
      </c>
      <c r="G41" s="339"/>
      <c r="H41" s="541"/>
      <c r="I41" s="541"/>
      <c r="J41" s="339"/>
      <c r="K41" s="339"/>
      <c r="L41" s="343"/>
    </row>
    <row r="42" spans="1:12" s="299" customFormat="1" ht="9" customHeight="1">
      <c r="A42" s="521" t="s">
        <v>465</v>
      </c>
      <c r="B42" s="400"/>
      <c r="C42" s="401">
        <v>4.9641400000000004</v>
      </c>
      <c r="D42" s="401">
        <v>0</v>
      </c>
      <c r="E42" s="401">
        <v>5.0482500000000003</v>
      </c>
      <c r="F42" s="776" t="str">
        <f t="shared" si="0"/>
        <v/>
      </c>
      <c r="G42" s="339"/>
      <c r="H42" s="541"/>
      <c r="I42" s="541"/>
      <c r="J42" s="339"/>
      <c r="K42" s="339"/>
      <c r="L42" s="343"/>
    </row>
    <row r="43" spans="1:12" s="299" customFormat="1" ht="9" customHeight="1">
      <c r="A43" s="520" t="s">
        <v>90</v>
      </c>
      <c r="B43" s="299" t="s">
        <v>281</v>
      </c>
      <c r="C43" s="493">
        <v>91.65</v>
      </c>
      <c r="D43" s="493">
        <v>81.986000000000004</v>
      </c>
      <c r="E43" s="493">
        <v>167.20000000000002</v>
      </c>
      <c r="F43" s="777">
        <f t="shared" si="0"/>
        <v>0.117873783328861</v>
      </c>
      <c r="G43" s="339"/>
      <c r="H43" s="541"/>
      <c r="I43" s="541"/>
      <c r="J43" s="339"/>
      <c r="K43" s="339"/>
      <c r="L43" s="343"/>
    </row>
    <row r="44" spans="1:12" s="299" customFormat="1" ht="9" customHeight="1">
      <c r="A44" s="521" t="s">
        <v>466</v>
      </c>
      <c r="B44" s="400"/>
      <c r="C44" s="401">
        <v>91.65</v>
      </c>
      <c r="D44" s="401">
        <v>81.986000000000004</v>
      </c>
      <c r="E44" s="401">
        <v>167.20000000000002</v>
      </c>
      <c r="F44" s="776">
        <f t="shared" si="0"/>
        <v>0.117873783328861</v>
      </c>
      <c r="G44" s="339"/>
      <c r="H44" s="541"/>
      <c r="I44" s="541"/>
      <c r="J44" s="339"/>
      <c r="K44" s="339"/>
      <c r="L44" s="343"/>
    </row>
    <row r="45" spans="1:12" s="299" customFormat="1" ht="9" customHeight="1">
      <c r="A45" s="520" t="s">
        <v>99</v>
      </c>
      <c r="B45" s="299" t="s">
        <v>282</v>
      </c>
      <c r="C45" s="493">
        <v>6.7320200000000003</v>
      </c>
      <c r="D45" s="493">
        <v>16.405909999999999</v>
      </c>
      <c r="E45" s="493">
        <v>6.3794000000000004</v>
      </c>
      <c r="F45" s="777">
        <f t="shared" si="0"/>
        <v>-0.5896588485490899</v>
      </c>
      <c r="G45" s="339"/>
      <c r="H45" s="541"/>
      <c r="I45" s="541"/>
      <c r="J45" s="339"/>
      <c r="K45" s="339"/>
      <c r="L45" s="346"/>
    </row>
    <row r="46" spans="1:12" s="299" customFormat="1" ht="9" customHeight="1">
      <c r="A46" s="520"/>
      <c r="B46" s="299" t="s">
        <v>615</v>
      </c>
      <c r="C46" s="493">
        <v>0</v>
      </c>
      <c r="D46" s="493">
        <v>9.5139399999999998</v>
      </c>
      <c r="E46" s="493">
        <v>0</v>
      </c>
      <c r="F46" s="777">
        <f t="shared" si="0"/>
        <v>-1</v>
      </c>
      <c r="G46" s="339"/>
      <c r="H46" s="541"/>
      <c r="I46" s="541"/>
      <c r="J46" s="339"/>
      <c r="K46" s="339"/>
      <c r="L46" s="343"/>
    </row>
    <row r="47" spans="1:12" s="299" customFormat="1" ht="9" customHeight="1">
      <c r="A47" s="520"/>
      <c r="B47" s="299" t="s">
        <v>283</v>
      </c>
      <c r="C47" s="493">
        <v>22.093579999999999</v>
      </c>
      <c r="D47" s="493">
        <v>22.73565</v>
      </c>
      <c r="E47" s="493">
        <v>16.394200000000001</v>
      </c>
      <c r="F47" s="777">
        <f t="shared" si="0"/>
        <v>-2.8240670488857811E-2</v>
      </c>
      <c r="G47" s="339"/>
      <c r="H47" s="541"/>
      <c r="I47" s="541"/>
      <c r="J47" s="339"/>
      <c r="K47" s="339"/>
      <c r="L47" s="343"/>
    </row>
    <row r="48" spans="1:12" s="299" customFormat="1" ht="9" customHeight="1">
      <c r="A48" s="521" t="s">
        <v>467</v>
      </c>
      <c r="B48" s="400"/>
      <c r="C48" s="401">
        <v>28.825600000000001</v>
      </c>
      <c r="D48" s="401">
        <v>48.655499999999996</v>
      </c>
      <c r="E48" s="401">
        <v>22.773600000000002</v>
      </c>
      <c r="F48" s="776">
        <f t="shared" si="0"/>
        <v>-0.40755721347021401</v>
      </c>
      <c r="G48" s="339"/>
      <c r="H48" s="541"/>
      <c r="I48" s="541"/>
      <c r="J48" s="339"/>
      <c r="K48" s="339"/>
      <c r="L48" s="343"/>
    </row>
    <row r="49" spans="1:12" s="299" customFormat="1" ht="9" customHeight="1">
      <c r="A49" s="520" t="s">
        <v>111</v>
      </c>
      <c r="B49" s="299" t="s">
        <v>71</v>
      </c>
      <c r="C49" s="493">
        <v>2.2850000000000001</v>
      </c>
      <c r="D49" s="493">
        <v>1.752</v>
      </c>
      <c r="E49" s="493">
        <v>3.6589999999999998</v>
      </c>
      <c r="F49" s="777">
        <f t="shared" si="0"/>
        <v>0.30422374429223753</v>
      </c>
      <c r="G49" s="339"/>
      <c r="H49" s="541"/>
      <c r="I49" s="541"/>
      <c r="J49" s="339"/>
      <c r="K49" s="339"/>
      <c r="L49" s="343"/>
    </row>
    <row r="50" spans="1:12" s="299" customFormat="1" ht="9" customHeight="1">
      <c r="A50" s="521" t="s">
        <v>468</v>
      </c>
      <c r="B50" s="400"/>
      <c r="C50" s="401">
        <v>2.2850000000000001</v>
      </c>
      <c r="D50" s="401">
        <v>1.752</v>
      </c>
      <c r="E50" s="401">
        <v>3.6589999999999998</v>
      </c>
      <c r="F50" s="776">
        <f t="shared" si="0"/>
        <v>0.30422374429223753</v>
      </c>
      <c r="G50" s="339"/>
      <c r="H50" s="541"/>
      <c r="I50" s="541"/>
      <c r="J50" s="339"/>
      <c r="K50" s="339"/>
      <c r="L50" s="343"/>
    </row>
    <row r="51" spans="1:12" s="299" customFormat="1" ht="9" customHeight="1">
      <c r="A51" s="520" t="s">
        <v>87</v>
      </c>
      <c r="B51" s="299" t="s">
        <v>284</v>
      </c>
      <c r="C51" s="493">
        <v>457.49760000000003</v>
      </c>
      <c r="D51" s="493">
        <v>639.21600000000001</v>
      </c>
      <c r="E51" s="493">
        <v>650.31119999999999</v>
      </c>
      <c r="F51" s="777">
        <f t="shared" si="0"/>
        <v>-0.28428324697754748</v>
      </c>
      <c r="G51" s="339"/>
      <c r="H51" s="541"/>
      <c r="I51" s="541"/>
      <c r="J51" s="339"/>
      <c r="K51" s="339"/>
      <c r="L51" s="343"/>
    </row>
    <row r="52" spans="1:12" s="299" customFormat="1" ht="9" customHeight="1">
      <c r="A52" s="520"/>
      <c r="B52" s="299" t="s">
        <v>285</v>
      </c>
      <c r="C52" s="493">
        <v>149.74655999999999</v>
      </c>
      <c r="D52" s="493">
        <v>209.05344000000002</v>
      </c>
      <c r="E52" s="493">
        <v>215.32416000000001</v>
      </c>
      <c r="F52" s="777">
        <f t="shared" si="0"/>
        <v>-0.28369243768483321</v>
      </c>
      <c r="G52" s="339"/>
      <c r="H52" s="541"/>
      <c r="I52" s="541"/>
      <c r="J52" s="339"/>
      <c r="K52" s="339"/>
    </row>
    <row r="53" spans="1:12" s="299" customFormat="1" ht="9" customHeight="1">
      <c r="A53" s="521" t="s">
        <v>469</v>
      </c>
      <c r="B53" s="400"/>
      <c r="C53" s="401">
        <v>607.24415999999997</v>
      </c>
      <c r="D53" s="401">
        <v>848.26944000000003</v>
      </c>
      <c r="E53" s="401">
        <v>865.63535999999999</v>
      </c>
      <c r="F53" s="776">
        <f t="shared" si="0"/>
        <v>-0.28413764381279616</v>
      </c>
      <c r="G53" s="339"/>
      <c r="H53" s="541"/>
      <c r="I53" s="541"/>
      <c r="J53" s="339"/>
      <c r="K53" s="339"/>
    </row>
    <row r="54" spans="1:12" s="299" customFormat="1" ht="9" customHeight="1">
      <c r="A54" s="520" t="s">
        <v>230</v>
      </c>
      <c r="B54" s="299" t="s">
        <v>286</v>
      </c>
      <c r="C54" s="493">
        <v>143.12947</v>
      </c>
      <c r="D54" s="493">
        <v>232.09431000000001</v>
      </c>
      <c r="E54" s="493">
        <v>460.68389000000002</v>
      </c>
      <c r="F54" s="777">
        <f t="shared" si="0"/>
        <v>-0.38331331776293875</v>
      </c>
      <c r="G54" s="339"/>
      <c r="H54" s="541"/>
      <c r="I54" s="541"/>
      <c r="J54" s="339"/>
      <c r="K54" s="339"/>
    </row>
    <row r="55" spans="1:12" s="299" customFormat="1" ht="9" customHeight="1">
      <c r="A55" s="520"/>
      <c r="B55" s="299" t="s">
        <v>287</v>
      </c>
      <c r="C55" s="493">
        <v>0</v>
      </c>
      <c r="D55" s="493">
        <v>6.4362000000000004</v>
      </c>
      <c r="E55" s="493">
        <v>6.4293199999999997</v>
      </c>
      <c r="F55" s="777">
        <f t="shared" si="0"/>
        <v>-1</v>
      </c>
      <c r="G55" s="339"/>
      <c r="H55" s="541"/>
      <c r="I55" s="541"/>
      <c r="J55" s="339"/>
      <c r="K55" s="339"/>
    </row>
    <row r="56" spans="1:12" s="299" customFormat="1" ht="9" customHeight="1">
      <c r="A56" s="521" t="s">
        <v>470</v>
      </c>
      <c r="B56" s="400"/>
      <c r="C56" s="401">
        <v>143.12947</v>
      </c>
      <c r="D56" s="401">
        <v>238.53051000000002</v>
      </c>
      <c r="E56" s="401">
        <v>467.11321000000004</v>
      </c>
      <c r="F56" s="776">
        <f t="shared" si="0"/>
        <v>-0.39995319676296337</v>
      </c>
      <c r="G56" s="339"/>
      <c r="H56" s="541"/>
      <c r="I56" s="541"/>
      <c r="J56" s="339"/>
      <c r="K56" s="339"/>
    </row>
    <row r="57" spans="1:12" s="299" customFormat="1" ht="9" customHeight="1">
      <c r="A57" s="520" t="s">
        <v>231</v>
      </c>
      <c r="B57" s="299" t="s">
        <v>288</v>
      </c>
      <c r="C57" s="493">
        <v>50.04907</v>
      </c>
      <c r="D57" s="493">
        <v>47.938209999999998</v>
      </c>
      <c r="E57" s="493">
        <v>48.44408</v>
      </c>
      <c r="F57" s="777">
        <f t="shared" si="0"/>
        <v>4.403293322800339E-2</v>
      </c>
      <c r="G57" s="339"/>
      <c r="H57" s="541"/>
      <c r="I57" s="541"/>
      <c r="J57" s="339"/>
      <c r="K57" s="339"/>
    </row>
    <row r="58" spans="1:12" s="299" customFormat="1" ht="9" customHeight="1">
      <c r="A58" s="521" t="s">
        <v>471</v>
      </c>
      <c r="B58" s="400"/>
      <c r="C58" s="401">
        <v>50.04907</v>
      </c>
      <c r="D58" s="401">
        <v>47.938209999999998</v>
      </c>
      <c r="E58" s="401">
        <v>48.44408</v>
      </c>
      <c r="F58" s="776">
        <f t="shared" si="0"/>
        <v>4.403293322800339E-2</v>
      </c>
      <c r="G58" s="339"/>
      <c r="H58" s="541"/>
      <c r="I58" s="541"/>
      <c r="J58" s="339"/>
      <c r="K58" s="339"/>
    </row>
    <row r="59" spans="1:12" s="299" customFormat="1" ht="9" customHeight="1">
      <c r="A59" s="520" t="s">
        <v>447</v>
      </c>
      <c r="B59" s="299" t="s">
        <v>63</v>
      </c>
      <c r="C59" s="493">
        <v>1.3351999999999999</v>
      </c>
      <c r="D59" s="493">
        <v>2.7174700000000001</v>
      </c>
      <c r="E59" s="493">
        <v>9.7549899999999994</v>
      </c>
      <c r="F59" s="777">
        <f t="shared" si="0"/>
        <v>-0.50866062918817878</v>
      </c>
      <c r="G59" s="339"/>
      <c r="H59" s="541"/>
      <c r="I59" s="541"/>
      <c r="J59" s="339"/>
      <c r="K59" s="339"/>
    </row>
    <row r="60" spans="1:12" s="299" customFormat="1" ht="9" customHeight="1">
      <c r="A60" s="520"/>
      <c r="B60" s="299" t="s">
        <v>62</v>
      </c>
      <c r="C60" s="493">
        <v>1.69354</v>
      </c>
      <c r="D60" s="493">
        <v>2.94482</v>
      </c>
      <c r="E60" s="493">
        <v>9.8874899999999997</v>
      </c>
      <c r="F60" s="777">
        <f t="shared" si="0"/>
        <v>-0.42490882295012933</v>
      </c>
      <c r="G60" s="339"/>
      <c r="H60" s="541"/>
      <c r="I60" s="541"/>
      <c r="J60" s="339"/>
      <c r="K60" s="339"/>
    </row>
    <row r="61" spans="1:12" s="299" customFormat="1" ht="9" customHeight="1">
      <c r="A61" s="520"/>
      <c r="B61" s="299" t="s">
        <v>58</v>
      </c>
      <c r="C61" s="493">
        <v>3.1586699999999999</v>
      </c>
      <c r="D61" s="493">
        <v>3.3601999999999999</v>
      </c>
      <c r="E61" s="493">
        <v>18.70805</v>
      </c>
      <c r="F61" s="777">
        <f t="shared" si="0"/>
        <v>-5.9975596690673205E-2</v>
      </c>
      <c r="G61" s="339"/>
      <c r="H61" s="541"/>
      <c r="I61" s="541"/>
      <c r="J61" s="339"/>
      <c r="K61" s="339"/>
    </row>
    <row r="62" spans="1:12" s="299" customFormat="1" ht="9" customHeight="1">
      <c r="A62" s="520"/>
      <c r="B62" s="299" t="s">
        <v>55</v>
      </c>
      <c r="C62" s="493">
        <v>4.8419299999999996</v>
      </c>
      <c r="D62" s="493">
        <v>4.9954000000000001</v>
      </c>
      <c r="E62" s="493">
        <v>20.09215</v>
      </c>
      <c r="F62" s="777">
        <f t="shared" si="0"/>
        <v>-3.0722264483324713E-2</v>
      </c>
      <c r="G62" s="339"/>
      <c r="H62" s="542"/>
      <c r="I62" s="541"/>
      <c r="J62" s="339"/>
      <c r="K62" s="339"/>
    </row>
    <row r="63" spans="1:12" s="299" customFormat="1" ht="9" customHeight="1">
      <c r="A63" s="520"/>
      <c r="B63" s="299" t="s">
        <v>66</v>
      </c>
      <c r="C63" s="493">
        <v>2.08847</v>
      </c>
      <c r="D63" s="493">
        <v>1.4566399999999999</v>
      </c>
      <c r="E63" s="493">
        <v>5.4373699999999996</v>
      </c>
      <c r="F63" s="777">
        <f t="shared" si="0"/>
        <v>0.43375851274165211</v>
      </c>
      <c r="G63" s="339"/>
      <c r="H63" s="542"/>
      <c r="I63" s="541"/>
      <c r="J63" s="339"/>
      <c r="K63" s="339"/>
    </row>
    <row r="64" spans="1:12" s="299" customFormat="1" ht="9" customHeight="1">
      <c r="A64" s="520"/>
      <c r="B64" s="299" t="s">
        <v>65</v>
      </c>
      <c r="C64" s="493">
        <v>2.6194999999999999</v>
      </c>
      <c r="D64" s="493">
        <v>1.51413</v>
      </c>
      <c r="E64" s="493">
        <v>6.40177</v>
      </c>
      <c r="F64" s="777">
        <f t="shared" si="0"/>
        <v>0.73003639053449842</v>
      </c>
      <c r="G64" s="347"/>
      <c r="H64" s="542"/>
      <c r="I64" s="541"/>
      <c r="J64" s="339"/>
      <c r="K64" s="339"/>
    </row>
    <row r="65" spans="1:11" s="299" customFormat="1" ht="9" customHeight="1">
      <c r="A65" s="521" t="s">
        <v>472</v>
      </c>
      <c r="B65" s="400"/>
      <c r="C65" s="401">
        <v>15.737309999999999</v>
      </c>
      <c r="D65" s="401">
        <v>16.988660000000003</v>
      </c>
      <c r="E65" s="401">
        <v>70.281819999999996</v>
      </c>
      <c r="F65" s="776">
        <f t="shared" si="0"/>
        <v>-7.3657957720032252E-2</v>
      </c>
      <c r="G65" s="347"/>
      <c r="H65" s="542"/>
      <c r="I65" s="541"/>
      <c r="J65" s="339"/>
      <c r="K65" s="339"/>
    </row>
    <row r="66" spans="1:11" s="299" customFormat="1" ht="9" customHeight="1">
      <c r="A66" s="520" t="s">
        <v>86</v>
      </c>
      <c r="B66" s="299" t="s">
        <v>434</v>
      </c>
      <c r="C66" s="493">
        <v>70.954999999999998</v>
      </c>
      <c r="D66" s="493">
        <v>70.994</v>
      </c>
      <c r="E66" s="493">
        <v>49.161000000000001</v>
      </c>
      <c r="F66" s="777">
        <f t="shared" si="0"/>
        <v>-5.4934219793223438E-4</v>
      </c>
      <c r="G66" s="347"/>
      <c r="H66" s="542"/>
      <c r="I66" s="541"/>
      <c r="J66" s="339"/>
      <c r="K66" s="339"/>
    </row>
    <row r="67" spans="1:11" s="299" customFormat="1" ht="9" customHeight="1">
      <c r="A67" s="520"/>
      <c r="B67" s="299" t="s">
        <v>289</v>
      </c>
      <c r="C67" s="493">
        <v>15.409000000000001</v>
      </c>
      <c r="D67" s="493">
        <v>25.195999999999998</v>
      </c>
      <c r="E67" s="493">
        <v>30.404</v>
      </c>
      <c r="F67" s="777">
        <f t="shared" ref="F67:F79" si="1">+IF(D67=0,"",C67/D67-1)</f>
        <v>-0.38843467217018568</v>
      </c>
      <c r="G67" s="347"/>
      <c r="H67" s="541"/>
      <c r="I67" s="541"/>
      <c r="J67" s="339"/>
      <c r="K67" s="339"/>
    </row>
    <row r="68" spans="1:11" s="299" customFormat="1" ht="9" customHeight="1">
      <c r="A68" s="520"/>
      <c r="B68" s="299" t="s">
        <v>290</v>
      </c>
      <c r="C68" s="493">
        <v>150.59299999999999</v>
      </c>
      <c r="D68" s="493">
        <v>152.40899999999999</v>
      </c>
      <c r="E68" s="493">
        <v>68.777000000000001</v>
      </c>
      <c r="F68" s="777">
        <f t="shared" si="1"/>
        <v>-1.1915306838835016E-2</v>
      </c>
      <c r="G68" s="347"/>
      <c r="H68" s="541"/>
      <c r="I68" s="541"/>
      <c r="J68" s="339"/>
      <c r="K68" s="339"/>
    </row>
    <row r="69" spans="1:11" s="299" customFormat="1" ht="9" customHeight="1">
      <c r="A69" s="520"/>
      <c r="B69" s="299" t="s">
        <v>291</v>
      </c>
      <c r="C69" s="493">
        <v>94.646000000000001</v>
      </c>
      <c r="D69" s="493">
        <v>60.789000000000001</v>
      </c>
      <c r="E69" s="493">
        <v>133.589</v>
      </c>
      <c r="F69" s="777">
        <f t="shared" si="1"/>
        <v>0.55695931829771839</v>
      </c>
      <c r="G69" s="339"/>
      <c r="H69" s="541"/>
      <c r="I69" s="541"/>
      <c r="J69" s="339"/>
      <c r="K69" s="339"/>
    </row>
    <row r="70" spans="1:11" s="299" customFormat="1" ht="9" customHeight="1">
      <c r="A70" s="520"/>
      <c r="B70" s="299" t="s">
        <v>292</v>
      </c>
      <c r="C70" s="493">
        <v>63.177999999999997</v>
      </c>
      <c r="D70" s="493">
        <v>42.396999999999998</v>
      </c>
      <c r="E70" s="493">
        <v>64.763000000000005</v>
      </c>
      <c r="F70" s="777">
        <f t="shared" si="1"/>
        <v>0.49015260513715586</v>
      </c>
      <c r="G70" s="339"/>
      <c r="H70" s="541"/>
      <c r="I70" s="541"/>
      <c r="J70" s="339"/>
      <c r="K70" s="339"/>
    </row>
    <row r="71" spans="1:11" s="299" customFormat="1" ht="9" customHeight="1">
      <c r="A71" s="520"/>
      <c r="B71" s="299" t="s">
        <v>293</v>
      </c>
      <c r="C71" s="493">
        <v>214.042</v>
      </c>
      <c r="D71" s="493">
        <v>0</v>
      </c>
      <c r="E71" s="493">
        <v>103.358</v>
      </c>
      <c r="F71" s="777" t="str">
        <f t="shared" si="1"/>
        <v/>
      </c>
      <c r="G71" s="339"/>
      <c r="H71" s="541"/>
      <c r="I71" s="541"/>
      <c r="J71" s="339"/>
      <c r="K71" s="339"/>
    </row>
    <row r="72" spans="1:11" s="299" customFormat="1" ht="9" customHeight="1">
      <c r="A72" s="520"/>
      <c r="B72" s="299" t="s">
        <v>294</v>
      </c>
      <c r="C72" s="493">
        <v>0</v>
      </c>
      <c r="D72" s="493">
        <v>0</v>
      </c>
      <c r="E72" s="493">
        <v>176.47900000000001</v>
      </c>
      <c r="F72" s="777" t="str">
        <f t="shared" si="1"/>
        <v/>
      </c>
      <c r="G72" s="348"/>
      <c r="H72" s="541"/>
      <c r="I72" s="541"/>
      <c r="J72" s="339"/>
      <c r="K72" s="339"/>
    </row>
    <row r="73" spans="1:11" s="299" customFormat="1" ht="9" customHeight="1">
      <c r="A73" s="520"/>
      <c r="B73" s="299" t="s">
        <v>295</v>
      </c>
      <c r="C73" s="493">
        <v>461.31399999999996</v>
      </c>
      <c r="D73" s="493">
        <v>225.69899999999998</v>
      </c>
      <c r="E73" s="493">
        <v>214.99899999999997</v>
      </c>
      <c r="F73" s="777">
        <f t="shared" si="1"/>
        <v>1.0439346208888831</v>
      </c>
      <c r="G73" s="348"/>
      <c r="H73" s="270"/>
      <c r="I73" s="541"/>
      <c r="J73" s="339"/>
      <c r="K73" s="339"/>
    </row>
    <row r="74" spans="1:11" s="299" customFormat="1" ht="9" customHeight="1">
      <c r="A74" s="520"/>
      <c r="B74" s="299" t="s">
        <v>395</v>
      </c>
      <c r="C74" s="493">
        <v>0.35399999999999998</v>
      </c>
      <c r="D74" s="493">
        <v>0.35399999999999998</v>
      </c>
      <c r="E74" s="493">
        <v>0.64400000000000002</v>
      </c>
      <c r="F74" s="777">
        <f t="shared" si="1"/>
        <v>0</v>
      </c>
      <c r="G74" s="348"/>
      <c r="H74" s="270"/>
      <c r="I74" s="541"/>
      <c r="J74" s="339"/>
      <c r="K74" s="339"/>
    </row>
    <row r="75" spans="1:11" s="299" customFormat="1" ht="9" customHeight="1">
      <c r="A75" s="521" t="s">
        <v>473</v>
      </c>
      <c r="B75" s="400"/>
      <c r="C75" s="401">
        <v>1070.491</v>
      </c>
      <c r="D75" s="401">
        <v>577.83799999999997</v>
      </c>
      <c r="E75" s="401">
        <v>842.17399999999998</v>
      </c>
      <c r="F75" s="776">
        <f t="shared" si="1"/>
        <v>0.85257978879893681</v>
      </c>
      <c r="H75" s="270"/>
      <c r="I75" s="541"/>
      <c r="J75" s="339"/>
      <c r="K75" s="339"/>
    </row>
    <row r="76" spans="1:11" s="299" customFormat="1" ht="9" customHeight="1">
      <c r="A76" s="520" t="s">
        <v>94</v>
      </c>
      <c r="B76" s="299" t="s">
        <v>296</v>
      </c>
      <c r="C76" s="493">
        <v>0</v>
      </c>
      <c r="D76" s="493">
        <v>0</v>
      </c>
      <c r="E76" s="493">
        <v>0</v>
      </c>
      <c r="F76" s="777" t="str">
        <f t="shared" si="1"/>
        <v/>
      </c>
    </row>
    <row r="77" spans="1:11" s="299" customFormat="1" ht="9" customHeight="1">
      <c r="A77" s="520"/>
      <c r="B77" s="299" t="s">
        <v>297</v>
      </c>
      <c r="C77" s="493">
        <v>90.2</v>
      </c>
      <c r="D77" s="493">
        <v>92.156000000000006</v>
      </c>
      <c r="E77" s="493">
        <v>85.912000000000006</v>
      </c>
      <c r="F77" s="777">
        <f t="shared" si="1"/>
        <v>-2.1224879552063869E-2</v>
      </c>
    </row>
    <row r="78" spans="1:11" s="299" customFormat="1" ht="9" customHeight="1">
      <c r="A78" s="520"/>
      <c r="B78" s="299" t="s">
        <v>298</v>
      </c>
      <c r="C78" s="493">
        <v>0</v>
      </c>
      <c r="D78" s="493">
        <v>0</v>
      </c>
      <c r="E78" s="493">
        <v>0</v>
      </c>
      <c r="F78" s="777"/>
    </row>
    <row r="79" spans="1:11" s="299" customFormat="1" ht="9" customHeight="1">
      <c r="A79" s="792" t="s">
        <v>474</v>
      </c>
      <c r="B79" s="793"/>
      <c r="C79" s="794">
        <v>90.2</v>
      </c>
      <c r="D79" s="794">
        <v>92.156000000000006</v>
      </c>
      <c r="E79" s="794">
        <v>85.912000000000006</v>
      </c>
      <c r="F79" s="795">
        <f t="shared" si="1"/>
        <v>-2.1224879552063869E-2</v>
      </c>
    </row>
    <row r="80" spans="1:11" s="299" customFormat="1" ht="9" customHeight="1"/>
    <row r="81" s="299" customFormat="1" ht="9" customHeight="1"/>
    <row r="82" s="299" customFormat="1" ht="9" customHeight="1"/>
    <row r="83" s="299" customFormat="1" ht="9" customHeight="1"/>
    <row r="84" s="299" customFormat="1" ht="9" customHeight="1"/>
    <row r="85" s="299" customFormat="1" ht="9" customHeight="1"/>
    <row r="86" s="299" customFormat="1" ht="9" customHeight="1"/>
    <row r="87" s="299" customFormat="1" ht="9" customHeight="1"/>
    <row r="88" s="299" customFormat="1" ht="9" customHeight="1"/>
    <row r="89" s="299" customFormat="1" ht="9" customHeight="1"/>
    <row r="90" s="299" customFormat="1" ht="9" customHeight="1"/>
    <row r="91" s="299" customFormat="1" ht="9" customHeight="1"/>
    <row r="92" s="299" customFormat="1" ht="9" customHeight="1"/>
    <row r="93" s="299" customFormat="1" ht="9" customHeight="1"/>
    <row r="94" s="299" customFormat="1" ht="9" customHeight="1"/>
    <row r="95" s="299" customFormat="1" ht="9" customHeight="1"/>
    <row r="96" s="299" customFormat="1" ht="9" customHeight="1"/>
    <row r="97" s="299" customFormat="1" ht="9" customHeight="1"/>
    <row r="98" s="299" customFormat="1" ht="9" customHeight="1"/>
    <row r="99" s="299" customFormat="1" ht="9" customHeight="1"/>
    <row r="100" s="299" customFormat="1" ht="9" customHeight="1"/>
    <row r="101" s="299" customFormat="1" ht="9" customHeight="1"/>
    <row r="102" s="299" customFormat="1" ht="9" customHeight="1"/>
    <row r="103" s="299" customFormat="1" ht="9" customHeight="1"/>
    <row r="104" s="299" customFormat="1" ht="9" customHeight="1"/>
    <row r="105" s="299" customFormat="1" ht="9" customHeight="1"/>
    <row r="106" s="299" customFormat="1" ht="9" customHeight="1"/>
    <row r="107" s="299" customFormat="1" ht="9" customHeight="1"/>
    <row r="108" s="299" customFormat="1" ht="9" customHeight="1"/>
    <row r="109" s="299" customFormat="1" ht="9" customHeight="1"/>
    <row r="110" s="299" customFormat="1" ht="9" customHeight="1"/>
    <row r="111" s="299" customFormat="1" ht="9" customHeight="1"/>
    <row r="112" s="299" customFormat="1" ht="9" customHeight="1"/>
    <row r="113" s="299" customFormat="1" ht="9" customHeight="1"/>
    <row r="114" s="299" customFormat="1" ht="9" customHeight="1"/>
    <row r="115" s="299" customFormat="1" ht="9" customHeight="1"/>
    <row r="116" s="299" customFormat="1" ht="9" customHeight="1"/>
    <row r="117" s="299" customFormat="1" ht="9" customHeight="1"/>
    <row r="118" s="299" customFormat="1" ht="9" customHeight="1"/>
    <row r="119" s="299" customFormat="1" ht="9" customHeight="1"/>
    <row r="120" s="299" customFormat="1" ht="9" customHeight="1"/>
    <row r="121" s="299" customFormat="1" ht="9" customHeight="1"/>
    <row r="122" s="299" customFormat="1" ht="9" customHeight="1"/>
    <row r="123" s="299" customFormat="1" ht="9" customHeight="1"/>
    <row r="124" s="299" customFormat="1" ht="9" customHeight="1"/>
    <row r="125" s="299" customFormat="1" ht="9" customHeight="1"/>
    <row r="126" s="299" customFormat="1" ht="9" customHeight="1"/>
    <row r="127" s="299" customFormat="1" ht="9" customHeight="1"/>
    <row r="128" s="299" customFormat="1" ht="9" customHeight="1"/>
    <row r="129" s="299" customFormat="1" ht="9" customHeight="1"/>
    <row r="130" s="299" customFormat="1" ht="9" customHeight="1"/>
    <row r="131" s="299" customFormat="1" ht="9" customHeight="1"/>
    <row r="132" s="299" customFormat="1" ht="9" customHeight="1"/>
    <row r="133" s="299" customFormat="1" ht="9" customHeight="1"/>
    <row r="134" s="299" customFormat="1" ht="9" customHeight="1"/>
    <row r="135" s="299" customFormat="1" ht="10.5" customHeight="1"/>
    <row r="136" s="299" customFormat="1" ht="10.5" customHeight="1"/>
    <row r="137" s="299" customFormat="1" ht="10.5" customHeight="1"/>
    <row r="138" s="299" customFormat="1" ht="10.5" customHeight="1"/>
    <row r="139" s="299" customFormat="1" ht="10.5" customHeight="1"/>
    <row r="140" s="299" customFormat="1" ht="10.5" customHeight="1"/>
    <row r="141" s="299" customFormat="1" ht="10.5" customHeight="1"/>
    <row r="142" s="299" customFormat="1" ht="10.5" customHeight="1"/>
    <row r="143" s="299" customFormat="1" ht="10.5" customHeight="1"/>
    <row r="144" s="299" customFormat="1" ht="10.5" customHeight="1"/>
    <row r="145" s="299" customFormat="1" ht="10.5" customHeight="1"/>
    <row r="146" s="299" customFormat="1" ht="10.5" customHeight="1"/>
    <row r="147" s="299" customFormat="1" ht="10.5" customHeight="1"/>
    <row r="148" s="299" customFormat="1" ht="10.5" customHeight="1"/>
    <row r="149" s="299" customFormat="1" ht="10.5" customHeight="1"/>
    <row r="150" s="299" customFormat="1" ht="10.5" customHeight="1"/>
    <row r="151" s="299" customFormat="1" ht="10.5" customHeight="1"/>
    <row r="152" s="299" customFormat="1" ht="10.5" customHeight="1"/>
    <row r="153" s="299" customFormat="1" ht="10.5" customHeight="1"/>
    <row r="154" s="299" customFormat="1" ht="10.5" customHeight="1"/>
    <row r="155" s="299" customFormat="1" ht="10.5" customHeight="1"/>
    <row r="156" s="299" customFormat="1" ht="10.5" customHeight="1"/>
    <row r="157" s="299" customFormat="1" ht="10.5" customHeight="1"/>
    <row r="158" s="299" customFormat="1" ht="10.5" customHeight="1"/>
    <row r="159" s="299" customFormat="1" ht="10.5" customHeight="1"/>
    <row r="160" s="299" customFormat="1" ht="10.5" customHeight="1"/>
    <row r="161" s="299" customFormat="1" ht="10.5" customHeight="1"/>
    <row r="162" s="299" customFormat="1" ht="10.5" customHeight="1"/>
    <row r="163" s="299" customFormat="1" ht="10.5" customHeight="1"/>
    <row r="164" s="299" customFormat="1" ht="10.5" customHeight="1"/>
    <row r="165" s="299" customFormat="1" ht="7.8"/>
    <row r="166" s="299" customFormat="1" ht="7.8"/>
    <row r="167" s="299" customFormat="1" ht="7.8"/>
    <row r="168" s="299" customFormat="1" ht="7.8"/>
    <row r="169" s="299" customFormat="1" ht="7.8"/>
    <row r="170" s="299" customFormat="1" ht="7.8"/>
    <row r="171" s="299" customFormat="1" ht="7.8"/>
    <row r="172" s="299" customFormat="1" ht="7.8"/>
    <row r="173" s="299" customFormat="1" ht="7.8"/>
    <row r="174" s="299" customFormat="1" ht="7.8"/>
    <row r="175" s="299" customFormat="1" ht="7.8"/>
    <row r="176" s="299" customFormat="1" ht="7.8"/>
    <row r="177" s="299" customFormat="1" ht="7.8"/>
    <row r="178" s="299" customFormat="1" ht="7.8"/>
    <row r="179" s="299" customFormat="1" ht="7.8"/>
    <row r="180" s="299" customFormat="1" ht="7.8"/>
    <row r="181" s="299" customFormat="1" ht="7.8"/>
    <row r="182" s="299" customFormat="1" ht="7.8"/>
    <row r="183" s="299" customFormat="1" ht="7.8"/>
    <row r="184" s="299" customFormat="1" ht="7.8"/>
    <row r="185" s="299" customFormat="1" ht="7.8"/>
  </sheetData>
  <mergeCells count="3">
    <mergeCell ref="A2:A5"/>
    <mergeCell ref="B2:B5"/>
    <mergeCell ref="C2:F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7"/>
  <sheetViews>
    <sheetView showGridLines="0" view="pageBreakPreview" zoomScaleNormal="100" zoomScaleSheetLayoutView="100" workbookViewId="0">
      <selection activeCell="C43" sqref="C43"/>
    </sheetView>
  </sheetViews>
  <sheetFormatPr baseColWidth="10" defaultColWidth="9.28515625" defaultRowHeight="9.6"/>
  <cols>
    <col min="1" max="1" width="28.7109375" style="270" customWidth="1"/>
    <col min="2" max="2" width="22.140625" style="270" customWidth="1"/>
    <col min="3" max="4" width="17.7109375" style="270" customWidth="1"/>
    <col min="5" max="5" width="15.140625" style="270" customWidth="1"/>
    <col min="6" max="6" width="13.28515625" style="270" customWidth="1"/>
    <col min="7" max="7" width="6.28515625" style="270" customWidth="1"/>
    <col min="8" max="16384" width="9.28515625" style="270"/>
  </cols>
  <sheetData>
    <row r="1" spans="1:11" s="299" customFormat="1" ht="11.25" customHeight="1">
      <c r="A1" s="943" t="s">
        <v>243</v>
      </c>
      <c r="B1" s="944" t="s">
        <v>52</v>
      </c>
      <c r="C1" s="944" t="s">
        <v>335</v>
      </c>
      <c r="D1" s="944"/>
      <c r="E1" s="944"/>
      <c r="F1" s="945"/>
      <c r="G1" s="337"/>
    </row>
    <row r="2" spans="1:11" s="299" customFormat="1" ht="11.25" customHeight="1">
      <c r="A2" s="937"/>
      <c r="B2" s="940"/>
      <c r="C2" s="389" t="str">
        <f>UPPER('1. Resumen'!Q4)&amp;" "&amp;'1. Resumen'!Q5</f>
        <v>JULIO 2023</v>
      </c>
      <c r="D2" s="390" t="str">
        <f>UPPER('1. Resumen'!Q4)&amp;" "&amp;'1. Resumen'!Q5-1</f>
        <v>JULIO 2022</v>
      </c>
      <c r="E2" s="390">
        <v>2023</v>
      </c>
      <c r="F2" s="501" t="s">
        <v>544</v>
      </c>
      <c r="G2" s="338"/>
      <c r="H2" s="337"/>
    </row>
    <row r="3" spans="1:11" s="299" customFormat="1" ht="11.25" customHeight="1">
      <c r="A3" s="937"/>
      <c r="B3" s="940"/>
      <c r="C3" s="391">
        <f>'21. ANEXOII-1'!C4</f>
        <v>45118.84375</v>
      </c>
      <c r="D3" s="391">
        <f>'21. ANEXOII-1'!D4</f>
        <v>44761.802083333336</v>
      </c>
      <c r="E3" s="391">
        <f>'21. ANEXOII-1'!E4</f>
        <v>45027.791666666664</v>
      </c>
      <c r="F3" s="502" t="s">
        <v>332</v>
      </c>
      <c r="G3" s="339"/>
      <c r="H3" s="337"/>
    </row>
    <row r="4" spans="1:11" s="299" customFormat="1" ht="9" customHeight="1">
      <c r="A4" s="938"/>
      <c r="B4" s="941"/>
      <c r="C4" s="392">
        <f>+'8. Max Potencia'!D9</f>
        <v>45118.84375</v>
      </c>
      <c r="D4" s="392">
        <f>+'8. Max Potencia'!E9</f>
        <v>44761.802083333336</v>
      </c>
      <c r="E4" s="392">
        <f>+'21. ANEXOII-1'!E5</f>
        <v>45027.791666666664</v>
      </c>
      <c r="F4" s="503" t="s">
        <v>333</v>
      </c>
      <c r="G4" s="339"/>
      <c r="H4" s="341"/>
    </row>
    <row r="5" spans="1:11" s="299" customFormat="1" ht="9.6" customHeight="1">
      <c r="A5" s="778" t="s">
        <v>96</v>
      </c>
      <c r="B5" s="779" t="s">
        <v>402</v>
      </c>
      <c r="C5" s="780">
        <v>0</v>
      </c>
      <c r="D5" s="780">
        <v>0</v>
      </c>
      <c r="E5" s="780">
        <v>0</v>
      </c>
      <c r="F5" s="781" t="str">
        <f t="shared" ref="F5:F70" si="0">+IF(D5=0,"",C5/D5-1)</f>
        <v/>
      </c>
      <c r="J5" s="411"/>
      <c r="K5" s="411"/>
    </row>
    <row r="6" spans="1:11" s="299" customFormat="1" ht="9.6" customHeight="1">
      <c r="A6" s="666"/>
      <c r="B6" s="533" t="s">
        <v>401</v>
      </c>
      <c r="C6" s="656">
        <v>126.18300000000001</v>
      </c>
      <c r="D6" s="656">
        <v>106.501</v>
      </c>
      <c r="E6" s="656">
        <v>88.403999999999996</v>
      </c>
      <c r="F6" s="782">
        <f t="shared" si="0"/>
        <v>0.18480577647158247</v>
      </c>
      <c r="J6" s="411"/>
      <c r="K6" s="411"/>
    </row>
    <row r="7" spans="1:11" s="299" customFormat="1" ht="9.6" customHeight="1">
      <c r="A7" s="666"/>
      <c r="B7" s="533" t="s">
        <v>604</v>
      </c>
      <c r="C7" s="656">
        <v>0</v>
      </c>
      <c r="D7" s="656"/>
      <c r="E7" s="656">
        <v>0</v>
      </c>
      <c r="F7" s="782"/>
      <c r="J7" s="411"/>
      <c r="K7" s="411"/>
    </row>
    <row r="8" spans="1:11" s="299" customFormat="1" ht="9.6" customHeight="1">
      <c r="A8" s="667" t="s">
        <v>475</v>
      </c>
      <c r="B8" s="668"/>
      <c r="C8" s="669">
        <v>126.18300000000001</v>
      </c>
      <c r="D8" s="669">
        <v>106.501</v>
      </c>
      <c r="E8" s="669">
        <v>88.403999999999996</v>
      </c>
      <c r="F8" s="783">
        <f t="shared" si="0"/>
        <v>0.18480577647158247</v>
      </c>
      <c r="J8" s="411"/>
      <c r="K8" s="411"/>
    </row>
    <row r="9" spans="1:11" s="299" customFormat="1" ht="9.6" customHeight="1">
      <c r="A9" s="666" t="s">
        <v>95</v>
      </c>
      <c r="B9" s="533" t="s">
        <v>75</v>
      </c>
      <c r="C9" s="656">
        <v>52.842799999999997</v>
      </c>
      <c r="D9" s="656">
        <v>38.009</v>
      </c>
      <c r="E9" s="656">
        <v>33.793999999999997</v>
      </c>
      <c r="F9" s="782">
        <f t="shared" si="0"/>
        <v>0.39027072535452123</v>
      </c>
      <c r="K9" s="411"/>
    </row>
    <row r="10" spans="1:11" s="299" customFormat="1" ht="9.6" customHeight="1">
      <c r="A10" s="666"/>
      <c r="B10" s="533" t="s">
        <v>77</v>
      </c>
      <c r="C10" s="656">
        <v>22.153310000000001</v>
      </c>
      <c r="D10" s="656">
        <v>7.6924999999999999</v>
      </c>
      <c r="E10" s="656">
        <v>2.0999999999999999E-3</v>
      </c>
      <c r="F10" s="782">
        <f t="shared" si="0"/>
        <v>1.8798583035424117</v>
      </c>
      <c r="K10" s="411"/>
    </row>
    <row r="11" spans="1:11" s="299" customFormat="1" ht="9.6" customHeight="1">
      <c r="A11" s="667" t="s">
        <v>476</v>
      </c>
      <c r="B11" s="668"/>
      <c r="C11" s="669">
        <v>74.996110000000002</v>
      </c>
      <c r="D11" s="669">
        <v>45.701500000000003</v>
      </c>
      <c r="E11" s="669">
        <v>33.796099999999996</v>
      </c>
      <c r="F11" s="783">
        <f t="shared" si="0"/>
        <v>0.6409988731223264</v>
      </c>
      <c r="K11" s="411"/>
    </row>
    <row r="12" spans="1:11" s="299" customFormat="1" ht="9.6" customHeight="1">
      <c r="A12" s="666" t="s">
        <v>85</v>
      </c>
      <c r="B12" s="533" t="s">
        <v>616</v>
      </c>
      <c r="C12" s="656">
        <v>0</v>
      </c>
      <c r="D12" s="656">
        <v>56.189630000000001</v>
      </c>
      <c r="E12" s="656">
        <v>0</v>
      </c>
      <c r="F12" s="782">
        <f t="shared" si="0"/>
        <v>-1</v>
      </c>
      <c r="J12" s="411"/>
      <c r="K12" s="411"/>
    </row>
    <row r="13" spans="1:11" s="299" customFormat="1" ht="9.6" customHeight="1">
      <c r="A13" s="666"/>
      <c r="B13" s="533" t="s">
        <v>299</v>
      </c>
      <c r="C13" s="656">
        <v>54.191839999999999</v>
      </c>
      <c r="D13" s="656">
        <v>71.499269999999996</v>
      </c>
      <c r="E13" s="656">
        <v>130.81349</v>
      </c>
      <c r="F13" s="782">
        <f t="shared" si="0"/>
        <v>-0.24206442946900009</v>
      </c>
      <c r="J13" s="411"/>
      <c r="K13" s="411"/>
    </row>
    <row r="14" spans="1:11" s="299" customFormat="1" ht="9.6" customHeight="1">
      <c r="A14" s="666"/>
      <c r="B14" s="533" t="s">
        <v>300</v>
      </c>
      <c r="C14" s="656">
        <v>787.78221000000008</v>
      </c>
      <c r="D14" s="656">
        <v>768.35092999999995</v>
      </c>
      <c r="E14" s="656">
        <v>753.17270000000008</v>
      </c>
      <c r="F14" s="782">
        <f t="shared" si="0"/>
        <v>2.5289590005442175E-2</v>
      </c>
      <c r="J14" s="411"/>
      <c r="K14" s="411"/>
    </row>
    <row r="15" spans="1:11" s="299" customFormat="1" ht="9.6" customHeight="1">
      <c r="A15" s="666"/>
      <c r="B15" s="533" t="s">
        <v>301</v>
      </c>
      <c r="C15" s="656">
        <v>101.5976</v>
      </c>
      <c r="D15" s="656">
        <v>102.20852000000001</v>
      </c>
      <c r="E15" s="656">
        <v>101.03351000000001</v>
      </c>
      <c r="F15" s="782">
        <f t="shared" si="0"/>
        <v>-5.9771925080218669E-3</v>
      </c>
      <c r="J15" s="411"/>
      <c r="K15" s="411"/>
    </row>
    <row r="16" spans="1:11" s="299" customFormat="1" ht="9.6" customHeight="1">
      <c r="A16" s="666"/>
      <c r="B16" s="533" t="s">
        <v>542</v>
      </c>
      <c r="C16" s="656">
        <v>0</v>
      </c>
      <c r="D16" s="656">
        <v>87.620419999999996</v>
      </c>
      <c r="E16" s="656"/>
      <c r="F16" s="782">
        <f t="shared" si="0"/>
        <v>-1</v>
      </c>
      <c r="J16" s="411"/>
      <c r="K16" s="411"/>
    </row>
    <row r="17" spans="1:11" s="299" customFormat="1" ht="9.6" customHeight="1">
      <c r="A17" s="666"/>
      <c r="B17" s="533" t="s">
        <v>302</v>
      </c>
      <c r="C17" s="656">
        <v>0</v>
      </c>
      <c r="D17" s="656">
        <v>0</v>
      </c>
      <c r="E17" s="656">
        <v>0</v>
      </c>
      <c r="F17" s="782" t="str">
        <f t="shared" si="0"/>
        <v/>
      </c>
      <c r="J17" s="411"/>
      <c r="K17" s="411"/>
    </row>
    <row r="18" spans="1:11" s="299" customFormat="1" ht="9.6" customHeight="1">
      <c r="A18" s="666"/>
      <c r="B18" s="533" t="s">
        <v>303</v>
      </c>
      <c r="C18" s="656">
        <v>322.97600999999997</v>
      </c>
      <c r="D18" s="656">
        <v>0</v>
      </c>
      <c r="E18" s="656">
        <v>0</v>
      </c>
      <c r="F18" s="782" t="str">
        <f t="shared" si="0"/>
        <v/>
      </c>
      <c r="J18" s="411"/>
      <c r="K18" s="411"/>
    </row>
    <row r="19" spans="1:11" s="299" customFormat="1" ht="9.6" customHeight="1">
      <c r="A19" s="666"/>
      <c r="B19" s="533" t="s">
        <v>403</v>
      </c>
      <c r="C19" s="656">
        <v>0</v>
      </c>
      <c r="D19" s="656">
        <v>0</v>
      </c>
      <c r="E19" s="656">
        <v>0</v>
      </c>
      <c r="F19" s="782" t="str">
        <f t="shared" si="0"/>
        <v/>
      </c>
      <c r="J19" s="411"/>
      <c r="K19" s="411"/>
    </row>
    <row r="20" spans="1:11" s="299" customFormat="1" ht="9.6" customHeight="1">
      <c r="A20" s="666"/>
      <c r="B20" s="533" t="s">
        <v>617</v>
      </c>
      <c r="C20" s="656">
        <v>139.58553999999998</v>
      </c>
      <c r="D20" s="656"/>
      <c r="E20" s="656">
        <v>87.477190000000007</v>
      </c>
      <c r="F20" s="782"/>
      <c r="J20" s="411"/>
      <c r="K20" s="411"/>
    </row>
    <row r="21" spans="1:11" s="299" customFormat="1" ht="9.6" customHeight="1">
      <c r="A21" s="666"/>
      <c r="B21" s="533" t="s">
        <v>605</v>
      </c>
      <c r="C21" s="656">
        <v>17.90062</v>
      </c>
      <c r="D21" s="656"/>
      <c r="E21" s="656"/>
      <c r="F21" s="782"/>
      <c r="J21" s="411"/>
      <c r="K21" s="411"/>
    </row>
    <row r="22" spans="1:11" s="299" customFormat="1" ht="9.6" customHeight="1">
      <c r="A22" s="667" t="s">
        <v>477</v>
      </c>
      <c r="B22" s="668"/>
      <c r="C22" s="669">
        <v>1424.0338200000001</v>
      </c>
      <c r="D22" s="669">
        <v>1085.86877</v>
      </c>
      <c r="E22" s="669">
        <v>1072.4968900000001</v>
      </c>
      <c r="F22" s="783">
        <f t="shared" si="0"/>
        <v>0.31142349733476538</v>
      </c>
      <c r="J22" s="411"/>
      <c r="K22" s="411"/>
    </row>
    <row r="23" spans="1:11" s="299" customFormat="1" ht="9.6" customHeight="1">
      <c r="A23" s="666" t="s">
        <v>232</v>
      </c>
      <c r="B23" s="533" t="s">
        <v>304</v>
      </c>
      <c r="C23" s="656">
        <v>568.06960000000004</v>
      </c>
      <c r="D23" s="656">
        <v>548.15437999999995</v>
      </c>
      <c r="E23" s="656">
        <v>0</v>
      </c>
      <c r="F23" s="782"/>
      <c r="J23" s="411"/>
      <c r="K23" s="411"/>
    </row>
    <row r="24" spans="1:11" s="299" customFormat="1" ht="9.6" customHeight="1">
      <c r="A24" s="667" t="s">
        <v>478</v>
      </c>
      <c r="B24" s="668"/>
      <c r="C24" s="669">
        <v>568.06960000000004</v>
      </c>
      <c r="D24" s="669">
        <v>548.15437999999995</v>
      </c>
      <c r="E24" s="669">
        <v>0</v>
      </c>
      <c r="F24" s="783"/>
      <c r="J24" s="411"/>
      <c r="K24" s="411"/>
    </row>
    <row r="25" spans="1:11" s="299" customFormat="1" ht="9.6" customHeight="1">
      <c r="A25" s="666" t="s">
        <v>428</v>
      </c>
      <c r="B25" s="533" t="s">
        <v>432</v>
      </c>
      <c r="C25" s="656">
        <v>5.1954399999999996</v>
      </c>
      <c r="D25" s="656">
        <v>8.3769399999999994</v>
      </c>
      <c r="E25" s="656">
        <v>20.999589999999998</v>
      </c>
      <c r="F25" s="782"/>
      <c r="J25" s="411"/>
      <c r="K25" s="411"/>
    </row>
    <row r="26" spans="1:11" s="299" customFormat="1" ht="9.6" customHeight="1">
      <c r="A26" s="666"/>
      <c r="B26" s="533" t="s">
        <v>429</v>
      </c>
      <c r="C26" s="656">
        <v>2.0735100000000002</v>
      </c>
      <c r="D26" s="656">
        <v>3.4326300000000001</v>
      </c>
      <c r="E26" s="656">
        <v>8.37819</v>
      </c>
      <c r="F26" s="782">
        <f t="shared" si="0"/>
        <v>-0.39594130448082077</v>
      </c>
      <c r="J26" s="411"/>
      <c r="K26" s="411"/>
    </row>
    <row r="27" spans="1:11" s="299" customFormat="1" ht="9.6" customHeight="1">
      <c r="A27" s="667" t="s">
        <v>479</v>
      </c>
      <c r="B27" s="668"/>
      <c r="C27" s="669">
        <v>7.2689500000000002</v>
      </c>
      <c r="D27" s="669">
        <v>11.809569999999999</v>
      </c>
      <c r="E27" s="669">
        <v>29.377779999999998</v>
      </c>
      <c r="F27" s="783">
        <f t="shared" si="0"/>
        <v>-0.38448648003271912</v>
      </c>
      <c r="J27" s="411"/>
      <c r="K27" s="411"/>
    </row>
    <row r="28" spans="1:11" s="299" customFormat="1" ht="9.6" customHeight="1">
      <c r="A28" s="666" t="s">
        <v>106</v>
      </c>
      <c r="B28" s="533" t="s">
        <v>64</v>
      </c>
      <c r="C28" s="656">
        <v>4.1094600000000003</v>
      </c>
      <c r="D28" s="656">
        <v>6.7918599999999998</v>
      </c>
      <c r="E28" s="656">
        <v>6.4888200000000005</v>
      </c>
      <c r="F28" s="782">
        <f t="shared" si="0"/>
        <v>-0.39494335866758146</v>
      </c>
      <c r="J28" s="411"/>
      <c r="K28" s="411"/>
    </row>
    <row r="29" spans="1:11" s="299" customFormat="1" ht="9.6" customHeight="1">
      <c r="A29" s="666"/>
      <c r="B29" s="533" t="s">
        <v>394</v>
      </c>
      <c r="C29" s="656">
        <v>3.4997500000000001</v>
      </c>
      <c r="D29" s="656">
        <v>4.4683099999999998</v>
      </c>
      <c r="E29" s="656">
        <v>10.98638</v>
      </c>
      <c r="F29" s="782">
        <f t="shared" si="0"/>
        <v>-0.21676204202483706</v>
      </c>
      <c r="J29" s="411"/>
      <c r="K29" s="411"/>
    </row>
    <row r="30" spans="1:11" s="299" customFormat="1" ht="9.6" customHeight="1">
      <c r="A30" s="666"/>
      <c r="B30" s="533" t="s">
        <v>392</v>
      </c>
      <c r="C30" s="656">
        <v>5.2015000000000002</v>
      </c>
      <c r="D30" s="656">
        <v>5.5934200000000001</v>
      </c>
      <c r="E30" s="656">
        <v>20.388649999999998</v>
      </c>
      <c r="F30" s="782">
        <f t="shared" si="0"/>
        <v>-7.0068044237693528E-2</v>
      </c>
      <c r="J30" s="411"/>
      <c r="K30" s="411"/>
    </row>
    <row r="31" spans="1:11" s="299" customFormat="1" ht="9.6" customHeight="1">
      <c r="A31" s="666"/>
      <c r="B31" s="533" t="s">
        <v>393</v>
      </c>
      <c r="C31" s="656">
        <v>5.3463900000000004</v>
      </c>
      <c r="D31" s="656">
        <v>5.4838500000000003</v>
      </c>
      <c r="E31" s="656">
        <v>19.73573</v>
      </c>
      <c r="F31" s="782">
        <f t="shared" si="0"/>
        <v>-2.5066331135972009E-2</v>
      </c>
      <c r="J31" s="411"/>
      <c r="K31" s="411"/>
    </row>
    <row r="32" spans="1:11" s="299" customFormat="1" ht="9.6" customHeight="1">
      <c r="A32" s="667" t="s">
        <v>480</v>
      </c>
      <c r="B32" s="668"/>
      <c r="C32" s="669">
        <v>18.1571</v>
      </c>
      <c r="D32" s="669">
        <v>22.337439999999997</v>
      </c>
      <c r="E32" s="669">
        <v>57.599580000000003</v>
      </c>
      <c r="F32" s="783">
        <f t="shared" si="0"/>
        <v>-0.18714499065246504</v>
      </c>
      <c r="J32" s="411"/>
      <c r="K32" s="411"/>
    </row>
    <row r="33" spans="1:11" s="299" customFormat="1" ht="9.6" customHeight="1">
      <c r="A33" s="666" t="s">
        <v>444</v>
      </c>
      <c r="B33" s="533" t="s">
        <v>450</v>
      </c>
      <c r="C33" s="656">
        <v>3.5539200000000002</v>
      </c>
      <c r="D33" s="656">
        <v>15.51671</v>
      </c>
      <c r="E33" s="656">
        <v>8.6110000000000006E-2</v>
      </c>
      <c r="F33" s="782">
        <f t="shared" si="0"/>
        <v>-0.77096175671260214</v>
      </c>
      <c r="J33" s="411"/>
      <c r="K33" s="411"/>
    </row>
    <row r="34" spans="1:11" s="299" customFormat="1" ht="9.6" customHeight="1">
      <c r="A34" s="667" t="s">
        <v>481</v>
      </c>
      <c r="B34" s="668"/>
      <c r="C34" s="669">
        <v>3.5539200000000002</v>
      </c>
      <c r="D34" s="669">
        <v>15.51671</v>
      </c>
      <c r="E34" s="669">
        <v>8.6110000000000006E-2</v>
      </c>
      <c r="F34" s="783">
        <f t="shared" si="0"/>
        <v>-0.77096175671260214</v>
      </c>
      <c r="J34" s="411"/>
      <c r="K34" s="411"/>
    </row>
    <row r="35" spans="1:11" s="299" customFormat="1" ht="9.6" customHeight="1">
      <c r="A35" s="666" t="s">
        <v>445</v>
      </c>
      <c r="B35" s="533" t="s">
        <v>451</v>
      </c>
      <c r="C35" s="656">
        <v>6.4422199999999998</v>
      </c>
      <c r="D35" s="656">
        <v>17.630199999999999</v>
      </c>
      <c r="E35" s="656">
        <v>8.0000000000000007E-5</v>
      </c>
      <c r="F35" s="782">
        <f t="shared" si="0"/>
        <v>-0.63459178001383987</v>
      </c>
      <c r="J35" s="411"/>
      <c r="K35" s="411"/>
    </row>
    <row r="36" spans="1:11" s="299" customFormat="1" ht="9.6" customHeight="1">
      <c r="A36" s="667" t="s">
        <v>482</v>
      </c>
      <c r="B36" s="668"/>
      <c r="C36" s="669">
        <v>6.4422199999999998</v>
      </c>
      <c r="D36" s="669">
        <v>17.630199999999999</v>
      </c>
      <c r="E36" s="669">
        <v>8.0000000000000007E-5</v>
      </c>
      <c r="F36" s="783">
        <f t="shared" si="0"/>
        <v>-0.63459178001383987</v>
      </c>
      <c r="J36" s="411"/>
      <c r="K36" s="411"/>
    </row>
    <row r="37" spans="1:11" s="299" customFormat="1" ht="9.6" customHeight="1">
      <c r="A37" s="666" t="s">
        <v>112</v>
      </c>
      <c r="B37" s="533" t="s">
        <v>72</v>
      </c>
      <c r="C37" s="656">
        <v>3.6</v>
      </c>
      <c r="D37" s="656">
        <v>3.6</v>
      </c>
      <c r="E37" s="656">
        <v>3.2</v>
      </c>
      <c r="F37" s="782">
        <f t="shared" si="0"/>
        <v>0</v>
      </c>
      <c r="J37" s="411"/>
      <c r="K37" s="411"/>
    </row>
    <row r="38" spans="1:11" s="299" customFormat="1" ht="9.6" customHeight="1">
      <c r="A38" s="667" t="s">
        <v>483</v>
      </c>
      <c r="B38" s="668"/>
      <c r="C38" s="669">
        <v>3.6</v>
      </c>
      <c r="D38" s="669">
        <v>3.6</v>
      </c>
      <c r="E38" s="669">
        <v>3.2</v>
      </c>
      <c r="F38" s="783">
        <f t="shared" si="0"/>
        <v>0</v>
      </c>
      <c r="J38" s="411"/>
      <c r="K38" s="411"/>
    </row>
    <row r="39" spans="1:11" s="299" customFormat="1" ht="9.6" customHeight="1">
      <c r="A39" s="666" t="s">
        <v>101</v>
      </c>
      <c r="B39" s="533" t="s">
        <v>305</v>
      </c>
      <c r="C39" s="656">
        <v>17.93732</v>
      </c>
      <c r="D39" s="656">
        <v>17.705939999999998</v>
      </c>
      <c r="E39" s="656">
        <v>19.102539999999998</v>
      </c>
      <c r="F39" s="782">
        <f t="shared" si="0"/>
        <v>1.3067930875175326E-2</v>
      </c>
      <c r="J39" s="411"/>
      <c r="K39" s="411"/>
    </row>
    <row r="40" spans="1:11" s="299" customFormat="1" ht="9.6" customHeight="1">
      <c r="A40" s="667" t="s">
        <v>484</v>
      </c>
      <c r="B40" s="668"/>
      <c r="C40" s="669">
        <v>17.93732</v>
      </c>
      <c r="D40" s="669">
        <v>17.705939999999998</v>
      </c>
      <c r="E40" s="669">
        <v>19.102539999999998</v>
      </c>
      <c r="F40" s="783">
        <f t="shared" si="0"/>
        <v>1.3067930875175326E-2</v>
      </c>
      <c r="J40" s="411"/>
      <c r="K40" s="411"/>
    </row>
    <row r="41" spans="1:11" s="533" customFormat="1" ht="10.199999999999999" customHeight="1">
      <c r="A41" s="666" t="s">
        <v>233</v>
      </c>
      <c r="B41" s="533" t="s">
        <v>57</v>
      </c>
      <c r="C41" s="656">
        <v>13.614000000000001</v>
      </c>
      <c r="D41" s="656">
        <v>14.079000000000001</v>
      </c>
      <c r="E41" s="656">
        <v>18.567</v>
      </c>
      <c r="F41" s="782">
        <f t="shared" si="0"/>
        <v>-3.3027913914340457E-2</v>
      </c>
      <c r="J41" s="657"/>
      <c r="K41" s="657"/>
    </row>
    <row r="42" spans="1:11" s="299" customFormat="1" ht="9.6" customHeight="1">
      <c r="A42" s="667" t="s">
        <v>485</v>
      </c>
      <c r="B42" s="668"/>
      <c r="C42" s="669">
        <v>13.614000000000001</v>
      </c>
      <c r="D42" s="669">
        <v>14.079000000000001</v>
      </c>
      <c r="E42" s="669">
        <v>18.567</v>
      </c>
      <c r="F42" s="783">
        <f t="shared" si="0"/>
        <v>-3.3027913914340457E-2</v>
      </c>
      <c r="J42" s="411"/>
      <c r="K42" s="411"/>
    </row>
    <row r="43" spans="1:11" s="299" customFormat="1" ht="9.6" customHeight="1">
      <c r="A43" s="666" t="s">
        <v>405</v>
      </c>
      <c r="B43" s="533" t="s">
        <v>409</v>
      </c>
      <c r="C43" s="656">
        <v>47.954279999999997</v>
      </c>
      <c r="D43" s="656">
        <v>49.560549999999999</v>
      </c>
      <c r="E43" s="656">
        <v>90.194980000000001</v>
      </c>
      <c r="F43" s="782">
        <f t="shared" si="0"/>
        <v>-3.2410253719944659E-2</v>
      </c>
      <c r="J43" s="411"/>
      <c r="K43" s="411"/>
    </row>
    <row r="44" spans="1:11" s="299" customFormat="1" ht="9.6" customHeight="1">
      <c r="A44" s="667" t="s">
        <v>486</v>
      </c>
      <c r="B44" s="668"/>
      <c r="C44" s="669">
        <v>47.954279999999997</v>
      </c>
      <c r="D44" s="669">
        <v>49.560549999999999</v>
      </c>
      <c r="E44" s="669">
        <v>90.194980000000001</v>
      </c>
      <c r="F44" s="783">
        <f t="shared" si="0"/>
        <v>-3.2410253719944659E-2</v>
      </c>
      <c r="J44" s="411"/>
      <c r="K44" s="411"/>
    </row>
    <row r="45" spans="1:11" s="299" customFormat="1" ht="19.95" customHeight="1">
      <c r="A45" s="655" t="s">
        <v>436</v>
      </c>
      <c r="B45" s="533" t="s">
        <v>440</v>
      </c>
      <c r="C45" s="656">
        <v>5.4351399999999996</v>
      </c>
      <c r="D45" s="656">
        <v>0</v>
      </c>
      <c r="E45" s="656">
        <v>7.5326500000000003</v>
      </c>
      <c r="F45" s="782" t="str">
        <f t="shared" si="0"/>
        <v/>
      </c>
      <c r="J45" s="411"/>
      <c r="K45" s="411"/>
    </row>
    <row r="46" spans="1:11" s="299" customFormat="1" ht="11.4" customHeight="1">
      <c r="A46" s="667" t="s">
        <v>487</v>
      </c>
      <c r="B46" s="668"/>
      <c r="C46" s="669">
        <v>5.4351399999999996</v>
      </c>
      <c r="D46" s="669">
        <v>0</v>
      </c>
      <c r="E46" s="669">
        <v>7.5326500000000003</v>
      </c>
      <c r="F46" s="783" t="str">
        <f t="shared" si="0"/>
        <v/>
      </c>
      <c r="J46" s="411"/>
      <c r="K46" s="411"/>
    </row>
    <row r="47" spans="1:11" s="299" customFormat="1" ht="11.4" customHeight="1">
      <c r="A47" s="666" t="s">
        <v>114</v>
      </c>
      <c r="B47" s="533" t="s">
        <v>307</v>
      </c>
      <c r="C47" s="656">
        <v>0</v>
      </c>
      <c r="D47" s="656">
        <v>0</v>
      </c>
      <c r="E47" s="656">
        <v>0</v>
      </c>
      <c r="F47" s="782" t="str">
        <f t="shared" si="0"/>
        <v/>
      </c>
      <c r="J47" s="411"/>
      <c r="K47" s="411"/>
    </row>
    <row r="48" spans="1:11" s="299" customFormat="1" ht="11.4" customHeight="1">
      <c r="A48" s="666"/>
      <c r="B48" s="533" t="s">
        <v>308</v>
      </c>
      <c r="C48" s="656">
        <v>0</v>
      </c>
      <c r="D48" s="656">
        <v>0</v>
      </c>
      <c r="E48" s="656">
        <v>0</v>
      </c>
      <c r="F48" s="782" t="str">
        <f t="shared" si="0"/>
        <v/>
      </c>
      <c r="J48" s="411"/>
      <c r="K48" s="411"/>
    </row>
    <row r="49" spans="1:11" s="299" customFormat="1" ht="11.4" customHeight="1">
      <c r="A49" s="667" t="s">
        <v>488</v>
      </c>
      <c r="B49" s="668"/>
      <c r="C49" s="669">
        <v>0</v>
      </c>
      <c r="D49" s="669">
        <v>0</v>
      </c>
      <c r="E49" s="669">
        <v>0</v>
      </c>
      <c r="F49" s="783" t="str">
        <f t="shared" si="0"/>
        <v/>
      </c>
      <c r="J49" s="411"/>
      <c r="K49" s="411"/>
    </row>
    <row r="50" spans="1:11" s="299" customFormat="1" ht="11.4" customHeight="1">
      <c r="A50" s="666" t="s">
        <v>390</v>
      </c>
      <c r="B50" s="533" t="s">
        <v>309</v>
      </c>
      <c r="C50" s="656">
        <v>873.42956000000004</v>
      </c>
      <c r="D50" s="656">
        <v>887.80000000000007</v>
      </c>
      <c r="E50" s="656">
        <v>826.01572999999996</v>
      </c>
      <c r="F50" s="782">
        <f t="shared" si="0"/>
        <v>-1.6186573552602002E-2</v>
      </c>
      <c r="J50" s="411"/>
      <c r="K50" s="411"/>
    </row>
    <row r="51" spans="1:11" s="299" customFormat="1" ht="11.4" customHeight="1">
      <c r="A51" s="666"/>
      <c r="B51" s="533" t="s">
        <v>543</v>
      </c>
      <c r="C51" s="656">
        <v>313.88920000000002</v>
      </c>
      <c r="D51" s="656">
        <v>329.31700000000001</v>
      </c>
      <c r="E51" s="656">
        <v>301.31545999999997</v>
      </c>
      <c r="F51" s="782">
        <f t="shared" si="0"/>
        <v>-4.684786998545476E-2</v>
      </c>
      <c r="J51" s="411"/>
      <c r="K51" s="411"/>
    </row>
    <row r="52" spans="1:11" s="299" customFormat="1" ht="11.4" customHeight="1">
      <c r="A52" s="666"/>
      <c r="B52" s="533" t="s">
        <v>407</v>
      </c>
      <c r="C52" s="656">
        <v>101.71128</v>
      </c>
      <c r="D52" s="656">
        <v>430.57499999999999</v>
      </c>
      <c r="E52" s="656">
        <v>568.33227999999997</v>
      </c>
      <c r="F52" s="782">
        <f t="shared" si="0"/>
        <v>-0.76377801776693954</v>
      </c>
      <c r="J52" s="411"/>
      <c r="K52" s="411"/>
    </row>
    <row r="53" spans="1:11" s="299" customFormat="1" ht="11.4" customHeight="1">
      <c r="A53" s="666"/>
      <c r="B53" s="533" t="s">
        <v>310</v>
      </c>
      <c r="C53" s="656">
        <v>4.5768899999999997</v>
      </c>
      <c r="D53" s="656">
        <v>4.1740000000000004</v>
      </c>
      <c r="E53" s="656">
        <v>10.12599</v>
      </c>
      <c r="F53" s="782">
        <f t="shared" si="0"/>
        <v>9.6523718255869584E-2</v>
      </c>
      <c r="J53" s="411"/>
      <c r="K53" s="411"/>
    </row>
    <row r="54" spans="1:11" s="299" customFormat="1" ht="11.4" customHeight="1">
      <c r="A54" s="667" t="s">
        <v>489</v>
      </c>
      <c r="B54" s="668"/>
      <c r="C54" s="669">
        <v>1293.6069300000001</v>
      </c>
      <c r="D54" s="669">
        <v>1651.8660000000002</v>
      </c>
      <c r="E54" s="669">
        <v>1705.78946</v>
      </c>
      <c r="F54" s="783">
        <f t="shared" si="0"/>
        <v>-0.21688143590339648</v>
      </c>
      <c r="J54" s="411"/>
      <c r="K54" s="411"/>
    </row>
    <row r="55" spans="1:11" s="299" customFormat="1" ht="11.4" customHeight="1">
      <c r="A55" s="666" t="s">
        <v>452</v>
      </c>
      <c r="B55" s="533" t="s">
        <v>525</v>
      </c>
      <c r="C55" s="656">
        <v>17.006</v>
      </c>
      <c r="D55" s="656">
        <v>27.012170000000001</v>
      </c>
      <c r="E55" s="656">
        <v>59.338000000000001</v>
      </c>
      <c r="F55" s="782">
        <f t="shared" si="0"/>
        <v>-0.37043192013081516</v>
      </c>
      <c r="J55" s="411"/>
      <c r="K55" s="411"/>
    </row>
    <row r="56" spans="1:11" s="299" customFormat="1" ht="11.4" customHeight="1">
      <c r="A56" s="667" t="s">
        <v>490</v>
      </c>
      <c r="B56" s="668"/>
      <c r="C56" s="669">
        <v>17.006</v>
      </c>
      <c r="D56" s="669">
        <v>27.012170000000001</v>
      </c>
      <c r="E56" s="669">
        <v>59.338000000000001</v>
      </c>
      <c r="F56" s="783">
        <f t="shared" si="0"/>
        <v>-0.37043192013081516</v>
      </c>
      <c r="J56" s="411"/>
      <c r="K56" s="411"/>
    </row>
    <row r="57" spans="1:11" s="299" customFormat="1" ht="11.4" customHeight="1">
      <c r="A57" s="666" t="s">
        <v>113</v>
      </c>
      <c r="B57" s="533" t="s">
        <v>70</v>
      </c>
      <c r="C57" s="656">
        <v>1.619</v>
      </c>
      <c r="D57" s="656">
        <v>1.7350000000000001</v>
      </c>
      <c r="E57" s="656">
        <v>3.7949999999999999</v>
      </c>
      <c r="F57" s="782">
        <f t="shared" si="0"/>
        <v>-6.6858789625360293E-2</v>
      </c>
      <c r="J57" s="411"/>
      <c r="K57" s="411"/>
    </row>
    <row r="58" spans="1:11" s="299" customFormat="1" ht="11.4" customHeight="1">
      <c r="A58" s="667" t="s">
        <v>491</v>
      </c>
      <c r="B58" s="668"/>
      <c r="C58" s="669">
        <v>1.619</v>
      </c>
      <c r="D58" s="669">
        <v>1.7350000000000001</v>
      </c>
      <c r="E58" s="669">
        <v>3.7949999999999999</v>
      </c>
      <c r="F58" s="783">
        <f t="shared" si="0"/>
        <v>-6.6858789625360293E-2</v>
      </c>
      <c r="J58" s="411"/>
      <c r="K58" s="411"/>
    </row>
    <row r="59" spans="1:11" s="299" customFormat="1" ht="11.4" customHeight="1">
      <c r="A59" s="666" t="s">
        <v>442</v>
      </c>
      <c r="B59" s="533" t="s">
        <v>226</v>
      </c>
      <c r="C59" s="656">
        <v>0</v>
      </c>
      <c r="D59" s="656">
        <v>0</v>
      </c>
      <c r="E59" s="656">
        <v>0</v>
      </c>
      <c r="F59" s="782" t="str">
        <f t="shared" si="0"/>
        <v/>
      </c>
      <c r="J59" s="411"/>
      <c r="K59" s="411"/>
    </row>
    <row r="60" spans="1:11" s="299" customFormat="1" ht="11.4" customHeight="1">
      <c r="A60" s="667" t="s">
        <v>492</v>
      </c>
      <c r="B60" s="668"/>
      <c r="C60" s="669">
        <v>0</v>
      </c>
      <c r="D60" s="669">
        <v>0</v>
      </c>
      <c r="E60" s="669">
        <v>0</v>
      </c>
      <c r="F60" s="783" t="str">
        <f t="shared" si="0"/>
        <v/>
      </c>
      <c r="J60" s="411"/>
      <c r="K60" s="411"/>
    </row>
    <row r="61" spans="1:11" s="299" customFormat="1" ht="11.4" customHeight="1">
      <c r="A61" s="666" t="s">
        <v>108</v>
      </c>
      <c r="B61" s="533" t="s">
        <v>79</v>
      </c>
      <c r="C61" s="656">
        <v>0</v>
      </c>
      <c r="D61" s="656">
        <v>0</v>
      </c>
      <c r="E61" s="656">
        <v>0</v>
      </c>
      <c r="F61" s="782" t="str">
        <f t="shared" si="0"/>
        <v/>
      </c>
      <c r="J61" s="411"/>
      <c r="K61" s="411"/>
    </row>
    <row r="62" spans="1:11" s="299" customFormat="1" ht="11.4" customHeight="1">
      <c r="A62" s="667" t="s">
        <v>493</v>
      </c>
      <c r="B62" s="668"/>
      <c r="C62" s="669">
        <v>0</v>
      </c>
      <c r="D62" s="669">
        <v>0</v>
      </c>
      <c r="E62" s="669">
        <v>0</v>
      </c>
      <c r="F62" s="783" t="str">
        <f t="shared" si="0"/>
        <v/>
      </c>
      <c r="J62" s="411"/>
      <c r="K62" s="411"/>
    </row>
    <row r="63" spans="1:11" s="299" customFormat="1" ht="11.4" customHeight="1">
      <c r="A63" s="666" t="s">
        <v>234</v>
      </c>
      <c r="B63" s="533" t="s">
        <v>69</v>
      </c>
      <c r="C63" s="656">
        <v>0</v>
      </c>
      <c r="D63" s="656">
        <v>5.367</v>
      </c>
      <c r="E63" s="656">
        <v>0</v>
      </c>
      <c r="F63" s="782">
        <f t="shared" si="0"/>
        <v>-1</v>
      </c>
      <c r="J63" s="411"/>
      <c r="K63" s="411"/>
    </row>
    <row r="64" spans="1:11" s="299" customFormat="1" ht="11.4" customHeight="1">
      <c r="A64" s="666"/>
      <c r="B64" s="533" t="s">
        <v>311</v>
      </c>
      <c r="C64" s="656">
        <v>95.251249999999999</v>
      </c>
      <c r="D64" s="656">
        <v>82.072000000000003</v>
      </c>
      <c r="E64" s="656">
        <v>222.72689000000003</v>
      </c>
      <c r="F64" s="782">
        <f t="shared" si="0"/>
        <v>0.16058156253046096</v>
      </c>
      <c r="J64" s="411"/>
      <c r="K64" s="411"/>
    </row>
    <row r="65" spans="1:11" s="299" customFormat="1" ht="11.4" customHeight="1">
      <c r="A65" s="666"/>
      <c r="B65" s="533" t="s">
        <v>312</v>
      </c>
      <c r="C65" s="656">
        <v>29.179679999999998</v>
      </c>
      <c r="D65" s="656">
        <v>74.608000000000004</v>
      </c>
      <c r="E65" s="656">
        <v>90.030109999999993</v>
      </c>
      <c r="F65" s="782">
        <f t="shared" si="0"/>
        <v>-0.60889341625562943</v>
      </c>
      <c r="J65" s="411"/>
      <c r="K65" s="411"/>
    </row>
    <row r="66" spans="1:11" s="299" customFormat="1" ht="11.4" customHeight="1">
      <c r="A66" s="666"/>
      <c r="B66" s="533" t="s">
        <v>60</v>
      </c>
      <c r="C66" s="656">
        <v>0</v>
      </c>
      <c r="D66" s="656">
        <v>9.9489999999999998</v>
      </c>
      <c r="E66" s="656">
        <v>9.9212299999999995</v>
      </c>
      <c r="F66" s="782">
        <f t="shared" si="0"/>
        <v>-1</v>
      </c>
      <c r="J66" s="411"/>
      <c r="K66" s="411"/>
    </row>
    <row r="67" spans="1:11" s="299" customFormat="1" ht="11.4" customHeight="1">
      <c r="A67" s="667" t="s">
        <v>494</v>
      </c>
      <c r="B67" s="668"/>
      <c r="C67" s="669">
        <v>124.43092999999999</v>
      </c>
      <c r="D67" s="669">
        <v>171.99600000000004</v>
      </c>
      <c r="E67" s="669">
        <v>322.67822999999999</v>
      </c>
      <c r="F67" s="783">
        <f t="shared" si="0"/>
        <v>-0.27654753598920923</v>
      </c>
      <c r="J67" s="411"/>
      <c r="K67" s="411"/>
    </row>
    <row r="68" spans="1:11" s="299" customFormat="1" ht="11.4" customHeight="1">
      <c r="A68" s="666" t="s">
        <v>235</v>
      </c>
      <c r="B68" s="533" t="s">
        <v>76</v>
      </c>
      <c r="C68" s="656">
        <v>28.39837</v>
      </c>
      <c r="D68" s="656">
        <v>18.21801</v>
      </c>
      <c r="E68" s="656">
        <v>20.000889999999998</v>
      </c>
      <c r="F68" s="782">
        <f t="shared" si="0"/>
        <v>0.55880746579895391</v>
      </c>
      <c r="J68" s="411"/>
      <c r="K68" s="411"/>
    </row>
    <row r="69" spans="1:11" s="299" customFormat="1" ht="11.4" customHeight="1">
      <c r="A69" s="667" t="s">
        <v>495</v>
      </c>
      <c r="B69" s="668"/>
      <c r="C69" s="669">
        <v>28.39837</v>
      </c>
      <c r="D69" s="669">
        <v>18.21801</v>
      </c>
      <c r="E69" s="669">
        <v>20.000889999999998</v>
      </c>
      <c r="F69" s="783">
        <f t="shared" si="0"/>
        <v>0.55880746579895391</v>
      </c>
      <c r="J69" s="411"/>
      <c r="K69" s="411"/>
    </row>
    <row r="70" spans="1:11" s="299" customFormat="1" ht="11.4" customHeight="1">
      <c r="A70" s="666" t="s">
        <v>97</v>
      </c>
      <c r="B70" s="533" t="s">
        <v>74</v>
      </c>
      <c r="C70" s="656">
        <v>88.990700000000004</v>
      </c>
      <c r="D70" s="656">
        <v>55.854419999999998</v>
      </c>
      <c r="E70" s="656">
        <v>59.584440000000001</v>
      </c>
      <c r="F70" s="782">
        <f t="shared" si="0"/>
        <v>0.59326155387523505</v>
      </c>
      <c r="J70" s="411"/>
      <c r="K70" s="411"/>
    </row>
    <row r="71" spans="1:11" ht="11.4" customHeight="1">
      <c r="A71" s="784" t="s">
        <v>496</v>
      </c>
      <c r="B71" s="785"/>
      <c r="C71" s="786">
        <v>88.990700000000004</v>
      </c>
      <c r="D71" s="786">
        <v>55.854419999999998</v>
      </c>
      <c r="E71" s="786">
        <v>59.584440000000001</v>
      </c>
      <c r="F71" s="787">
        <f t="shared" ref="F71" si="1">+IF(D71=0,"",C71/D71-1)</f>
        <v>0.59326155387523505</v>
      </c>
    </row>
    <row r="72" spans="1:11">
      <c r="A72" s="274"/>
      <c r="B72" s="274"/>
      <c r="C72" s="274"/>
      <c r="D72" s="274"/>
      <c r="E72" s="274"/>
      <c r="F72" s="670"/>
    </row>
    <row r="73" spans="1:11">
      <c r="F73" s="621"/>
    </row>
    <row r="74" spans="1:11">
      <c r="F74" s="621"/>
    </row>
    <row r="75" spans="1:11">
      <c r="F75" s="621"/>
    </row>
    <row r="76" spans="1:11">
      <c r="F76" s="621"/>
    </row>
    <row r="77" spans="1:11">
      <c r="F77" s="621"/>
    </row>
  </sheetData>
  <mergeCells count="3">
    <mergeCell ref="A1:A4"/>
    <mergeCell ref="B1:B4"/>
    <mergeCell ref="C1:F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69"/>
  <sheetViews>
    <sheetView showGridLines="0" view="pageBreakPreview" zoomScaleNormal="100" zoomScaleSheetLayoutView="100" zoomScalePageLayoutView="115" workbookViewId="0">
      <selection activeCell="E14" sqref="E14"/>
    </sheetView>
  </sheetViews>
  <sheetFormatPr baseColWidth="10" defaultColWidth="9.28515625" defaultRowHeight="9.6"/>
  <cols>
    <col min="1" max="1" width="27" style="270" customWidth="1"/>
    <col min="2" max="2" width="22.7109375" style="270" customWidth="1"/>
    <col min="3" max="3" width="16.42578125" style="270" customWidth="1"/>
    <col min="4" max="4" width="17.7109375" style="270" customWidth="1"/>
    <col min="5" max="5" width="15.140625" style="270" customWidth="1"/>
    <col min="6" max="6" width="12.85546875" style="270" customWidth="1"/>
    <col min="7" max="16384" width="9.28515625" style="270"/>
  </cols>
  <sheetData>
    <row r="1" spans="1:6" s="299" customFormat="1" ht="11.25" customHeight="1">
      <c r="A1" s="943" t="s">
        <v>243</v>
      </c>
      <c r="B1" s="944" t="s">
        <v>52</v>
      </c>
      <c r="C1" s="944" t="s">
        <v>335</v>
      </c>
      <c r="D1" s="944"/>
      <c r="E1" s="944"/>
      <c r="F1" s="945"/>
    </row>
    <row r="2" spans="1:6" s="299" customFormat="1" ht="11.25" customHeight="1">
      <c r="A2" s="937"/>
      <c r="B2" s="940"/>
      <c r="C2" s="389" t="str">
        <f>UPPER('1. Resumen'!Q4)&amp;" "&amp;'1. Resumen'!Q5</f>
        <v>JULIO 2023</v>
      </c>
      <c r="D2" s="390" t="str">
        <f>UPPER('1. Resumen'!Q4)&amp;" "&amp;'1. Resumen'!Q5-1</f>
        <v>JULIO 2022</v>
      </c>
      <c r="E2" s="390">
        <v>2023</v>
      </c>
      <c r="F2" s="501" t="s">
        <v>544</v>
      </c>
    </row>
    <row r="3" spans="1:6" s="299" customFormat="1" ht="11.25" customHeight="1">
      <c r="A3" s="937"/>
      <c r="B3" s="940"/>
      <c r="C3" s="391">
        <f>'21. ANEXOII-1'!C4</f>
        <v>45118.84375</v>
      </c>
      <c r="D3" s="391">
        <f>'21. ANEXOII-1'!D4</f>
        <v>44761.802083333336</v>
      </c>
      <c r="E3" s="391">
        <f>'21. ANEXOII-1'!E4</f>
        <v>45027.791666666664</v>
      </c>
      <c r="F3" s="502" t="s">
        <v>332</v>
      </c>
    </row>
    <row r="4" spans="1:6" s="299" customFormat="1" ht="11.25" customHeight="1">
      <c r="A4" s="938"/>
      <c r="B4" s="941"/>
      <c r="C4" s="392">
        <f>+'8. Max Potencia'!D9</f>
        <v>45118.84375</v>
      </c>
      <c r="D4" s="392">
        <f>+'8. Max Potencia'!E9</f>
        <v>44761.802083333336</v>
      </c>
      <c r="E4" s="392">
        <f>+'22. ANEXOII-2'!E4</f>
        <v>45027.791666666664</v>
      </c>
      <c r="F4" s="503" t="s">
        <v>333</v>
      </c>
    </row>
    <row r="5" spans="1:6" s="299" customFormat="1" ht="9" customHeight="1">
      <c r="A5" s="788" t="s">
        <v>105</v>
      </c>
      <c r="B5" s="789" t="s">
        <v>225</v>
      </c>
      <c r="C5" s="790">
        <v>0</v>
      </c>
      <c r="D5" s="790">
        <v>0</v>
      </c>
      <c r="E5" s="790">
        <v>0</v>
      </c>
      <c r="F5" s="791" t="str">
        <f t="shared" ref="F5:F54" si="0">+IF(D5=0,"",C5/D5-1)</f>
        <v/>
      </c>
    </row>
    <row r="6" spans="1:6" s="299" customFormat="1" ht="9" customHeight="1">
      <c r="A6" s="521" t="s">
        <v>497</v>
      </c>
      <c r="B6" s="400"/>
      <c r="C6" s="401">
        <v>0</v>
      </c>
      <c r="D6" s="401">
        <v>0</v>
      </c>
      <c r="E6" s="401">
        <v>0</v>
      </c>
      <c r="F6" s="776" t="str">
        <f t="shared" si="0"/>
        <v/>
      </c>
    </row>
    <row r="7" spans="1:6" s="299" customFormat="1" ht="9" customHeight="1">
      <c r="A7" s="520" t="s">
        <v>391</v>
      </c>
      <c r="B7" s="299" t="s">
        <v>83</v>
      </c>
      <c r="C7" s="493">
        <v>1.1578999999999999</v>
      </c>
      <c r="D7" s="493">
        <v>2.8481000000000001</v>
      </c>
      <c r="E7" s="493">
        <v>0</v>
      </c>
      <c r="F7" s="777">
        <f t="shared" si="0"/>
        <v>-0.59344826375478399</v>
      </c>
    </row>
    <row r="8" spans="1:6" s="299" customFormat="1" ht="9" customHeight="1">
      <c r="A8" s="520"/>
      <c r="B8" s="299" t="s">
        <v>82</v>
      </c>
      <c r="C8" s="493">
        <v>2.3302</v>
      </c>
      <c r="D8" s="493">
        <v>1.5073000000000001</v>
      </c>
      <c r="E8" s="493">
        <v>0</v>
      </c>
      <c r="F8" s="777">
        <f t="shared" si="0"/>
        <v>0.54594307702514433</v>
      </c>
    </row>
    <row r="9" spans="1:6" s="299" customFormat="1" ht="9" customHeight="1">
      <c r="A9" s="520"/>
      <c r="B9" s="299" t="s">
        <v>404</v>
      </c>
      <c r="C9" s="493">
        <v>2.3496999999999999</v>
      </c>
      <c r="D9" s="493">
        <v>1.1998</v>
      </c>
      <c r="E9" s="493">
        <v>0</v>
      </c>
      <c r="F9" s="777">
        <f t="shared" si="0"/>
        <v>0.95840973495582582</v>
      </c>
    </row>
    <row r="10" spans="1:6" s="299" customFormat="1" ht="9" customHeight="1">
      <c r="A10" s="520"/>
      <c r="B10" s="299" t="s">
        <v>439</v>
      </c>
      <c r="C10" s="493">
        <v>2.1816</v>
      </c>
      <c r="D10" s="493">
        <v>2.1027</v>
      </c>
      <c r="E10" s="493">
        <v>2.1485000000000003</v>
      </c>
      <c r="F10" s="777">
        <f t="shared" si="0"/>
        <v>3.7523184477100902E-2</v>
      </c>
    </row>
    <row r="11" spans="1:6" s="299" customFormat="1" ht="9" customHeight="1">
      <c r="A11" s="521" t="s">
        <v>498</v>
      </c>
      <c r="B11" s="400"/>
      <c r="C11" s="401">
        <v>8.0193999999999992</v>
      </c>
      <c r="D11" s="401">
        <v>7.6578999999999997</v>
      </c>
      <c r="E11" s="401">
        <v>2.1485000000000003</v>
      </c>
      <c r="F11" s="776">
        <f t="shared" si="0"/>
        <v>4.7206153122918648E-2</v>
      </c>
    </row>
    <row r="12" spans="1:6" s="299" customFormat="1" ht="9" customHeight="1">
      <c r="A12" s="520" t="s">
        <v>236</v>
      </c>
      <c r="B12" s="299" t="s">
        <v>313</v>
      </c>
      <c r="C12" s="493">
        <v>0</v>
      </c>
      <c r="D12" s="493">
        <v>0</v>
      </c>
      <c r="E12" s="493">
        <v>0</v>
      </c>
      <c r="F12" s="777" t="str">
        <f t="shared" si="0"/>
        <v/>
      </c>
    </row>
    <row r="13" spans="1:6" s="299" customFormat="1" ht="9" customHeight="1">
      <c r="A13" s="521" t="s">
        <v>499</v>
      </c>
      <c r="B13" s="400"/>
      <c r="C13" s="401">
        <v>0</v>
      </c>
      <c r="D13" s="401">
        <v>0</v>
      </c>
      <c r="E13" s="401">
        <v>0</v>
      </c>
      <c r="F13" s="776" t="str">
        <f t="shared" si="0"/>
        <v/>
      </c>
    </row>
    <row r="14" spans="1:6" s="299" customFormat="1" ht="9" customHeight="1">
      <c r="A14" s="520" t="s">
        <v>443</v>
      </c>
      <c r="B14" s="299" t="s">
        <v>80</v>
      </c>
      <c r="C14" s="493">
        <v>0</v>
      </c>
      <c r="D14" s="493">
        <v>0</v>
      </c>
      <c r="E14" s="493">
        <v>0</v>
      </c>
      <c r="F14" s="777" t="str">
        <f t="shared" si="0"/>
        <v/>
      </c>
    </row>
    <row r="15" spans="1:6" s="299" customFormat="1" ht="9" customHeight="1">
      <c r="A15" s="521" t="s">
        <v>500</v>
      </c>
      <c r="B15" s="400"/>
      <c r="C15" s="401">
        <v>0</v>
      </c>
      <c r="D15" s="401">
        <v>0</v>
      </c>
      <c r="E15" s="401">
        <v>0</v>
      </c>
      <c r="F15" s="776" t="str">
        <f t="shared" si="0"/>
        <v/>
      </c>
    </row>
    <row r="16" spans="1:6" s="299" customFormat="1" ht="9" customHeight="1">
      <c r="A16" s="520" t="s">
        <v>419</v>
      </c>
      <c r="B16" s="299" t="s">
        <v>430</v>
      </c>
      <c r="C16" s="493">
        <v>8.6705299999999994</v>
      </c>
      <c r="D16" s="493">
        <v>9.9739299999999993</v>
      </c>
      <c r="E16" s="493">
        <v>19.968899999999998</v>
      </c>
      <c r="F16" s="777">
        <f t="shared" si="0"/>
        <v>-0.13068068454460779</v>
      </c>
    </row>
    <row r="17" spans="1:6" s="299" customFormat="1" ht="9" customHeight="1">
      <c r="A17" s="521" t="s">
        <v>501</v>
      </c>
      <c r="B17" s="400"/>
      <c r="C17" s="401">
        <v>8.6705299999999994</v>
      </c>
      <c r="D17" s="401">
        <v>9.9739299999999993</v>
      </c>
      <c r="E17" s="401">
        <v>19.968899999999998</v>
      </c>
      <c r="F17" s="776">
        <f t="shared" si="0"/>
        <v>-0.13068068454460779</v>
      </c>
    </row>
    <row r="18" spans="1:6" s="299" customFormat="1" ht="9" customHeight="1">
      <c r="A18" s="520" t="s">
        <v>102</v>
      </c>
      <c r="B18" s="299" t="s">
        <v>59</v>
      </c>
      <c r="C18" s="493">
        <v>5.9790400000000004</v>
      </c>
      <c r="D18" s="493">
        <v>8.0266199999999994</v>
      </c>
      <c r="E18" s="493">
        <v>18.776319999999998</v>
      </c>
      <c r="F18" s="777">
        <f t="shared" si="0"/>
        <v>-0.25509865921147368</v>
      </c>
    </row>
    <row r="19" spans="1:6" s="299" customFormat="1" ht="9" customHeight="1">
      <c r="A19" s="521" t="s">
        <v>502</v>
      </c>
      <c r="B19" s="400"/>
      <c r="C19" s="401">
        <v>5.9790400000000004</v>
      </c>
      <c r="D19" s="401">
        <v>8.0266199999999994</v>
      </c>
      <c r="E19" s="401">
        <v>18.776319999999998</v>
      </c>
      <c r="F19" s="776">
        <f t="shared" si="0"/>
        <v>-0.25509865921147368</v>
      </c>
    </row>
    <row r="20" spans="1:6" s="299" customFormat="1" ht="9" customHeight="1">
      <c r="A20" s="520" t="s">
        <v>237</v>
      </c>
      <c r="B20" s="299" t="s">
        <v>314</v>
      </c>
      <c r="C20" s="493">
        <v>353.98025000000001</v>
      </c>
      <c r="D20" s="493">
        <v>0</v>
      </c>
      <c r="E20" s="493">
        <v>0</v>
      </c>
      <c r="F20" s="777" t="str">
        <f t="shared" si="0"/>
        <v/>
      </c>
    </row>
    <row r="21" spans="1:6" s="299" customFormat="1" ht="9" customHeight="1">
      <c r="A21" s="521" t="s">
        <v>503</v>
      </c>
      <c r="B21" s="400"/>
      <c r="C21" s="401">
        <v>353.98025000000001</v>
      </c>
      <c r="D21" s="401">
        <v>0</v>
      </c>
      <c r="E21" s="401">
        <v>0</v>
      </c>
      <c r="F21" s="776" t="str">
        <f t="shared" si="0"/>
        <v/>
      </c>
    </row>
    <row r="22" spans="1:6" s="299" customFormat="1" ht="9" customHeight="1">
      <c r="A22" s="520" t="s">
        <v>93</v>
      </c>
      <c r="B22" s="299" t="s">
        <v>315</v>
      </c>
      <c r="C22" s="493">
        <v>55.273090000000003</v>
      </c>
      <c r="D22" s="493">
        <v>102.28372999999999</v>
      </c>
      <c r="E22" s="493">
        <v>113.32571999999999</v>
      </c>
      <c r="F22" s="777">
        <f t="shared" si="0"/>
        <v>-0.45961014523033128</v>
      </c>
    </row>
    <row r="23" spans="1:6" s="299" customFormat="1" ht="9" customHeight="1">
      <c r="A23" s="520"/>
      <c r="B23" s="299" t="s">
        <v>541</v>
      </c>
      <c r="C23" s="493">
        <v>0</v>
      </c>
      <c r="D23" s="493">
        <v>0</v>
      </c>
      <c r="E23" s="493">
        <v>0</v>
      </c>
      <c r="F23" s="777"/>
    </row>
    <row r="24" spans="1:6" s="299" customFormat="1" ht="9" customHeight="1">
      <c r="A24" s="521" t="s">
        <v>504</v>
      </c>
      <c r="B24" s="400"/>
      <c r="C24" s="401">
        <v>55.273090000000003</v>
      </c>
      <c r="D24" s="401">
        <v>102.28372999999999</v>
      </c>
      <c r="E24" s="401">
        <v>113.32571999999999</v>
      </c>
      <c r="F24" s="776">
        <f t="shared" si="0"/>
        <v>-0.45961014523033128</v>
      </c>
    </row>
    <row r="25" spans="1:6" s="299" customFormat="1" ht="9" customHeight="1">
      <c r="A25" s="520" t="s">
        <v>406</v>
      </c>
      <c r="B25" s="299" t="s">
        <v>435</v>
      </c>
      <c r="C25" s="493">
        <v>0</v>
      </c>
      <c r="D25" s="493">
        <v>7.4503399999999997</v>
      </c>
      <c r="E25" s="493">
        <v>7.5971299999999999</v>
      </c>
      <c r="F25" s="777">
        <f t="shared" si="0"/>
        <v>-1</v>
      </c>
    </row>
    <row r="26" spans="1:6" s="299" customFormat="1" ht="9" customHeight="1">
      <c r="A26" s="521" t="s">
        <v>505</v>
      </c>
      <c r="B26" s="400"/>
      <c r="C26" s="401">
        <v>0</v>
      </c>
      <c r="D26" s="401">
        <v>7.4503399999999997</v>
      </c>
      <c r="E26" s="401">
        <v>7.5971299999999999</v>
      </c>
      <c r="F26" s="776">
        <f t="shared" si="0"/>
        <v>-1</v>
      </c>
    </row>
    <row r="27" spans="1:6" s="299" customFormat="1" ht="9" customHeight="1">
      <c r="A27" s="520" t="s">
        <v>382</v>
      </c>
      <c r="B27" s="299" t="s">
        <v>386</v>
      </c>
      <c r="C27" s="493">
        <v>20.158660000000001</v>
      </c>
      <c r="D27" s="493">
        <v>20.127410000000001</v>
      </c>
      <c r="E27" s="493">
        <v>20.632300000000001</v>
      </c>
      <c r="F27" s="777">
        <f t="shared" si="0"/>
        <v>1.5526091037048051E-3</v>
      </c>
    </row>
    <row r="28" spans="1:6" s="299" customFormat="1" ht="9" customHeight="1">
      <c r="A28" s="521" t="s">
        <v>506</v>
      </c>
      <c r="B28" s="400"/>
      <c r="C28" s="401">
        <v>20.158660000000001</v>
      </c>
      <c r="D28" s="401">
        <v>20.127410000000001</v>
      </c>
      <c r="E28" s="401">
        <v>20.632300000000001</v>
      </c>
      <c r="F28" s="776">
        <f t="shared" si="0"/>
        <v>1.5526091037048051E-3</v>
      </c>
    </row>
    <row r="29" spans="1:6" s="299" customFormat="1" ht="9" customHeight="1">
      <c r="A29" s="520" t="s">
        <v>100</v>
      </c>
      <c r="B29" s="299" t="s">
        <v>611</v>
      </c>
      <c r="C29" s="493">
        <v>32.21658</v>
      </c>
      <c r="D29" s="493">
        <v>29.557569999999998</v>
      </c>
      <c r="E29" s="493">
        <v>2.6991200000000002</v>
      </c>
      <c r="F29" s="777">
        <f t="shared" si="0"/>
        <v>8.9960372249816345E-2</v>
      </c>
    </row>
    <row r="30" spans="1:6" s="299" customFormat="1" ht="9" customHeight="1">
      <c r="A30" s="521" t="s">
        <v>507</v>
      </c>
      <c r="B30" s="400"/>
      <c r="C30" s="401">
        <v>32.21658</v>
      </c>
      <c r="D30" s="401">
        <v>29.557569999999998</v>
      </c>
      <c r="E30" s="401">
        <v>2.6991200000000002</v>
      </c>
      <c r="F30" s="776">
        <f t="shared" si="0"/>
        <v>8.9960372249816345E-2</v>
      </c>
    </row>
    <row r="31" spans="1:6" s="299" customFormat="1" ht="9" customHeight="1">
      <c r="A31" s="520" t="s">
        <v>115</v>
      </c>
      <c r="B31" s="299" t="s">
        <v>316</v>
      </c>
      <c r="C31" s="493">
        <v>0</v>
      </c>
      <c r="D31" s="493">
        <v>0</v>
      </c>
      <c r="E31" s="493">
        <v>0</v>
      </c>
      <c r="F31" s="777" t="str">
        <f t="shared" si="0"/>
        <v/>
      </c>
    </row>
    <row r="32" spans="1:6" s="299" customFormat="1" ht="9" customHeight="1">
      <c r="A32" s="521" t="s">
        <v>508</v>
      </c>
      <c r="B32" s="400"/>
      <c r="C32" s="401">
        <v>0</v>
      </c>
      <c r="D32" s="401">
        <v>0</v>
      </c>
      <c r="E32" s="401">
        <v>0</v>
      </c>
      <c r="F32" s="776" t="str">
        <f t="shared" si="0"/>
        <v/>
      </c>
    </row>
    <row r="33" spans="1:6" s="299" customFormat="1" ht="9" customHeight="1">
      <c r="A33" s="520" t="s">
        <v>109</v>
      </c>
      <c r="B33" s="299" t="s">
        <v>431</v>
      </c>
      <c r="C33" s="493">
        <v>8.7771100000000004</v>
      </c>
      <c r="D33" s="493">
        <v>14.07869</v>
      </c>
      <c r="E33" s="493">
        <v>19.995460000000001</v>
      </c>
      <c r="F33" s="777">
        <f t="shared" si="0"/>
        <v>-0.37656770622834934</v>
      </c>
    </row>
    <row r="34" spans="1:6" s="299" customFormat="1" ht="9" customHeight="1">
      <c r="A34" s="520"/>
      <c r="B34" s="299" t="s">
        <v>67</v>
      </c>
      <c r="C34" s="493">
        <v>8.2738700000000005</v>
      </c>
      <c r="D34" s="493">
        <v>0</v>
      </c>
      <c r="E34" s="493">
        <v>6.7435400000000003</v>
      </c>
      <c r="F34" s="777" t="str">
        <f t="shared" si="0"/>
        <v/>
      </c>
    </row>
    <row r="35" spans="1:6" s="299" customFormat="1" ht="9" customHeight="1">
      <c r="A35" s="521" t="s">
        <v>509</v>
      </c>
      <c r="B35" s="400"/>
      <c r="C35" s="401">
        <v>17.050980000000003</v>
      </c>
      <c r="D35" s="401">
        <v>14.07869</v>
      </c>
      <c r="E35" s="401">
        <v>26.739000000000001</v>
      </c>
      <c r="F35" s="776">
        <f t="shared" si="0"/>
        <v>0.21111978458223057</v>
      </c>
    </row>
    <row r="36" spans="1:6" s="299" customFormat="1" ht="9" customHeight="1">
      <c r="A36" s="520" t="s">
        <v>88</v>
      </c>
      <c r="B36" s="299" t="s">
        <v>317</v>
      </c>
      <c r="C36" s="493">
        <v>21.890859999999996</v>
      </c>
      <c r="D36" s="493">
        <v>21.62725</v>
      </c>
      <c r="E36" s="493">
        <v>45.707560000000001</v>
      </c>
      <c r="F36" s="777">
        <f t="shared" si="0"/>
        <v>1.2188789605705574E-2</v>
      </c>
    </row>
    <row r="37" spans="1:6" s="299" customFormat="1" ht="9" customHeight="1">
      <c r="A37" s="520"/>
      <c r="B37" s="299" t="s">
        <v>318</v>
      </c>
      <c r="C37" s="493">
        <v>29.318480000000001</v>
      </c>
      <c r="D37" s="493">
        <v>91.522970000000001</v>
      </c>
      <c r="E37" s="493">
        <v>169.29408000000001</v>
      </c>
      <c r="F37" s="777">
        <f t="shared" si="0"/>
        <v>-0.67965987117769444</v>
      </c>
    </row>
    <row r="38" spans="1:6" s="299" customFormat="1" ht="9" customHeight="1">
      <c r="A38" s="520"/>
      <c r="B38" s="299" t="s">
        <v>319</v>
      </c>
      <c r="C38" s="493">
        <v>12.9938</v>
      </c>
      <c r="D38" s="493">
        <v>17.40626</v>
      </c>
      <c r="E38" s="493">
        <v>37.840170000000001</v>
      </c>
      <c r="F38" s="777">
        <f t="shared" si="0"/>
        <v>-0.25349845400447879</v>
      </c>
    </row>
    <row r="39" spans="1:6" s="299" customFormat="1" ht="9" customHeight="1">
      <c r="A39" s="520"/>
      <c r="B39" s="299" t="s">
        <v>320</v>
      </c>
      <c r="C39" s="493">
        <v>0</v>
      </c>
      <c r="D39" s="493">
        <v>0.21525</v>
      </c>
      <c r="E39" s="493">
        <v>0</v>
      </c>
      <c r="F39" s="777">
        <f t="shared" si="0"/>
        <v>-1</v>
      </c>
    </row>
    <row r="40" spans="1:6" s="299" customFormat="1" ht="9" customHeight="1">
      <c r="A40" s="520"/>
      <c r="B40" s="299" t="s">
        <v>321</v>
      </c>
      <c r="C40" s="493">
        <v>0</v>
      </c>
      <c r="D40" s="493">
        <v>25.492609999999999</v>
      </c>
      <c r="E40" s="493">
        <v>17.480400000000003</v>
      </c>
      <c r="F40" s="777">
        <f t="shared" si="0"/>
        <v>-1</v>
      </c>
    </row>
    <row r="41" spans="1:6" s="299" customFormat="1" ht="9" customHeight="1">
      <c r="A41" s="520"/>
      <c r="B41" s="299" t="s">
        <v>322</v>
      </c>
      <c r="C41" s="493">
        <v>1.79756</v>
      </c>
      <c r="D41" s="493">
        <v>3.1153599999999999</v>
      </c>
      <c r="E41" s="493">
        <v>1.9678100000000001</v>
      </c>
      <c r="F41" s="777">
        <f t="shared" si="0"/>
        <v>-0.42300087309331824</v>
      </c>
    </row>
    <row r="42" spans="1:6" s="299" customFormat="1" ht="9" customHeight="1">
      <c r="A42" s="520"/>
      <c r="B42" s="299" t="s">
        <v>323</v>
      </c>
      <c r="C42" s="493">
        <v>7.4592299999999998</v>
      </c>
      <c r="D42" s="493">
        <v>7.551359999999999</v>
      </c>
      <c r="E42" s="493">
        <v>8.1571999999999996</v>
      </c>
      <c r="F42" s="777">
        <f t="shared" si="0"/>
        <v>-1.2200451309432925E-2</v>
      </c>
    </row>
    <row r="43" spans="1:6" s="299" customFormat="1" ht="9" customHeight="1">
      <c r="A43" s="520"/>
      <c r="B43" s="299" t="s">
        <v>324</v>
      </c>
      <c r="C43" s="493">
        <v>5.4253999999999998</v>
      </c>
      <c r="D43" s="493">
        <v>5.91805</v>
      </c>
      <c r="E43" s="493">
        <v>5.0612300000000001</v>
      </c>
      <c r="F43" s="777">
        <f t="shared" si="0"/>
        <v>-8.3245325740742393E-2</v>
      </c>
    </row>
    <row r="44" spans="1:6" s="299" customFormat="1" ht="9" customHeight="1">
      <c r="A44" s="520"/>
      <c r="B44" s="299" t="s">
        <v>325</v>
      </c>
      <c r="C44" s="493">
        <v>0.8883700000000001</v>
      </c>
      <c r="D44" s="493">
        <v>1.04389</v>
      </c>
      <c r="E44" s="493">
        <v>3.4939400000000003</v>
      </c>
      <c r="F44" s="777">
        <f t="shared" si="0"/>
        <v>-0.14898121449578006</v>
      </c>
    </row>
    <row r="45" spans="1:6" s="299" customFormat="1" ht="9" customHeight="1">
      <c r="A45" s="520"/>
      <c r="B45" s="299" t="s">
        <v>326</v>
      </c>
      <c r="C45" s="493">
        <v>0.38588</v>
      </c>
      <c r="D45" s="493">
        <v>0.41125</v>
      </c>
      <c r="E45" s="493">
        <v>0</v>
      </c>
      <c r="F45" s="777">
        <f t="shared" si="0"/>
        <v>-6.1689969604863282E-2</v>
      </c>
    </row>
    <row r="46" spans="1:6" s="299" customFormat="1" ht="9" customHeight="1">
      <c r="A46" s="520"/>
      <c r="B46" s="299" t="s">
        <v>327</v>
      </c>
      <c r="C46" s="493">
        <v>0.28521000000000002</v>
      </c>
      <c r="D46" s="493">
        <v>0.31426999999999999</v>
      </c>
      <c r="E46" s="493">
        <v>0</v>
      </c>
      <c r="F46" s="777">
        <f t="shared" si="0"/>
        <v>-9.2468259776625095E-2</v>
      </c>
    </row>
    <row r="47" spans="1:6" s="299" customFormat="1" ht="9" customHeight="1">
      <c r="A47" s="520"/>
      <c r="B47" s="299" t="s">
        <v>328</v>
      </c>
      <c r="C47" s="493">
        <v>75.509839999999997</v>
      </c>
      <c r="D47" s="493">
        <v>83.106539999999995</v>
      </c>
      <c r="E47" s="493">
        <v>65.310100000000006</v>
      </c>
      <c r="F47" s="777">
        <f t="shared" si="0"/>
        <v>-9.1409171889480612E-2</v>
      </c>
    </row>
    <row r="48" spans="1:6" s="299" customFormat="1" ht="9" customHeight="1">
      <c r="A48" s="521" t="s">
        <v>510</v>
      </c>
      <c r="B48" s="400"/>
      <c r="C48" s="401">
        <v>155.95463000000001</v>
      </c>
      <c r="D48" s="401">
        <v>257.72505999999998</v>
      </c>
      <c r="E48" s="401">
        <v>354.31249000000003</v>
      </c>
      <c r="F48" s="776">
        <f t="shared" si="0"/>
        <v>-0.39487983822760575</v>
      </c>
    </row>
    <row r="49" spans="1:22" s="299" customFormat="1" ht="9" customHeight="1">
      <c r="A49" s="520" t="s">
        <v>107</v>
      </c>
      <c r="B49" s="299" t="s">
        <v>224</v>
      </c>
      <c r="C49" s="493">
        <v>0</v>
      </c>
      <c r="D49" s="493">
        <v>0</v>
      </c>
      <c r="E49" s="493">
        <v>0</v>
      </c>
      <c r="F49" s="777" t="str">
        <f t="shared" si="0"/>
        <v/>
      </c>
    </row>
    <row r="50" spans="1:22" s="299" customFormat="1" ht="9" customHeight="1">
      <c r="A50" s="521" t="s">
        <v>511</v>
      </c>
      <c r="B50" s="400"/>
      <c r="C50" s="401">
        <v>0</v>
      </c>
      <c r="D50" s="401">
        <v>0</v>
      </c>
      <c r="E50" s="401">
        <v>0</v>
      </c>
      <c r="F50" s="776" t="str">
        <f t="shared" si="0"/>
        <v/>
      </c>
    </row>
    <row r="51" spans="1:22" s="299" customFormat="1" ht="9" customHeight="1">
      <c r="A51" s="520" t="s">
        <v>98</v>
      </c>
      <c r="B51" s="299" t="s">
        <v>408</v>
      </c>
      <c r="C51" s="493">
        <v>291.74199999999996</v>
      </c>
      <c r="D51" s="493">
        <v>289.13090999999997</v>
      </c>
      <c r="E51" s="493">
        <v>282.87038000000001</v>
      </c>
      <c r="F51" s="777">
        <f t="shared" si="0"/>
        <v>9.0308227508431038E-3</v>
      </c>
    </row>
    <row r="52" spans="1:22" s="299" customFormat="1" ht="9" customHeight="1">
      <c r="A52" s="521" t="s">
        <v>512</v>
      </c>
      <c r="B52" s="400"/>
      <c r="C52" s="401">
        <v>291.74199999999996</v>
      </c>
      <c r="D52" s="401">
        <v>289.13090999999997</v>
      </c>
      <c r="E52" s="401">
        <v>282.87038000000001</v>
      </c>
      <c r="F52" s="776">
        <f t="shared" si="0"/>
        <v>9.0308227508431038E-3</v>
      </c>
    </row>
    <row r="53" spans="1:22" s="299" customFormat="1" ht="9" customHeight="1">
      <c r="A53" s="520" t="s">
        <v>103</v>
      </c>
      <c r="B53" s="299" t="s">
        <v>329</v>
      </c>
      <c r="C53" s="493">
        <v>0</v>
      </c>
      <c r="D53" s="493">
        <v>86.482849999999999</v>
      </c>
      <c r="E53" s="493">
        <v>63.399000000000001</v>
      </c>
      <c r="F53" s="777">
        <f t="shared" si="0"/>
        <v>-1</v>
      </c>
    </row>
    <row r="54" spans="1:22" s="299" customFormat="1" ht="9" customHeight="1">
      <c r="A54" s="792" t="s">
        <v>513</v>
      </c>
      <c r="B54" s="793"/>
      <c r="C54" s="794">
        <v>0</v>
      </c>
      <c r="D54" s="794">
        <v>86.482849999999999</v>
      </c>
      <c r="E54" s="794">
        <v>63.399000000000001</v>
      </c>
      <c r="F54" s="795">
        <f t="shared" si="0"/>
        <v>-1</v>
      </c>
    </row>
    <row r="55" spans="1:22" s="326" customFormat="1" ht="12" customHeight="1">
      <c r="A55" s="499" t="s">
        <v>384</v>
      </c>
      <c r="B55" s="506"/>
      <c r="C55" s="796">
        <v>7280.2119200000006</v>
      </c>
      <c r="D55" s="796">
        <v>7067.6379900000011</v>
      </c>
      <c r="E55" s="796">
        <v>7605.50612</v>
      </c>
      <c r="F55" s="797">
        <f>+IF(D55=0,"",C55/D55-1)</f>
        <v>3.0077082371899877E-2</v>
      </c>
      <c r="G55" s="270"/>
      <c r="H55" s="270"/>
      <c r="I55" s="270"/>
      <c r="J55" s="270"/>
      <c r="K55" s="270"/>
      <c r="L55" s="270"/>
      <c r="M55" s="270"/>
      <c r="N55" s="270"/>
      <c r="O55" s="270"/>
      <c r="P55" s="270"/>
      <c r="Q55" s="270"/>
      <c r="R55" s="270"/>
      <c r="S55" s="270"/>
      <c r="T55" s="270"/>
      <c r="U55" s="270"/>
      <c r="V55" s="270"/>
    </row>
    <row r="56" spans="1:22" s="326" customFormat="1" ht="12" customHeight="1">
      <c r="A56" s="395" t="s">
        <v>330</v>
      </c>
      <c r="B56" s="386"/>
      <c r="C56" s="385">
        <f>+'8. Max Potencia'!D16</f>
        <v>0</v>
      </c>
      <c r="D56" s="385">
        <f>+'8. Max Potencia'!E16</f>
        <v>46.12</v>
      </c>
      <c r="E56" s="388">
        <v>0</v>
      </c>
      <c r="F56" s="505">
        <v>0</v>
      </c>
      <c r="G56" s="270"/>
      <c r="H56" s="270"/>
      <c r="I56" s="270"/>
      <c r="J56" s="270"/>
      <c r="K56" s="270"/>
      <c r="L56" s="270"/>
      <c r="M56" s="270"/>
      <c r="N56" s="270"/>
      <c r="O56" s="270"/>
      <c r="P56" s="270"/>
      <c r="Q56" s="270"/>
      <c r="R56" s="270"/>
      <c r="S56" s="270"/>
      <c r="T56" s="270"/>
      <c r="U56" s="270"/>
      <c r="V56" s="270"/>
    </row>
    <row r="57" spans="1:22" s="326" customFormat="1" ht="12" customHeight="1">
      <c r="A57" s="506" t="s">
        <v>331</v>
      </c>
      <c r="B57" s="506"/>
      <c r="C57" s="385">
        <v>0</v>
      </c>
      <c r="D57" s="385">
        <v>0</v>
      </c>
      <c r="E57" s="388">
        <v>0</v>
      </c>
      <c r="F57" s="505">
        <v>0</v>
      </c>
      <c r="G57" s="270"/>
      <c r="H57" s="270"/>
      <c r="I57" s="270"/>
      <c r="J57" s="270"/>
      <c r="K57" s="270"/>
      <c r="L57" s="270"/>
      <c r="M57" s="270"/>
      <c r="N57" s="270"/>
      <c r="O57" s="270"/>
      <c r="P57" s="270"/>
      <c r="Q57" s="270"/>
      <c r="R57" s="270"/>
      <c r="S57" s="270"/>
      <c r="T57" s="270"/>
      <c r="U57" s="270"/>
      <c r="V57" s="270"/>
    </row>
    <row r="58" spans="1:22" ht="12" customHeight="1">
      <c r="A58" s="543" t="s">
        <v>425</v>
      </c>
      <c r="B58" s="506"/>
      <c r="C58" s="385">
        <f>+C55+C56-C57</f>
        <v>7280.2119200000006</v>
      </c>
      <c r="D58" s="385">
        <f>+D55+D56-D57</f>
        <v>7113.757990000001</v>
      </c>
      <c r="E58" s="385">
        <f>+E55+E56-E57</f>
        <v>7605.50612</v>
      </c>
      <c r="F58" s="504">
        <f>+IF(D58=0,"",C58/D58-1)</f>
        <v>2.3398874439359396E-2</v>
      </c>
    </row>
    <row r="59" spans="1:22" ht="7.2" customHeight="1">
      <c r="A59" s="299"/>
    </row>
    <row r="60" spans="1:22" ht="27.75" customHeight="1">
      <c r="A60" s="935" t="s">
        <v>607</v>
      </c>
      <c r="B60" s="935"/>
      <c r="C60" s="935"/>
      <c r="D60" s="935"/>
      <c r="E60" s="935"/>
      <c r="F60" s="935"/>
    </row>
    <row r="61" spans="1:22" ht="7.95" customHeight="1">
      <c r="A61" s="946"/>
      <c r="B61" s="946"/>
      <c r="C61" s="946"/>
      <c r="D61" s="946"/>
      <c r="E61" s="946"/>
      <c r="F61" s="946"/>
      <c r="G61" s="533"/>
    </row>
    <row r="62" spans="1:22" ht="18" customHeight="1">
      <c r="A62" s="648" t="s">
        <v>600</v>
      </c>
      <c r="B62" s="706"/>
      <c r="C62" s="706"/>
      <c r="D62" s="706"/>
      <c r="E62" s="706"/>
      <c r="F62" s="706"/>
      <c r="G62" s="533"/>
    </row>
    <row r="63" spans="1:22" ht="18" customHeight="1">
      <c r="A63" s="533" t="s">
        <v>601</v>
      </c>
      <c r="B63" s="706"/>
      <c r="C63" s="706"/>
      <c r="D63" s="706"/>
      <c r="E63" s="706"/>
      <c r="F63" s="706"/>
      <c r="G63" s="533"/>
    </row>
    <row r="64" spans="1:22" ht="18" customHeight="1">
      <c r="A64" s="533" t="s">
        <v>602</v>
      </c>
      <c r="B64" s="706"/>
      <c r="C64" s="706"/>
      <c r="D64" s="706"/>
      <c r="E64" s="706"/>
      <c r="F64" s="706"/>
      <c r="G64" s="533"/>
    </row>
    <row r="65" spans="1:7" ht="18" customHeight="1">
      <c r="A65" s="533" t="s">
        <v>612</v>
      </c>
      <c r="B65" s="706"/>
      <c r="C65" s="706"/>
      <c r="D65" s="706"/>
      <c r="E65" s="706"/>
      <c r="F65" s="706"/>
      <c r="G65" s="533"/>
    </row>
    <row r="66" spans="1:7" ht="18" customHeight="1">
      <c r="A66" s="533" t="s">
        <v>613</v>
      </c>
      <c r="B66" s="706"/>
      <c r="C66" s="706"/>
      <c r="D66" s="706"/>
      <c r="E66" s="706"/>
      <c r="F66" s="706"/>
      <c r="G66" s="533"/>
    </row>
    <row r="67" spans="1:7" ht="18" customHeight="1">
      <c r="A67" s="533" t="s">
        <v>614</v>
      </c>
      <c r="B67" s="706"/>
      <c r="C67" s="706"/>
      <c r="D67" s="706"/>
      <c r="E67" s="706"/>
      <c r="F67" s="706"/>
      <c r="G67" s="533"/>
    </row>
    <row r="68" spans="1:7" ht="18" customHeight="1">
      <c r="A68" s="533" t="s">
        <v>609</v>
      </c>
      <c r="B68" s="706"/>
      <c r="C68" s="706"/>
      <c r="D68" s="706"/>
      <c r="E68" s="706"/>
      <c r="F68" s="706"/>
      <c r="G68" s="533"/>
    </row>
    <row r="69" spans="1:7" ht="18" customHeight="1">
      <c r="A69" s="533" t="s">
        <v>610</v>
      </c>
    </row>
  </sheetData>
  <mergeCells count="5">
    <mergeCell ref="A1:A4"/>
    <mergeCell ref="B1:B4"/>
    <mergeCell ref="C1:F1"/>
    <mergeCell ref="A60:F60"/>
    <mergeCell ref="A61:F6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48"/>
  <sheetViews>
    <sheetView showGridLines="0" view="pageBreakPreview" topLeftCell="A9" zoomScaleNormal="100" zoomScaleSheetLayoutView="100" zoomScalePageLayoutView="90" workbookViewId="0">
      <selection activeCell="D34" sqref="D34"/>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3" t="s">
        <v>343</v>
      </c>
      <c r="B3" s="271"/>
    </row>
    <row r="4" spans="1:13" ht="11.25" customHeight="1">
      <c r="B4" s="271"/>
    </row>
    <row r="5" spans="1:13" ht="11.25" customHeight="1">
      <c r="A5" s="272" t="s">
        <v>389</v>
      </c>
      <c r="C5" s="271">
        <v>7280.2119199999997</v>
      </c>
    </row>
    <row r="6" spans="1:13" ht="11.25" customHeight="1">
      <c r="A6" s="272" t="s">
        <v>344</v>
      </c>
      <c r="C6" s="271" t="s">
        <v>624</v>
      </c>
    </row>
    <row r="7" spans="1:13" ht="11.25" customHeight="1">
      <c r="A7" s="272" t="s">
        <v>345</v>
      </c>
      <c r="C7" s="271" t="s">
        <v>582</v>
      </c>
    </row>
    <row r="8" spans="1:13" ht="11.25" customHeight="1"/>
    <row r="9" spans="1:13" ht="14.25" customHeight="1">
      <c r="A9" s="947" t="s">
        <v>336</v>
      </c>
      <c r="B9" s="950" t="s">
        <v>337</v>
      </c>
      <c r="C9" s="951"/>
      <c r="D9" s="951"/>
      <c r="E9" s="951"/>
      <c r="F9" s="952"/>
      <c r="G9" s="950" t="s">
        <v>338</v>
      </c>
      <c r="H9" s="951"/>
      <c r="I9" s="951"/>
      <c r="J9" s="951"/>
      <c r="K9" s="952"/>
    </row>
    <row r="10" spans="1:13" ht="26.25" customHeight="1">
      <c r="A10" s="948"/>
      <c r="B10" s="393" t="s">
        <v>339</v>
      </c>
      <c r="C10" s="393" t="s">
        <v>192</v>
      </c>
      <c r="D10" s="393" t="s">
        <v>330</v>
      </c>
      <c r="E10" s="393" t="s">
        <v>331</v>
      </c>
      <c r="F10" s="394" t="s">
        <v>342</v>
      </c>
      <c r="G10" s="393" t="s">
        <v>339</v>
      </c>
      <c r="H10" s="393" t="s">
        <v>192</v>
      </c>
      <c r="I10" s="393" t="s">
        <v>330</v>
      </c>
      <c r="J10" s="393" t="s">
        <v>331</v>
      </c>
      <c r="K10" s="394" t="s">
        <v>342</v>
      </c>
      <c r="L10" s="36"/>
      <c r="M10" s="46"/>
    </row>
    <row r="11" spans="1:13" ht="11.25" customHeight="1">
      <c r="A11" s="949"/>
      <c r="B11" s="393" t="s">
        <v>340</v>
      </c>
      <c r="C11" s="393" t="s">
        <v>341</v>
      </c>
      <c r="D11" s="393" t="s">
        <v>341</v>
      </c>
      <c r="E11" s="393" t="s">
        <v>341</v>
      </c>
      <c r="F11" s="393" t="s">
        <v>341</v>
      </c>
      <c r="G11" s="393" t="s">
        <v>340</v>
      </c>
      <c r="H11" s="393" t="s">
        <v>341</v>
      </c>
      <c r="I11" s="393" t="s">
        <v>341</v>
      </c>
      <c r="J11" s="393" t="s">
        <v>341</v>
      </c>
      <c r="K11" s="393" t="s">
        <v>341</v>
      </c>
      <c r="L11" s="36"/>
      <c r="M11" s="46"/>
    </row>
    <row r="12" spans="1:13" ht="15" customHeight="1">
      <c r="A12" s="824" t="s">
        <v>625</v>
      </c>
      <c r="B12" s="825" t="s">
        <v>580</v>
      </c>
      <c r="C12" s="825">
        <v>6989.7788700000001</v>
      </c>
      <c r="D12" s="825">
        <v>0</v>
      </c>
      <c r="E12" s="825">
        <v>0</v>
      </c>
      <c r="F12" s="825">
        <v>6989.7788700000001</v>
      </c>
      <c r="G12" s="825" t="s">
        <v>626</v>
      </c>
      <c r="H12" s="825">
        <v>6943.8505800000003</v>
      </c>
      <c r="I12" s="825">
        <v>0</v>
      </c>
      <c r="J12" s="825">
        <v>0</v>
      </c>
      <c r="K12" s="825">
        <v>6943.8505800000003</v>
      </c>
      <c r="L12" s="205"/>
      <c r="M12" s="46"/>
    </row>
    <row r="13" spans="1:13" ht="15" customHeight="1">
      <c r="A13" s="824" t="s">
        <v>627</v>
      </c>
      <c r="B13" s="825" t="s">
        <v>628</v>
      </c>
      <c r="C13" s="825">
        <v>6269.1474600000001</v>
      </c>
      <c r="D13" s="825">
        <v>0</v>
      </c>
      <c r="E13" s="825">
        <v>0</v>
      </c>
      <c r="F13" s="825">
        <v>6269.1474600000001</v>
      </c>
      <c r="G13" s="825" t="s">
        <v>581</v>
      </c>
      <c r="H13" s="825">
        <v>6823.92634</v>
      </c>
      <c r="I13" s="825">
        <v>0</v>
      </c>
      <c r="J13" s="825">
        <v>0</v>
      </c>
      <c r="K13" s="825">
        <v>6823.92634</v>
      </c>
      <c r="L13" s="5"/>
    </row>
    <row r="14" spans="1:13" ht="15" customHeight="1">
      <c r="A14" s="824" t="s">
        <v>629</v>
      </c>
      <c r="B14" s="825" t="s">
        <v>438</v>
      </c>
      <c r="C14" s="825">
        <v>7193.7398999999996</v>
      </c>
      <c r="D14" s="825">
        <v>0</v>
      </c>
      <c r="E14" s="825">
        <v>0</v>
      </c>
      <c r="F14" s="825">
        <v>7193.7398999999996</v>
      </c>
      <c r="G14" s="825" t="s">
        <v>514</v>
      </c>
      <c r="H14" s="825">
        <v>7228.5483999999997</v>
      </c>
      <c r="I14" s="825">
        <v>0</v>
      </c>
      <c r="J14" s="825">
        <v>0</v>
      </c>
      <c r="K14" s="825">
        <v>7228.5483999999997</v>
      </c>
      <c r="L14" s="15"/>
    </row>
    <row r="15" spans="1:13" ht="15" customHeight="1">
      <c r="A15" s="824" t="s">
        <v>630</v>
      </c>
      <c r="B15" s="825" t="s">
        <v>453</v>
      </c>
      <c r="C15" s="825">
        <v>7306.2259100000001</v>
      </c>
      <c r="D15" s="825">
        <v>0</v>
      </c>
      <c r="E15" s="825">
        <v>0</v>
      </c>
      <c r="F15" s="825">
        <v>7306.2259100000001</v>
      </c>
      <c r="G15" s="825" t="s">
        <v>582</v>
      </c>
      <c r="H15" s="825">
        <v>7177.8167899999999</v>
      </c>
      <c r="I15" s="825">
        <v>0</v>
      </c>
      <c r="J15" s="825">
        <v>0</v>
      </c>
      <c r="K15" s="825">
        <v>7177.8167899999999</v>
      </c>
      <c r="L15" s="12"/>
    </row>
    <row r="16" spans="1:13" ht="15" customHeight="1">
      <c r="A16" s="824" t="s">
        <v>631</v>
      </c>
      <c r="B16" s="825" t="s">
        <v>437</v>
      </c>
      <c r="C16" s="825">
        <v>7073.1286899999996</v>
      </c>
      <c r="D16" s="825">
        <v>45.327599999999997</v>
      </c>
      <c r="E16" s="825">
        <v>0</v>
      </c>
      <c r="F16" s="825">
        <v>7118.4562900000001</v>
      </c>
      <c r="G16" s="825" t="s">
        <v>526</v>
      </c>
      <c r="H16" s="825">
        <v>7036.6298500000003</v>
      </c>
      <c r="I16" s="825">
        <v>52.382399999999997</v>
      </c>
      <c r="J16" s="825">
        <v>0</v>
      </c>
      <c r="K16" s="825">
        <v>7089.0122499999998</v>
      </c>
      <c r="L16" s="22"/>
    </row>
    <row r="17" spans="1:12" ht="15" customHeight="1">
      <c r="A17" s="824" t="s">
        <v>632</v>
      </c>
      <c r="B17" s="825" t="s">
        <v>453</v>
      </c>
      <c r="C17" s="825">
        <v>7232.8227699999998</v>
      </c>
      <c r="D17" s="825">
        <v>0</v>
      </c>
      <c r="E17" s="825">
        <v>0</v>
      </c>
      <c r="F17" s="825">
        <v>7232.8227699999998</v>
      </c>
      <c r="G17" s="825" t="s">
        <v>570</v>
      </c>
      <c r="H17" s="825">
        <v>7171.8785699999999</v>
      </c>
      <c r="I17" s="825">
        <v>0</v>
      </c>
      <c r="J17" s="825">
        <v>0</v>
      </c>
      <c r="K17" s="825">
        <v>7171.8785699999999</v>
      </c>
      <c r="L17" s="22"/>
    </row>
    <row r="18" spans="1:12" ht="15" customHeight="1">
      <c r="A18" s="824" t="s">
        <v>633</v>
      </c>
      <c r="B18" s="825" t="s">
        <v>437</v>
      </c>
      <c r="C18" s="825">
        <v>7354.5346099999997</v>
      </c>
      <c r="D18" s="825">
        <v>0</v>
      </c>
      <c r="E18" s="825">
        <v>0</v>
      </c>
      <c r="F18" s="825">
        <v>7354.5346099999997</v>
      </c>
      <c r="G18" s="825" t="s">
        <v>579</v>
      </c>
      <c r="H18" s="825">
        <v>7219.3120900000004</v>
      </c>
      <c r="I18" s="825">
        <v>0</v>
      </c>
      <c r="J18" s="825">
        <v>0</v>
      </c>
      <c r="K18" s="825">
        <v>7219.3120900000004</v>
      </c>
      <c r="L18" s="22"/>
    </row>
    <row r="19" spans="1:12" ht="15" customHeight="1">
      <c r="A19" s="824" t="s">
        <v>634</v>
      </c>
      <c r="B19" s="825" t="s">
        <v>437</v>
      </c>
      <c r="C19" s="825">
        <v>7118.7070700000004</v>
      </c>
      <c r="D19" s="825">
        <v>0</v>
      </c>
      <c r="E19" s="825">
        <v>0</v>
      </c>
      <c r="F19" s="825">
        <v>7118.7070700000004</v>
      </c>
      <c r="G19" s="825" t="s">
        <v>635</v>
      </c>
      <c r="H19" s="825">
        <v>7001.0575200000003</v>
      </c>
      <c r="I19" s="825">
        <v>0</v>
      </c>
      <c r="J19" s="825">
        <v>0</v>
      </c>
      <c r="K19" s="825">
        <v>7001.0575200000003</v>
      </c>
      <c r="L19" s="22"/>
    </row>
    <row r="20" spans="1:12" ht="15" customHeight="1">
      <c r="A20" s="824" t="s">
        <v>636</v>
      </c>
      <c r="B20" s="825" t="s">
        <v>545</v>
      </c>
      <c r="C20" s="825">
        <v>6425.5014600000004</v>
      </c>
      <c r="D20" s="825">
        <v>0</v>
      </c>
      <c r="E20" s="825">
        <v>0</v>
      </c>
      <c r="F20" s="825">
        <v>6425.5014600000004</v>
      </c>
      <c r="G20" s="825" t="s">
        <v>582</v>
      </c>
      <c r="H20" s="825">
        <v>7009.5153899999996</v>
      </c>
      <c r="I20" s="825">
        <v>0</v>
      </c>
      <c r="J20" s="825">
        <v>0</v>
      </c>
      <c r="K20" s="825">
        <v>7009.5153899999996</v>
      </c>
      <c r="L20" s="24"/>
    </row>
    <row r="21" spans="1:12" ht="15" customHeight="1">
      <c r="A21" s="824" t="s">
        <v>637</v>
      </c>
      <c r="B21" s="825" t="s">
        <v>453</v>
      </c>
      <c r="C21" s="825">
        <v>7103.5842599999996</v>
      </c>
      <c r="D21" s="825">
        <v>0</v>
      </c>
      <c r="E21" s="825">
        <v>0</v>
      </c>
      <c r="F21" s="825">
        <v>7103.5842599999996</v>
      </c>
      <c r="G21" s="825" t="s">
        <v>514</v>
      </c>
      <c r="H21" s="825">
        <v>7201.6739399999997</v>
      </c>
      <c r="I21" s="825">
        <v>0</v>
      </c>
      <c r="J21" s="825">
        <v>0</v>
      </c>
      <c r="K21" s="825">
        <v>7201.6739399999997</v>
      </c>
      <c r="L21" s="22"/>
    </row>
    <row r="22" spans="1:12" ht="15" customHeight="1">
      <c r="A22" s="824" t="s">
        <v>624</v>
      </c>
      <c r="B22" s="825" t="s">
        <v>438</v>
      </c>
      <c r="C22" s="825">
        <v>7269.1971199999998</v>
      </c>
      <c r="D22" s="825">
        <v>0</v>
      </c>
      <c r="E22" s="825">
        <v>0</v>
      </c>
      <c r="F22" s="825">
        <v>7269.1971199999998</v>
      </c>
      <c r="G22" s="826" t="s">
        <v>582</v>
      </c>
      <c r="H22" s="826">
        <v>7280.2119199999997</v>
      </c>
      <c r="I22" s="826">
        <v>0</v>
      </c>
      <c r="J22" s="826">
        <v>0</v>
      </c>
      <c r="K22" s="826">
        <v>7280.2119199999997</v>
      </c>
      <c r="L22" s="22"/>
    </row>
    <row r="23" spans="1:12" ht="15" customHeight="1">
      <c r="A23" s="824" t="s">
        <v>638</v>
      </c>
      <c r="B23" s="826" t="s">
        <v>438</v>
      </c>
      <c r="C23" s="826">
        <v>7469.1537200000002</v>
      </c>
      <c r="D23" s="826">
        <v>0</v>
      </c>
      <c r="E23" s="826">
        <v>0</v>
      </c>
      <c r="F23" s="826">
        <v>7469.1537200000002</v>
      </c>
      <c r="G23" s="825" t="s">
        <v>526</v>
      </c>
      <c r="H23" s="825">
        <v>7253.7228100000002</v>
      </c>
      <c r="I23" s="825">
        <v>0</v>
      </c>
      <c r="J23" s="825">
        <v>0</v>
      </c>
      <c r="K23" s="825">
        <v>7253.7228100000002</v>
      </c>
      <c r="L23" s="22"/>
    </row>
    <row r="24" spans="1:12" ht="15" customHeight="1">
      <c r="A24" s="824" t="s">
        <v>639</v>
      </c>
      <c r="B24" s="825" t="s">
        <v>437</v>
      </c>
      <c r="C24" s="825">
        <v>7221.30134</v>
      </c>
      <c r="D24" s="825">
        <v>46.874000000000002</v>
      </c>
      <c r="E24" s="825">
        <v>0</v>
      </c>
      <c r="F24" s="825">
        <v>7268.1753399999998</v>
      </c>
      <c r="G24" s="825" t="s">
        <v>579</v>
      </c>
      <c r="H24" s="825">
        <v>7201.4218700000001</v>
      </c>
      <c r="I24" s="825">
        <v>45.707999999999998</v>
      </c>
      <c r="J24" s="825">
        <v>0</v>
      </c>
      <c r="K24" s="825">
        <v>7247.1298699999998</v>
      </c>
      <c r="L24" s="22"/>
    </row>
    <row r="25" spans="1:12" ht="15" customHeight="1">
      <c r="A25" s="824" t="s">
        <v>640</v>
      </c>
      <c r="B25" s="825" t="s">
        <v>453</v>
      </c>
      <c r="C25" s="825">
        <v>7327.9561400000002</v>
      </c>
      <c r="D25" s="825">
        <v>44.886400000000002</v>
      </c>
      <c r="E25" s="825">
        <v>0</v>
      </c>
      <c r="F25" s="825">
        <v>7372.8425399999996</v>
      </c>
      <c r="G25" s="825" t="s">
        <v>579</v>
      </c>
      <c r="H25" s="825">
        <v>7117.9084199999998</v>
      </c>
      <c r="I25" s="825">
        <v>46.572000000000003</v>
      </c>
      <c r="J25" s="825">
        <v>0</v>
      </c>
      <c r="K25" s="825">
        <v>7164.4804199999999</v>
      </c>
      <c r="L25" s="22"/>
    </row>
    <row r="26" spans="1:12" ht="15" customHeight="1">
      <c r="A26" s="824" t="s">
        <v>641</v>
      </c>
      <c r="B26" s="825" t="s">
        <v>453</v>
      </c>
      <c r="C26" s="825">
        <v>7098.8153499999999</v>
      </c>
      <c r="D26" s="825">
        <v>0</v>
      </c>
      <c r="E26" s="825">
        <v>0</v>
      </c>
      <c r="F26" s="825">
        <v>7098.8153499999999</v>
      </c>
      <c r="G26" s="825" t="s">
        <v>423</v>
      </c>
      <c r="H26" s="825">
        <v>7026.9773100000002</v>
      </c>
      <c r="I26" s="825">
        <v>0</v>
      </c>
      <c r="J26" s="825">
        <v>0</v>
      </c>
      <c r="K26" s="825">
        <v>7026.9773100000002</v>
      </c>
      <c r="L26" s="22"/>
    </row>
    <row r="27" spans="1:12" ht="15" customHeight="1">
      <c r="A27" s="824" t="s">
        <v>642</v>
      </c>
      <c r="B27" s="825" t="s">
        <v>545</v>
      </c>
      <c r="C27" s="825">
        <v>6344.0878400000001</v>
      </c>
      <c r="D27" s="825">
        <v>0</v>
      </c>
      <c r="E27" s="825">
        <v>0</v>
      </c>
      <c r="F27" s="825">
        <v>6344.0878400000001</v>
      </c>
      <c r="G27" s="825" t="s">
        <v>514</v>
      </c>
      <c r="H27" s="825">
        <v>6863.4670299999998</v>
      </c>
      <c r="I27" s="825">
        <v>0</v>
      </c>
      <c r="J27" s="825">
        <v>0</v>
      </c>
      <c r="K27" s="825">
        <v>6863.4670299999998</v>
      </c>
      <c r="L27" s="22"/>
    </row>
    <row r="28" spans="1:12" ht="15" customHeight="1">
      <c r="A28" s="824" t="s">
        <v>643</v>
      </c>
      <c r="B28" s="825" t="s">
        <v>437</v>
      </c>
      <c r="C28" s="825">
        <v>7105.73938</v>
      </c>
      <c r="D28" s="825">
        <v>0</v>
      </c>
      <c r="E28" s="825">
        <v>0</v>
      </c>
      <c r="F28" s="825">
        <v>7105.73938</v>
      </c>
      <c r="G28" s="825" t="s">
        <v>579</v>
      </c>
      <c r="H28" s="825">
        <v>7116.31095</v>
      </c>
      <c r="I28" s="825">
        <v>0</v>
      </c>
      <c r="J28" s="825">
        <v>0</v>
      </c>
      <c r="K28" s="825">
        <v>7116.31095</v>
      </c>
      <c r="L28" s="22"/>
    </row>
    <row r="29" spans="1:12" ht="16.2" customHeight="1">
      <c r="A29" s="824" t="s">
        <v>644</v>
      </c>
      <c r="B29" s="825" t="s">
        <v>645</v>
      </c>
      <c r="C29" s="825">
        <v>7007.5187400000004</v>
      </c>
      <c r="D29" s="825">
        <v>0</v>
      </c>
      <c r="E29" s="825">
        <v>0</v>
      </c>
      <c r="F29" s="825">
        <v>7007.5187400000004</v>
      </c>
      <c r="G29" s="825" t="s">
        <v>423</v>
      </c>
      <c r="H29" s="825">
        <v>6980.5880299999999</v>
      </c>
      <c r="I29" s="825">
        <v>0</v>
      </c>
      <c r="J29" s="825">
        <v>0</v>
      </c>
      <c r="K29" s="825">
        <v>6980.5880299999999</v>
      </c>
      <c r="L29" s="22"/>
    </row>
    <row r="30" spans="1:12" ht="16.2" customHeight="1">
      <c r="A30" s="824" t="s">
        <v>646</v>
      </c>
      <c r="B30" s="825" t="s">
        <v>453</v>
      </c>
      <c r="C30" s="825">
        <v>7127.5729600000004</v>
      </c>
      <c r="D30" s="825">
        <v>0</v>
      </c>
      <c r="E30" s="825">
        <v>0</v>
      </c>
      <c r="F30" s="825">
        <v>7127.5729600000004</v>
      </c>
      <c r="G30" s="825" t="s">
        <v>423</v>
      </c>
      <c r="H30" s="825">
        <v>6999.6668300000001</v>
      </c>
      <c r="I30" s="825">
        <v>0</v>
      </c>
      <c r="J30" s="825">
        <v>0</v>
      </c>
      <c r="K30" s="825">
        <v>6999.6668300000001</v>
      </c>
      <c r="L30" s="22"/>
    </row>
    <row r="31" spans="1:12" ht="16.2" customHeight="1">
      <c r="A31" s="824" t="s">
        <v>647</v>
      </c>
      <c r="B31" s="825" t="s">
        <v>438</v>
      </c>
      <c r="C31" s="825">
        <v>7208.88436</v>
      </c>
      <c r="D31" s="825">
        <v>0</v>
      </c>
      <c r="E31" s="825">
        <v>0</v>
      </c>
      <c r="F31" s="825">
        <v>7208.88436</v>
      </c>
      <c r="G31" s="825" t="s">
        <v>570</v>
      </c>
      <c r="H31" s="825">
        <v>7078.4810699999998</v>
      </c>
      <c r="I31" s="825">
        <v>0</v>
      </c>
      <c r="J31" s="825">
        <v>0</v>
      </c>
      <c r="K31" s="825">
        <v>7078.4810699999998</v>
      </c>
      <c r="L31" s="30"/>
    </row>
    <row r="32" spans="1:12" ht="16.2" customHeight="1">
      <c r="A32" s="824" t="s">
        <v>648</v>
      </c>
      <c r="B32" s="825" t="s">
        <v>649</v>
      </c>
      <c r="C32" s="825">
        <v>7198.7652699999999</v>
      </c>
      <c r="D32" s="825">
        <v>42.857559999999999</v>
      </c>
      <c r="E32" s="825">
        <v>0</v>
      </c>
      <c r="F32" s="825">
        <v>7241.6228300000002</v>
      </c>
      <c r="G32" s="825" t="s">
        <v>570</v>
      </c>
      <c r="H32" s="825">
        <v>7051.0141700000004</v>
      </c>
      <c r="I32" s="825">
        <v>50.553400000000003</v>
      </c>
      <c r="J32" s="825">
        <v>0</v>
      </c>
      <c r="K32" s="825">
        <v>7101.5675700000002</v>
      </c>
      <c r="L32" s="22"/>
    </row>
    <row r="33" spans="1:12" ht="16.2" customHeight="1">
      <c r="A33" s="824" t="s">
        <v>650</v>
      </c>
      <c r="B33" s="825" t="s">
        <v>453</v>
      </c>
      <c r="C33" s="825">
        <v>7227.6034900000004</v>
      </c>
      <c r="D33" s="825">
        <v>0</v>
      </c>
      <c r="E33" s="825">
        <v>0</v>
      </c>
      <c r="F33" s="825">
        <v>7227.6034900000004</v>
      </c>
      <c r="G33" s="825" t="s">
        <v>514</v>
      </c>
      <c r="H33" s="825">
        <v>6965.2431299999998</v>
      </c>
      <c r="I33" s="825">
        <v>0</v>
      </c>
      <c r="J33" s="825">
        <v>0</v>
      </c>
      <c r="K33" s="825">
        <v>6965.2431299999998</v>
      </c>
      <c r="L33" s="22"/>
    </row>
    <row r="34" spans="1:12" ht="16.2" customHeight="1">
      <c r="A34" s="824" t="s">
        <v>651</v>
      </c>
      <c r="B34" s="825" t="s">
        <v>545</v>
      </c>
      <c r="C34" s="825">
        <v>6252.6031700000003</v>
      </c>
      <c r="D34" s="825">
        <v>0</v>
      </c>
      <c r="E34" s="825">
        <v>0</v>
      </c>
      <c r="F34" s="825">
        <v>6252.6031700000003</v>
      </c>
      <c r="G34" s="825" t="s">
        <v>581</v>
      </c>
      <c r="H34" s="825">
        <v>6875.1559399999996</v>
      </c>
      <c r="I34" s="825">
        <v>0</v>
      </c>
      <c r="J34" s="825">
        <v>0</v>
      </c>
      <c r="K34" s="825">
        <v>6875.1559399999996</v>
      </c>
      <c r="L34" s="15"/>
    </row>
    <row r="35" spans="1:12" ht="16.2" customHeight="1">
      <c r="A35" s="824" t="s">
        <v>652</v>
      </c>
      <c r="B35" s="825" t="s">
        <v>438</v>
      </c>
      <c r="C35" s="825">
        <v>7153.5300100000004</v>
      </c>
      <c r="D35" s="825">
        <v>0</v>
      </c>
      <c r="E35" s="825">
        <v>0</v>
      </c>
      <c r="F35" s="825">
        <v>7153.5300100000004</v>
      </c>
      <c r="G35" s="825" t="s">
        <v>423</v>
      </c>
      <c r="H35" s="825">
        <v>7201.14671</v>
      </c>
      <c r="I35" s="825">
        <v>0</v>
      </c>
      <c r="J35" s="825">
        <v>0</v>
      </c>
      <c r="K35" s="825">
        <v>7201.14671</v>
      </c>
      <c r="L35" s="16"/>
    </row>
    <row r="36" spans="1:12" ht="16.2" customHeight="1">
      <c r="A36" s="824" t="s">
        <v>653</v>
      </c>
      <c r="B36" s="825" t="s">
        <v>438</v>
      </c>
      <c r="C36" s="825">
        <v>7069.4327599999997</v>
      </c>
      <c r="D36" s="825">
        <v>0</v>
      </c>
      <c r="E36" s="825">
        <v>0</v>
      </c>
      <c r="F36" s="825">
        <v>7069.4327599999997</v>
      </c>
      <c r="G36" s="825" t="s">
        <v>423</v>
      </c>
      <c r="H36" s="825">
        <v>7030.8613699999996</v>
      </c>
      <c r="I36" s="825">
        <v>0</v>
      </c>
      <c r="J36" s="825">
        <v>0</v>
      </c>
      <c r="K36" s="825">
        <v>7030.8613699999996</v>
      </c>
      <c r="L36" s="15"/>
    </row>
    <row r="37" spans="1:12" ht="16.2" customHeight="1">
      <c r="A37" s="824" t="s">
        <v>654</v>
      </c>
      <c r="B37" s="825" t="s">
        <v>453</v>
      </c>
      <c r="C37" s="825">
        <v>6875.5629200000003</v>
      </c>
      <c r="D37" s="825">
        <v>50.134239999999998</v>
      </c>
      <c r="E37" s="825">
        <v>0</v>
      </c>
      <c r="F37" s="825">
        <v>6925.6971599999997</v>
      </c>
      <c r="G37" s="825" t="s">
        <v>570</v>
      </c>
      <c r="H37" s="825">
        <v>6857.4647000000004</v>
      </c>
      <c r="I37" s="825">
        <v>47.88664</v>
      </c>
      <c r="J37" s="825">
        <v>0</v>
      </c>
      <c r="K37" s="825">
        <v>6905.3513400000002</v>
      </c>
      <c r="L37" s="15"/>
    </row>
    <row r="38" spans="1:12" ht="16.2" customHeight="1">
      <c r="A38" s="824" t="s">
        <v>655</v>
      </c>
      <c r="B38" s="825" t="s">
        <v>437</v>
      </c>
      <c r="C38" s="825">
        <v>6929.7161999999998</v>
      </c>
      <c r="D38" s="825">
        <v>48.486440000000002</v>
      </c>
      <c r="E38" s="825">
        <v>0</v>
      </c>
      <c r="F38" s="825">
        <v>6978.2026400000004</v>
      </c>
      <c r="G38" s="825" t="s">
        <v>526</v>
      </c>
      <c r="H38" s="825">
        <v>6867.9969499999997</v>
      </c>
      <c r="I38" s="825">
        <v>0</v>
      </c>
      <c r="J38" s="825">
        <v>0</v>
      </c>
      <c r="K38" s="825">
        <v>6867.9969499999997</v>
      </c>
      <c r="L38" s="15"/>
    </row>
    <row r="39" spans="1:12" ht="16.2" customHeight="1">
      <c r="A39" s="824" t="s">
        <v>656</v>
      </c>
      <c r="B39" s="825" t="s">
        <v>437</v>
      </c>
      <c r="C39" s="825">
        <v>6234.4848499999998</v>
      </c>
      <c r="D39" s="825">
        <v>46.069719999999997</v>
      </c>
      <c r="E39" s="825">
        <v>0</v>
      </c>
      <c r="F39" s="825">
        <v>6280.5545700000002</v>
      </c>
      <c r="G39" s="825" t="s">
        <v>582</v>
      </c>
      <c r="H39" s="825">
        <v>6659.3111099999996</v>
      </c>
      <c r="I39" s="825">
        <v>0</v>
      </c>
      <c r="J39" s="825">
        <v>0</v>
      </c>
      <c r="K39" s="825">
        <v>6659.3111099999996</v>
      </c>
      <c r="L39" s="15"/>
    </row>
    <row r="40" spans="1:12" ht="16.2" customHeight="1">
      <c r="A40" s="824" t="s">
        <v>657</v>
      </c>
      <c r="B40" s="825" t="s">
        <v>453</v>
      </c>
      <c r="C40" s="825">
        <v>5944.3646699999999</v>
      </c>
      <c r="D40" s="825">
        <v>45.635599999999997</v>
      </c>
      <c r="E40" s="825">
        <v>0</v>
      </c>
      <c r="F40" s="825">
        <v>5990.0002699999995</v>
      </c>
      <c r="G40" s="825" t="s">
        <v>581</v>
      </c>
      <c r="H40" s="825">
        <v>6480.6325999999999</v>
      </c>
      <c r="I40" s="825">
        <v>46.837200000000003</v>
      </c>
      <c r="J40" s="825">
        <v>0</v>
      </c>
      <c r="K40" s="825">
        <v>6527.4697999999999</v>
      </c>
    </row>
    <row r="41" spans="1:12" ht="16.2" customHeight="1">
      <c r="A41" s="824" t="s">
        <v>658</v>
      </c>
      <c r="B41" s="825" t="s">
        <v>659</v>
      </c>
      <c r="C41" s="825">
        <v>5901.7948800000004</v>
      </c>
      <c r="D41" s="825">
        <v>40.756680000000003</v>
      </c>
      <c r="E41" s="825">
        <v>0</v>
      </c>
      <c r="F41" s="825">
        <v>5942.5515599999999</v>
      </c>
      <c r="G41" s="825" t="s">
        <v>514</v>
      </c>
      <c r="H41" s="825">
        <v>6510.15164</v>
      </c>
      <c r="I41" s="825">
        <v>46.572040000000001</v>
      </c>
      <c r="J41" s="825">
        <v>0</v>
      </c>
      <c r="K41" s="825">
        <v>6556.7236800000001</v>
      </c>
    </row>
    <row r="42" spans="1:12" ht="16.2" customHeight="1">
      <c r="A42" s="824" t="s">
        <v>660</v>
      </c>
      <c r="B42" s="825" t="s">
        <v>453</v>
      </c>
      <c r="C42" s="825">
        <v>6791.4617600000001</v>
      </c>
      <c r="D42" s="825">
        <v>43.808</v>
      </c>
      <c r="E42" s="825">
        <v>0</v>
      </c>
      <c r="F42" s="825">
        <v>6835.2697600000001</v>
      </c>
      <c r="G42" s="825" t="s">
        <v>514</v>
      </c>
      <c r="H42" s="825">
        <v>6883.67803</v>
      </c>
      <c r="I42" s="825">
        <v>49.48</v>
      </c>
      <c r="J42" s="825">
        <v>0</v>
      </c>
      <c r="K42" s="825">
        <v>6933.1580299999996</v>
      </c>
    </row>
    <row r="43" spans="1:12" ht="13.2">
      <c r="A43" s="196"/>
      <c r="B43" s="197"/>
      <c r="C43" s="197"/>
      <c r="D43" s="197"/>
      <c r="E43" s="197"/>
      <c r="F43" s="197"/>
      <c r="G43" s="197"/>
      <c r="H43" s="197"/>
      <c r="I43" s="197"/>
      <c r="J43" s="197"/>
      <c r="K43" s="198"/>
    </row>
    <row r="44" spans="1:12" ht="13.2">
      <c r="A44" s="196"/>
      <c r="B44" s="197"/>
      <c r="C44" s="197"/>
      <c r="D44" s="197"/>
      <c r="E44" s="197"/>
      <c r="F44" s="197"/>
      <c r="G44" s="197"/>
      <c r="H44" s="197"/>
      <c r="I44" s="197"/>
      <c r="J44" s="197"/>
      <c r="K44" s="198"/>
    </row>
    <row r="45" spans="1:12" ht="13.2">
      <c r="A45" s="196"/>
      <c r="B45" s="200"/>
      <c r="C45" s="198"/>
      <c r="D45" s="198"/>
      <c r="E45" s="198"/>
      <c r="F45" s="198"/>
      <c r="G45" s="197"/>
      <c r="H45" s="197"/>
      <c r="I45" s="197"/>
      <c r="J45" s="197"/>
      <c r="K45" s="198"/>
    </row>
    <row r="46" spans="1:12" ht="13.2">
      <c r="A46" s="201"/>
      <c r="B46" s="202"/>
      <c r="C46" s="202"/>
      <c r="D46" s="202"/>
      <c r="E46" s="202"/>
      <c r="F46" s="202"/>
      <c r="G46" s="202"/>
      <c r="H46" s="197"/>
      <c r="I46" s="197"/>
      <c r="J46" s="197"/>
      <c r="K46" s="198"/>
    </row>
    <row r="47" spans="1:12" ht="13.2">
      <c r="A47" s="201"/>
      <c r="B47" s="202"/>
      <c r="C47" s="202"/>
      <c r="D47" s="202"/>
      <c r="E47" s="202"/>
      <c r="F47" s="202"/>
      <c r="G47" s="202"/>
      <c r="H47" s="197"/>
      <c r="I47" s="197"/>
      <c r="J47" s="197"/>
      <c r="K47" s="197"/>
    </row>
    <row r="48" spans="1:12" ht="13.2">
      <c r="A48" s="201"/>
      <c r="B48" s="202"/>
      <c r="C48" s="202"/>
      <c r="D48" s="202"/>
      <c r="E48" s="202"/>
      <c r="F48" s="202"/>
      <c r="G48" s="202"/>
      <c r="H48" s="197"/>
      <c r="I48" s="197"/>
      <c r="J48" s="197"/>
      <c r="K48" s="197"/>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42"/>
  <sheetViews>
    <sheetView showGridLines="0" view="pageBreakPreview" zoomScaleNormal="100" zoomScaleSheetLayoutView="100" zoomScalePageLayoutView="130" workbookViewId="0">
      <selection activeCell="D4" sqref="D4"/>
    </sheetView>
  </sheetViews>
  <sheetFormatPr baseColWidth="10" defaultColWidth="9.28515625" defaultRowHeight="9.6"/>
  <cols>
    <col min="1" max="1" width="15.28515625" style="558" customWidth="1"/>
    <col min="2" max="2" width="17.7109375" style="558" customWidth="1"/>
    <col min="3" max="3" width="12.85546875" style="558" bestFit="1" customWidth="1"/>
    <col min="4" max="4" width="56" style="558" customWidth="1"/>
    <col min="5" max="5" width="12.28515625" style="558" customWidth="1"/>
    <col min="6" max="6" width="10.42578125" style="558" customWidth="1"/>
    <col min="7" max="8" width="9.28515625" style="558" customWidth="1"/>
    <col min="9" max="16384" width="9.28515625" style="558"/>
  </cols>
  <sheetData>
    <row r="1" spans="1:9" ht="11.25" customHeight="1">
      <c r="A1" s="556" t="s">
        <v>346</v>
      </c>
      <c r="B1" s="557"/>
      <c r="C1" s="557"/>
      <c r="D1" s="557"/>
      <c r="E1" s="557"/>
      <c r="F1" s="557"/>
    </row>
    <row r="2" spans="1:9" ht="30" customHeight="1">
      <c r="A2" s="559" t="s">
        <v>243</v>
      </c>
      <c r="B2" s="560" t="s">
        <v>347</v>
      </c>
      <c r="C2" s="559" t="s">
        <v>336</v>
      </c>
      <c r="D2" s="561" t="s">
        <v>348</v>
      </c>
      <c r="E2" s="562" t="s">
        <v>349</v>
      </c>
      <c r="F2" s="562" t="s">
        <v>350</v>
      </c>
      <c r="G2" s="563"/>
      <c r="H2" s="564"/>
      <c r="I2" s="565"/>
    </row>
    <row r="3" spans="1:9" ht="57" customHeight="1">
      <c r="A3" s="568" t="s">
        <v>661</v>
      </c>
      <c r="B3" s="568" t="s">
        <v>662</v>
      </c>
      <c r="C3" s="566" t="s">
        <v>663</v>
      </c>
      <c r="D3" s="567" t="s">
        <v>664</v>
      </c>
      <c r="E3" s="568">
        <v>8.67</v>
      </c>
      <c r="F3" s="568"/>
      <c r="H3" s="563"/>
      <c r="I3" s="565"/>
    </row>
    <row r="4" spans="1:9" ht="131.4" customHeight="1">
      <c r="A4" s="568" t="s">
        <v>665</v>
      </c>
      <c r="B4" s="568" t="s">
        <v>666</v>
      </c>
      <c r="C4" s="566" t="s">
        <v>667</v>
      </c>
      <c r="D4" s="567" t="s">
        <v>668</v>
      </c>
      <c r="E4" s="568">
        <v>44.16</v>
      </c>
      <c r="F4" s="568"/>
      <c r="G4" s="569"/>
      <c r="H4" s="569"/>
      <c r="I4" s="570"/>
    </row>
    <row r="5" spans="1:9" ht="52.8" customHeight="1">
      <c r="A5" s="568" t="s">
        <v>669</v>
      </c>
      <c r="B5" s="568" t="s">
        <v>670</v>
      </c>
      <c r="C5" s="566" t="s">
        <v>671</v>
      </c>
      <c r="D5" s="567" t="s">
        <v>672</v>
      </c>
      <c r="E5" s="568">
        <v>3.2</v>
      </c>
      <c r="F5" s="568"/>
      <c r="G5" s="569"/>
      <c r="H5" s="569"/>
      <c r="I5" s="571"/>
    </row>
    <row r="6" spans="1:9" ht="65.400000000000006" customHeight="1">
      <c r="A6" s="568" t="s">
        <v>673</v>
      </c>
      <c r="B6" s="568" t="s">
        <v>674</v>
      </c>
      <c r="C6" s="566" t="s">
        <v>675</v>
      </c>
      <c r="D6" s="567" t="s">
        <v>676</v>
      </c>
      <c r="E6" s="568">
        <v>1.8</v>
      </c>
      <c r="F6" s="568"/>
      <c r="G6" s="569"/>
      <c r="H6" s="569"/>
      <c r="I6" s="572"/>
    </row>
    <row r="7" spans="1:9" ht="87" customHeight="1">
      <c r="A7" s="568" t="s">
        <v>673</v>
      </c>
      <c r="B7" s="568" t="s">
        <v>677</v>
      </c>
      <c r="C7" s="566" t="s">
        <v>678</v>
      </c>
      <c r="D7" s="567" t="s">
        <v>679</v>
      </c>
      <c r="E7" s="568">
        <v>13.07</v>
      </c>
      <c r="F7" s="568"/>
      <c r="G7" s="569"/>
      <c r="H7" s="569"/>
      <c r="I7" s="573"/>
    </row>
    <row r="8" spans="1:9" ht="66.599999999999994" customHeight="1">
      <c r="A8" s="568" t="s">
        <v>680</v>
      </c>
      <c r="B8" s="568" t="s">
        <v>681</v>
      </c>
      <c r="C8" s="566" t="s">
        <v>682</v>
      </c>
      <c r="D8" s="567" t="s">
        <v>683</v>
      </c>
      <c r="E8" s="568">
        <v>10</v>
      </c>
      <c r="F8" s="568"/>
      <c r="G8" s="569"/>
      <c r="H8" s="569"/>
      <c r="I8" s="572"/>
    </row>
    <row r="9" spans="1:9" ht="69" customHeight="1">
      <c r="A9" s="568" t="s">
        <v>441</v>
      </c>
      <c r="B9" s="568" t="s">
        <v>684</v>
      </c>
      <c r="C9" s="566" t="s">
        <v>685</v>
      </c>
      <c r="D9" s="567" t="s">
        <v>686</v>
      </c>
      <c r="E9" s="574">
        <v>9.4600000000000009</v>
      </c>
      <c r="F9" s="574"/>
      <c r="G9" s="569"/>
      <c r="H9" s="569"/>
      <c r="I9" s="572"/>
    </row>
    <row r="10" spans="1:9" ht="62.4" customHeight="1">
      <c r="A10" s="568" t="s">
        <v>687</v>
      </c>
      <c r="B10" s="568" t="s">
        <v>688</v>
      </c>
      <c r="C10" s="566" t="s">
        <v>689</v>
      </c>
      <c r="D10" s="567" t="s">
        <v>690</v>
      </c>
      <c r="E10" s="574">
        <v>5.95</v>
      </c>
      <c r="F10" s="574"/>
      <c r="G10" s="569"/>
      <c r="H10" s="569"/>
      <c r="I10" s="572"/>
    </row>
    <row r="11" spans="1:9" ht="108" customHeight="1">
      <c r="A11" s="568" t="s">
        <v>583</v>
      </c>
      <c r="B11" s="568" t="s">
        <v>691</v>
      </c>
      <c r="C11" s="566" t="s">
        <v>692</v>
      </c>
      <c r="D11" s="567" t="s">
        <v>693</v>
      </c>
      <c r="E11" s="574">
        <v>22.858000000000001</v>
      </c>
      <c r="F11" s="574" t="s">
        <v>585</v>
      </c>
      <c r="G11" s="569"/>
      <c r="H11" s="569"/>
      <c r="I11" s="572"/>
    </row>
    <row r="12" spans="1:9" ht="9.6" customHeight="1">
      <c r="A12" s="819"/>
      <c r="B12" s="819"/>
      <c r="C12" s="820"/>
      <c r="D12" s="821"/>
      <c r="E12" s="822"/>
      <c r="F12" s="822"/>
    </row>
    <row r="13" spans="1:9">
      <c r="E13" s="575"/>
      <c r="F13" s="575"/>
    </row>
    <row r="14" spans="1:9">
      <c r="E14" s="575"/>
      <c r="F14" s="575"/>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row r="37" spans="5:6">
      <c r="E37" s="575"/>
      <c r="F37" s="575"/>
    </row>
    <row r="38" spans="5:6">
      <c r="E38" s="575"/>
      <c r="F38" s="575"/>
    </row>
    <row r="39" spans="5:6">
      <c r="E39" s="575"/>
      <c r="F39" s="575"/>
    </row>
    <row r="40" spans="5:6">
      <c r="E40" s="575"/>
      <c r="F40" s="575"/>
    </row>
    <row r="41" spans="5:6">
      <c r="E41" s="575"/>
      <c r="F41" s="575"/>
    </row>
    <row r="42" spans="5:6">
      <c r="E42" s="575"/>
      <c r="F42" s="57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29"/>
  <sheetViews>
    <sheetView showGridLines="0" view="pageBreakPreview" zoomScaleNormal="100" zoomScaleSheetLayoutView="100" zoomScalePageLayoutView="130" workbookViewId="0">
      <selection activeCell="D5" sqref="D5"/>
    </sheetView>
  </sheetViews>
  <sheetFormatPr baseColWidth="10" defaultColWidth="9.28515625" defaultRowHeight="9.6"/>
  <cols>
    <col min="1" max="1" width="16.140625" style="558" customWidth="1"/>
    <col min="2" max="2" width="19.7109375" style="558" customWidth="1"/>
    <col min="3" max="3" width="12.85546875" style="558" bestFit="1" customWidth="1"/>
    <col min="4" max="4" width="51.28515625" style="558" customWidth="1"/>
    <col min="5" max="5" width="12.140625" style="558" customWidth="1"/>
    <col min="6" max="6" width="11.85546875" style="558" customWidth="1"/>
    <col min="7" max="8" width="9.28515625" style="558" customWidth="1"/>
    <col min="9" max="16384" width="9.28515625" style="558"/>
  </cols>
  <sheetData>
    <row r="1" spans="1:9" ht="11.25" customHeight="1">
      <c r="A1" s="556" t="s">
        <v>346</v>
      </c>
      <c r="B1" s="557"/>
      <c r="C1" s="557"/>
      <c r="D1" s="557"/>
      <c r="E1" s="557"/>
      <c r="F1" s="557"/>
    </row>
    <row r="2" spans="1:9" ht="30" customHeight="1">
      <c r="A2" s="559" t="s">
        <v>243</v>
      </c>
      <c r="B2" s="560" t="s">
        <v>347</v>
      </c>
      <c r="C2" s="559" t="s">
        <v>336</v>
      </c>
      <c r="D2" s="561"/>
      <c r="E2" s="562" t="s">
        <v>349</v>
      </c>
      <c r="F2" s="562" t="s">
        <v>350</v>
      </c>
      <c r="G2" s="563"/>
      <c r="H2" s="564"/>
      <c r="I2" s="565"/>
    </row>
    <row r="3" spans="1:9" ht="75.599999999999994" customHeight="1">
      <c r="A3" s="568" t="s">
        <v>441</v>
      </c>
      <c r="B3" s="568" t="s">
        <v>694</v>
      </c>
      <c r="C3" s="566" t="s">
        <v>695</v>
      </c>
      <c r="D3" s="567" t="s">
        <v>696</v>
      </c>
      <c r="E3" s="568">
        <v>13.54</v>
      </c>
      <c r="F3" s="568"/>
      <c r="G3" s="569"/>
      <c r="H3" s="569"/>
      <c r="I3" s="573"/>
    </row>
    <row r="4" spans="1:9" ht="67.8" customHeight="1">
      <c r="A4" s="568" t="s">
        <v>697</v>
      </c>
      <c r="B4" s="568" t="s">
        <v>698</v>
      </c>
      <c r="C4" s="566" t="s">
        <v>699</v>
      </c>
      <c r="D4" s="567" t="s">
        <v>700</v>
      </c>
      <c r="E4" s="568">
        <v>32.200000000000003</v>
      </c>
      <c r="F4" s="568"/>
      <c r="G4" s="569"/>
      <c r="H4" s="569"/>
      <c r="I4" s="573"/>
    </row>
    <row r="5" spans="1:9" ht="64.8" customHeight="1">
      <c r="A5" s="568" t="s">
        <v>701</v>
      </c>
      <c r="B5" s="568" t="s">
        <v>702</v>
      </c>
      <c r="C5" s="566" t="s">
        <v>703</v>
      </c>
      <c r="D5" s="567" t="s">
        <v>704</v>
      </c>
      <c r="E5" s="568">
        <v>0.2</v>
      </c>
      <c r="F5" s="568"/>
      <c r="G5" s="569"/>
      <c r="H5" s="569"/>
      <c r="I5" s="573"/>
    </row>
    <row r="6" spans="1:9" ht="75" customHeight="1">
      <c r="A6" s="568" t="s">
        <v>701</v>
      </c>
      <c r="B6" s="568" t="s">
        <v>702</v>
      </c>
      <c r="C6" s="566" t="s">
        <v>705</v>
      </c>
      <c r="D6" s="567" t="s">
        <v>706</v>
      </c>
      <c r="E6" s="568">
        <v>0.11799999999999999</v>
      </c>
      <c r="F6" s="568"/>
      <c r="G6" s="569"/>
      <c r="H6" s="569"/>
      <c r="I6" s="573"/>
    </row>
    <row r="7" spans="1:9" ht="73.8" customHeight="1">
      <c r="A7" s="568" t="s">
        <v>441</v>
      </c>
      <c r="B7" s="568" t="s">
        <v>707</v>
      </c>
      <c r="C7" s="566" t="s">
        <v>708</v>
      </c>
      <c r="D7" s="567" t="s">
        <v>709</v>
      </c>
      <c r="E7" s="568">
        <v>4.7</v>
      </c>
      <c r="F7" s="568"/>
      <c r="G7" s="569"/>
      <c r="H7" s="569"/>
      <c r="I7" s="573"/>
    </row>
    <row r="8" spans="1:9" ht="75" customHeight="1">
      <c r="A8" s="568" t="s">
        <v>441</v>
      </c>
      <c r="B8" s="568" t="s">
        <v>707</v>
      </c>
      <c r="C8" s="566" t="s">
        <v>710</v>
      </c>
      <c r="D8" s="567" t="s">
        <v>711</v>
      </c>
      <c r="E8" s="568">
        <v>4.2</v>
      </c>
      <c r="F8" s="568"/>
    </row>
    <row r="9" spans="1:9" ht="60" customHeight="1">
      <c r="A9" s="568" t="s">
        <v>701</v>
      </c>
      <c r="B9" s="568" t="s">
        <v>702</v>
      </c>
      <c r="C9" s="566" t="s">
        <v>712</v>
      </c>
      <c r="D9" s="567" t="s">
        <v>713</v>
      </c>
      <c r="E9" s="568">
        <v>0.12</v>
      </c>
      <c r="F9" s="568"/>
    </row>
    <row r="10" spans="1:9" ht="81" customHeight="1">
      <c r="A10" s="568" t="s">
        <v>701</v>
      </c>
      <c r="B10" s="568" t="s">
        <v>702</v>
      </c>
      <c r="C10" s="566" t="s">
        <v>714</v>
      </c>
      <c r="D10" s="567" t="s">
        <v>715</v>
      </c>
      <c r="E10" s="568">
        <v>0.13</v>
      </c>
      <c r="F10" s="568"/>
    </row>
    <row r="11" spans="1:9" ht="125.4" customHeight="1">
      <c r="A11" s="568" t="s">
        <v>716</v>
      </c>
      <c r="B11" s="568" t="s">
        <v>717</v>
      </c>
      <c r="C11" s="566" t="s">
        <v>718</v>
      </c>
      <c r="D11" s="567" t="s">
        <v>719</v>
      </c>
      <c r="E11" s="568">
        <v>0.5</v>
      </c>
      <c r="F11" s="568"/>
    </row>
    <row r="12" spans="1:9">
      <c r="E12" s="575"/>
      <c r="F12" s="575"/>
    </row>
    <row r="13" spans="1:9">
      <c r="E13" s="575"/>
      <c r="F13" s="575"/>
    </row>
    <row r="14" spans="1:9">
      <c r="E14" s="575"/>
      <c r="F14" s="575"/>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38"/>
  <sheetViews>
    <sheetView showGridLines="0" view="pageBreakPreview" zoomScaleNormal="100" zoomScaleSheetLayoutView="100" zoomScalePageLayoutView="145" workbookViewId="0">
      <selection activeCell="B3" sqref="B3"/>
    </sheetView>
  </sheetViews>
  <sheetFormatPr baseColWidth="10" defaultColWidth="9.28515625" defaultRowHeight="9.6"/>
  <cols>
    <col min="1" max="1" width="16.140625" style="558" customWidth="1"/>
    <col min="2" max="2" width="19.7109375" style="558" customWidth="1"/>
    <col min="3" max="3" width="12.85546875" style="558" bestFit="1" customWidth="1"/>
    <col min="4" max="4" width="51.28515625" style="558" customWidth="1"/>
    <col min="5" max="5" width="12.140625" style="558" customWidth="1"/>
    <col min="6" max="6" width="12" style="558" customWidth="1"/>
    <col min="7" max="8" width="9.28515625" style="558" customWidth="1"/>
    <col min="9" max="16384" width="9.28515625" style="558"/>
  </cols>
  <sheetData>
    <row r="1" spans="1:9" ht="11.25" customHeight="1">
      <c r="A1" s="556" t="s">
        <v>346</v>
      </c>
      <c r="B1" s="557"/>
      <c r="C1" s="557"/>
      <c r="D1" s="557"/>
      <c r="E1" s="557"/>
      <c r="F1" s="557"/>
    </row>
    <row r="2" spans="1:9" ht="30" customHeight="1">
      <c r="A2" s="559" t="s">
        <v>243</v>
      </c>
      <c r="B2" s="560" t="s">
        <v>347</v>
      </c>
      <c r="C2" s="559" t="s">
        <v>336</v>
      </c>
      <c r="D2" s="561" t="s">
        <v>348</v>
      </c>
      <c r="E2" s="562" t="s">
        <v>349</v>
      </c>
      <c r="F2" s="562" t="s">
        <v>350</v>
      </c>
      <c r="G2" s="563"/>
      <c r="H2" s="564"/>
      <c r="I2" s="565"/>
    </row>
    <row r="3" spans="1:9" ht="61.8" customHeight="1">
      <c r="A3" s="568" t="s">
        <v>441</v>
      </c>
      <c r="B3" s="568" t="s">
        <v>720</v>
      </c>
      <c r="C3" s="566" t="s">
        <v>721</v>
      </c>
      <c r="D3" s="567" t="s">
        <v>722</v>
      </c>
      <c r="E3" s="568">
        <v>15.21</v>
      </c>
      <c r="F3" s="568"/>
      <c r="G3" s="569"/>
      <c r="H3" s="569"/>
      <c r="I3" s="573"/>
    </row>
    <row r="4" spans="1:9" ht="70.8" customHeight="1">
      <c r="A4" s="568" t="s">
        <v>584</v>
      </c>
      <c r="B4" s="568" t="s">
        <v>723</v>
      </c>
      <c r="C4" s="566" t="s">
        <v>724</v>
      </c>
      <c r="D4" s="567" t="s">
        <v>725</v>
      </c>
      <c r="E4" s="568">
        <v>23.08</v>
      </c>
      <c r="F4" s="568"/>
      <c r="G4" s="569"/>
      <c r="H4" s="569"/>
      <c r="I4" s="573"/>
    </row>
    <row r="5" spans="1:9">
      <c r="E5" s="575"/>
      <c r="F5" s="575"/>
    </row>
    <row r="6" spans="1:9">
      <c r="E6" s="575"/>
      <c r="F6" s="575"/>
    </row>
    <row r="7" spans="1:9">
      <c r="E7" s="575"/>
      <c r="F7" s="575"/>
    </row>
    <row r="8" spans="1:9">
      <c r="E8" s="575"/>
      <c r="F8" s="575"/>
    </row>
    <row r="9" spans="1:9">
      <c r="E9" s="575"/>
      <c r="F9" s="575"/>
    </row>
    <row r="10" spans="1:9">
      <c r="E10" s="575"/>
      <c r="F10" s="575"/>
    </row>
    <row r="11" spans="1:9">
      <c r="E11" s="575"/>
      <c r="F11" s="575"/>
    </row>
    <row r="12" spans="1:9">
      <c r="E12" s="575"/>
      <c r="F12" s="575"/>
    </row>
    <row r="13" spans="1:9">
      <c r="E13" s="575"/>
      <c r="F13" s="575"/>
    </row>
    <row r="14" spans="1:9">
      <c r="E14" s="575"/>
      <c r="F14" s="575"/>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row r="37" spans="5:6">
      <c r="E37" s="575"/>
      <c r="F37" s="575"/>
    </row>
    <row r="38" spans="5:6">
      <c r="E38" s="575"/>
      <c r="F38" s="57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8"/>
  <sheetViews>
    <sheetView showGridLines="0" view="pageBreakPreview" zoomScaleNormal="100" zoomScaleSheetLayoutView="100" zoomScalePageLayoutView="85" workbookViewId="0">
      <selection activeCell="B14" sqref="B14:M14"/>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85546875" style="46" customWidth="1"/>
    <col min="14" max="14" width="9.28515625" style="276"/>
    <col min="15" max="16" width="10.140625" style="276" bestFit="1" customWidth="1"/>
    <col min="17" max="17" width="14.7109375" style="276" customWidth="1"/>
    <col min="18" max="18" width="9.28515625" style="276"/>
    <col min="19" max="22" width="9.28515625" style="665"/>
    <col min="23" max="23" width="9.28515625" style="296"/>
    <col min="24" max="16384" width="9.28515625" style="46"/>
  </cols>
  <sheetData>
    <row r="1" spans="1:17" ht="27.75" customHeight="1">
      <c r="A1" s="830" t="s">
        <v>22</v>
      </c>
      <c r="B1" s="830"/>
      <c r="C1" s="830"/>
      <c r="D1" s="830"/>
      <c r="E1" s="830"/>
      <c r="F1" s="830"/>
      <c r="G1" s="830"/>
      <c r="H1" s="830"/>
      <c r="I1" s="830"/>
      <c r="J1" s="830"/>
      <c r="K1" s="830"/>
      <c r="L1" s="830"/>
      <c r="M1" s="830"/>
      <c r="N1" s="671"/>
      <c r="O1" s="671"/>
      <c r="P1" s="671"/>
      <c r="Q1" s="671"/>
    </row>
    <row r="2" spans="1:17" ht="11.25" customHeight="1">
      <c r="A2" s="41"/>
      <c r="B2" s="40"/>
      <c r="C2" s="65"/>
      <c r="D2" s="65"/>
      <c r="E2" s="65"/>
      <c r="F2" s="65"/>
      <c r="G2" s="65"/>
      <c r="H2" s="65"/>
      <c r="I2" s="65"/>
      <c r="J2" s="65"/>
      <c r="K2" s="40"/>
      <c r="L2" s="40"/>
      <c r="M2" s="40"/>
      <c r="N2" s="671"/>
      <c r="O2" s="671"/>
      <c r="P2" s="671"/>
      <c r="Q2" s="671"/>
    </row>
    <row r="3" spans="1:17" ht="21.75" customHeight="1">
      <c r="A3" s="40"/>
      <c r="B3" s="42"/>
      <c r="C3" s="837" t="str">
        <f>+UPPER(Q4)&amp;" "&amp;Q5</f>
        <v>JULIO 2023</v>
      </c>
      <c r="D3" s="837"/>
      <c r="E3" s="837"/>
      <c r="F3" s="837"/>
      <c r="G3" s="837"/>
      <c r="H3" s="837"/>
      <c r="I3" s="837"/>
      <c r="J3" s="837"/>
      <c r="K3" s="837"/>
      <c r="L3" s="40"/>
      <c r="M3" s="40"/>
      <c r="N3" s="671"/>
      <c r="O3" s="671"/>
      <c r="P3" s="671"/>
      <c r="Q3" s="671"/>
    </row>
    <row r="4" spans="1:17" ht="11.25" customHeight="1">
      <c r="A4" s="40"/>
      <c r="B4" s="42"/>
      <c r="C4" s="40"/>
      <c r="D4" s="40"/>
      <c r="E4" s="40"/>
      <c r="F4" s="40"/>
      <c r="G4" s="40"/>
      <c r="H4" s="40"/>
      <c r="I4" s="40"/>
      <c r="J4" s="40"/>
      <c r="K4" s="40"/>
      <c r="L4" s="40"/>
      <c r="M4" s="40"/>
      <c r="N4" s="672"/>
      <c r="O4" s="672"/>
      <c r="P4" s="671" t="s">
        <v>205</v>
      </c>
      <c r="Q4" s="673" t="s">
        <v>619</v>
      </c>
    </row>
    <row r="5" spans="1:17" ht="11.25" customHeight="1">
      <c r="A5" s="47"/>
      <c r="B5" s="48"/>
      <c r="C5" s="49"/>
      <c r="D5" s="49"/>
      <c r="E5" s="49"/>
      <c r="F5" s="49"/>
      <c r="G5" s="49"/>
      <c r="H5" s="49"/>
      <c r="I5" s="49"/>
      <c r="J5" s="49"/>
      <c r="K5" s="49"/>
      <c r="L5" s="49"/>
      <c r="M5" s="40"/>
      <c r="N5" s="672"/>
      <c r="O5" s="672"/>
      <c r="P5" s="671" t="s">
        <v>206</v>
      </c>
      <c r="Q5" s="672">
        <v>2023</v>
      </c>
    </row>
    <row r="6" spans="1:17" ht="17.25" customHeight="1">
      <c r="A6" s="60" t="s">
        <v>381</v>
      </c>
      <c r="B6" s="40"/>
      <c r="C6" s="40"/>
      <c r="D6" s="40"/>
      <c r="E6" s="40"/>
      <c r="F6" s="40"/>
      <c r="G6" s="40"/>
      <c r="H6" s="40"/>
      <c r="I6" s="40"/>
      <c r="J6" s="40"/>
      <c r="K6" s="40"/>
      <c r="L6" s="40"/>
      <c r="M6" s="40"/>
      <c r="N6" s="671"/>
      <c r="O6" s="671"/>
      <c r="P6" s="671"/>
      <c r="Q6" s="674">
        <v>45108</v>
      </c>
    </row>
    <row r="7" spans="1:17" ht="11.25" customHeight="1">
      <c r="A7" s="40"/>
      <c r="B7" s="40"/>
      <c r="C7" s="40"/>
      <c r="D7" s="40"/>
      <c r="E7" s="40"/>
      <c r="F7" s="40"/>
      <c r="G7" s="40"/>
      <c r="H7" s="40"/>
      <c r="I7" s="40"/>
      <c r="J7" s="40"/>
      <c r="K7" s="40"/>
      <c r="L7" s="40"/>
      <c r="M7" s="40"/>
      <c r="N7" s="671"/>
      <c r="O7" s="671"/>
      <c r="P7" s="671"/>
      <c r="Q7" s="671">
        <v>31</v>
      </c>
    </row>
    <row r="8" spans="1:17" ht="11.25" customHeight="1">
      <c r="A8" s="43"/>
      <c r="B8" s="43"/>
      <c r="C8" s="43"/>
      <c r="D8" s="43"/>
      <c r="E8" s="43"/>
      <c r="F8" s="43"/>
      <c r="G8" s="43"/>
      <c r="H8" s="43"/>
      <c r="I8" s="43"/>
      <c r="J8" s="43"/>
      <c r="K8" s="43"/>
      <c r="L8" s="43"/>
      <c r="M8" s="43"/>
      <c r="N8" s="675"/>
      <c r="O8" s="675"/>
      <c r="P8" s="675"/>
      <c r="Q8" s="675"/>
    </row>
    <row r="9" spans="1:17" ht="14.25" customHeight="1">
      <c r="A9" s="40" t="str">
        <f>"1.1. Producción de energía eléctrica en "&amp;LOWER(Q4)&amp;" "&amp;Q5&amp;" en comparación al mismo mes del año anterior"</f>
        <v>1.1. Producción de energía eléctrica en julio 2023 en comparación al mismo mes del año anterior</v>
      </c>
      <c r="B9" s="40"/>
      <c r="C9" s="40"/>
      <c r="D9" s="40"/>
      <c r="E9" s="40"/>
      <c r="F9" s="40"/>
      <c r="G9" s="40"/>
      <c r="H9" s="40"/>
      <c r="I9" s="40"/>
      <c r="J9" s="40"/>
      <c r="K9" s="40"/>
      <c r="L9" s="40"/>
      <c r="M9" s="40"/>
      <c r="N9" s="671"/>
      <c r="O9" s="671"/>
      <c r="P9" s="671"/>
      <c r="Q9" s="671"/>
    </row>
    <row r="10" spans="1:17" ht="11.25" customHeight="1">
      <c r="A10" s="47"/>
      <c r="B10" s="44"/>
      <c r="C10" s="44"/>
      <c r="D10" s="44"/>
      <c r="E10" s="44"/>
      <c r="F10" s="44"/>
      <c r="G10" s="44"/>
      <c r="H10" s="44"/>
      <c r="I10" s="44"/>
      <c r="J10" s="44"/>
      <c r="K10" s="44"/>
      <c r="L10" s="44"/>
      <c r="M10" s="44"/>
      <c r="N10" s="672"/>
      <c r="O10" s="672"/>
      <c r="P10" s="672"/>
      <c r="Q10" s="672"/>
    </row>
    <row r="11" spans="1:17" ht="11.25" customHeight="1">
      <c r="A11" s="50"/>
      <c r="B11" s="50"/>
      <c r="C11" s="50"/>
      <c r="D11" s="50"/>
      <c r="E11" s="50"/>
      <c r="F11" s="50"/>
      <c r="G11" s="50"/>
      <c r="H11" s="50"/>
      <c r="I11" s="50"/>
      <c r="J11" s="50"/>
      <c r="K11" s="50"/>
      <c r="L11" s="50"/>
      <c r="M11" s="50"/>
      <c r="N11" s="676"/>
      <c r="O11" s="676"/>
      <c r="P11" s="676"/>
      <c r="Q11" s="676"/>
    </row>
    <row r="12" spans="1:17" ht="27" customHeight="1">
      <c r="A12" s="62" t="s">
        <v>23</v>
      </c>
      <c r="B12" s="835" t="s">
        <v>620</v>
      </c>
      <c r="C12" s="835"/>
      <c r="D12" s="835"/>
      <c r="E12" s="835"/>
      <c r="F12" s="835"/>
      <c r="G12" s="835"/>
      <c r="H12" s="835"/>
      <c r="I12" s="835"/>
      <c r="J12" s="835"/>
      <c r="K12" s="835"/>
      <c r="L12" s="835"/>
      <c r="M12" s="835"/>
      <c r="N12" s="672"/>
      <c r="O12" s="672"/>
      <c r="P12" s="672"/>
      <c r="Q12" s="672"/>
    </row>
    <row r="13" spans="1:17" ht="12.75" customHeight="1">
      <c r="A13" s="40"/>
      <c r="B13" s="64"/>
      <c r="C13" s="64"/>
      <c r="D13" s="64"/>
      <c r="E13" s="64"/>
      <c r="F13" s="64"/>
      <c r="G13" s="64"/>
      <c r="H13" s="64"/>
      <c r="I13" s="64"/>
      <c r="J13" s="64"/>
      <c r="K13" s="64"/>
      <c r="L13" s="64"/>
      <c r="M13" s="44"/>
      <c r="N13" s="672"/>
      <c r="O13" s="672"/>
      <c r="P13" s="672"/>
      <c r="Q13" s="672"/>
    </row>
    <row r="14" spans="1:17" ht="28.5" customHeight="1">
      <c r="A14" s="62" t="s">
        <v>23</v>
      </c>
      <c r="B14" s="835" t="s">
        <v>621</v>
      </c>
      <c r="C14" s="835"/>
      <c r="D14" s="835"/>
      <c r="E14" s="835"/>
      <c r="F14" s="835"/>
      <c r="G14" s="835"/>
      <c r="H14" s="835"/>
      <c r="I14" s="835"/>
      <c r="J14" s="835"/>
      <c r="K14" s="835"/>
      <c r="L14" s="835"/>
      <c r="M14" s="835"/>
      <c r="N14" s="672"/>
      <c r="O14" s="672"/>
      <c r="P14" s="672"/>
      <c r="Q14" s="672"/>
    </row>
    <row r="15" spans="1:17" ht="15" customHeight="1">
      <c r="A15" s="63"/>
      <c r="B15" s="64"/>
      <c r="C15" s="64"/>
      <c r="D15" s="64"/>
      <c r="E15" s="64"/>
      <c r="F15" s="64"/>
      <c r="G15" s="64"/>
      <c r="H15" s="64"/>
      <c r="I15" s="64"/>
      <c r="J15" s="64"/>
      <c r="K15" s="64"/>
      <c r="L15" s="64"/>
      <c r="M15" s="44"/>
      <c r="N15" s="672"/>
      <c r="O15" s="672"/>
      <c r="P15" s="672"/>
      <c r="Q15" s="672"/>
    </row>
    <row r="16" spans="1:17" ht="59.25" customHeight="1">
      <c r="A16" s="62" t="s">
        <v>23</v>
      </c>
      <c r="B16" s="835" t="s">
        <v>622</v>
      </c>
      <c r="C16" s="835"/>
      <c r="D16" s="835"/>
      <c r="E16" s="835"/>
      <c r="F16" s="835"/>
      <c r="G16" s="835"/>
      <c r="H16" s="835"/>
      <c r="I16" s="835"/>
      <c r="J16" s="835"/>
      <c r="K16" s="835"/>
      <c r="L16" s="835"/>
      <c r="M16" s="835"/>
      <c r="N16" s="672"/>
      <c r="O16" s="672"/>
      <c r="P16" s="672"/>
      <c r="Q16" s="672"/>
    </row>
    <row r="17" spans="1:18" ht="17.25" customHeight="1">
      <c r="A17" s="44"/>
      <c r="B17" s="44"/>
      <c r="C17" s="44"/>
      <c r="D17" s="44"/>
      <c r="E17" s="44"/>
      <c r="F17" s="44"/>
      <c r="G17" s="44"/>
      <c r="H17" s="44"/>
      <c r="I17" s="44"/>
      <c r="J17" s="44"/>
      <c r="K17" s="44"/>
      <c r="L17" s="44"/>
      <c r="M17" s="44"/>
      <c r="N17" s="672"/>
      <c r="O17" s="672"/>
      <c r="P17" s="672"/>
      <c r="Q17" s="672"/>
    </row>
    <row r="18" spans="1:18" ht="25.5" customHeight="1">
      <c r="A18" s="61" t="s">
        <v>23</v>
      </c>
      <c r="B18" s="834" t="s">
        <v>623</v>
      </c>
      <c r="C18" s="834"/>
      <c r="D18" s="834"/>
      <c r="E18" s="834"/>
      <c r="F18" s="834"/>
      <c r="G18" s="834"/>
      <c r="H18" s="834"/>
      <c r="I18" s="834"/>
      <c r="J18" s="834"/>
      <c r="K18" s="834"/>
      <c r="L18" s="834"/>
      <c r="M18" s="834"/>
      <c r="N18" s="672"/>
      <c r="O18" s="672"/>
      <c r="P18" s="672"/>
      <c r="Q18" s="672"/>
    </row>
    <row r="19" spans="1:18" ht="42.75" customHeight="1">
      <c r="A19" s="44"/>
      <c r="B19" s="44"/>
      <c r="C19" s="44"/>
      <c r="D19" s="44"/>
      <c r="E19" s="44"/>
      <c r="F19" s="44"/>
      <c r="G19" s="44"/>
      <c r="H19" s="44"/>
      <c r="I19" s="44"/>
      <c r="J19" s="44"/>
      <c r="K19" s="44"/>
      <c r="L19" s="44"/>
      <c r="M19" s="44"/>
      <c r="N19" s="672"/>
      <c r="O19" s="672"/>
      <c r="P19" s="672"/>
      <c r="Q19" s="672"/>
    </row>
    <row r="20" spans="1:18" ht="15.75" customHeight="1">
      <c r="A20" s="44"/>
      <c r="B20" s="44"/>
      <c r="C20" s="836" t="str">
        <f>+UPPER(Q4)&amp;" "&amp;Q5</f>
        <v>JULIO 2023</v>
      </c>
      <c r="D20" s="836"/>
      <c r="E20" s="836"/>
      <c r="F20" s="40"/>
      <c r="G20" s="40"/>
      <c r="H20" s="40"/>
      <c r="I20" s="836" t="str">
        <f>+UPPER(Q4)&amp;" "&amp;Q5-1</f>
        <v>JULIO 2022</v>
      </c>
      <c r="J20" s="836"/>
      <c r="K20" s="836"/>
      <c r="L20" s="836"/>
      <c r="M20" s="44"/>
      <c r="Q20" s="672"/>
    </row>
    <row r="21" spans="1:18" ht="11.25" customHeight="1">
      <c r="A21" s="44"/>
      <c r="B21" s="44"/>
      <c r="C21" s="44"/>
      <c r="D21" s="44"/>
      <c r="E21" s="44"/>
      <c r="F21" s="44"/>
      <c r="G21" s="44"/>
      <c r="H21" s="44"/>
      <c r="I21" s="44"/>
      <c r="J21" s="44"/>
      <c r="K21" s="44"/>
      <c r="L21" s="44"/>
      <c r="M21" s="44"/>
      <c r="Q21" s="672"/>
    </row>
    <row r="22" spans="1:18" ht="11.25" customHeight="1">
      <c r="A22" s="51"/>
      <c r="B22" s="52"/>
      <c r="C22" s="52"/>
      <c r="D22" s="52"/>
      <c r="E22" s="52"/>
      <c r="F22" s="52"/>
      <c r="G22" s="52"/>
      <c r="H22" s="52"/>
      <c r="I22" s="52"/>
      <c r="J22" s="52"/>
      <c r="K22" s="52"/>
      <c r="L22" s="52"/>
      <c r="M22" s="52"/>
      <c r="N22" s="677" t="s">
        <v>30</v>
      </c>
      <c r="O22" s="678"/>
      <c r="P22" s="678"/>
    </row>
    <row r="23" spans="1:18" ht="11.25" customHeight="1">
      <c r="A23" s="51"/>
      <c r="B23" s="52"/>
      <c r="C23" s="52"/>
      <c r="D23" s="52"/>
      <c r="E23" s="52"/>
      <c r="F23" s="52"/>
      <c r="G23" s="52"/>
      <c r="H23" s="52"/>
      <c r="I23" s="52"/>
      <c r="J23" s="52"/>
      <c r="K23" s="52"/>
      <c r="L23" s="52"/>
      <c r="M23" s="52"/>
      <c r="N23" s="677" t="s">
        <v>24</v>
      </c>
      <c r="O23" s="815">
        <v>1675.4177321</v>
      </c>
      <c r="P23" s="815">
        <v>1978.5844673274994</v>
      </c>
      <c r="Q23" s="679"/>
    </row>
    <row r="24" spans="1:18" ht="11.25" customHeight="1">
      <c r="A24" s="44"/>
      <c r="B24" s="44"/>
      <c r="C24" s="44"/>
      <c r="D24" s="44"/>
      <c r="E24" s="43"/>
      <c r="F24" s="44"/>
      <c r="G24" s="44"/>
      <c r="H24" s="44"/>
      <c r="I24" s="44"/>
      <c r="J24" s="44"/>
      <c r="K24" s="44"/>
      <c r="L24" s="44"/>
      <c r="M24" s="43"/>
      <c r="N24" s="679" t="s">
        <v>25</v>
      </c>
      <c r="O24" s="816">
        <v>2489.8786573650004</v>
      </c>
      <c r="P24" s="816">
        <v>2438.2193689624996</v>
      </c>
      <c r="Q24" s="680"/>
      <c r="R24" s="680"/>
    </row>
    <row r="25" spans="1:18" ht="11.25" customHeight="1">
      <c r="A25" s="44"/>
      <c r="B25" s="44"/>
      <c r="C25" s="44"/>
      <c r="D25" s="44"/>
      <c r="E25" s="44"/>
      <c r="F25" s="44"/>
      <c r="G25" s="44"/>
      <c r="H25" s="44"/>
      <c r="I25" s="44"/>
      <c r="J25" s="53"/>
      <c r="K25" s="53"/>
      <c r="L25" s="44"/>
      <c r="M25" s="44"/>
      <c r="N25" s="679" t="s">
        <v>26</v>
      </c>
      <c r="O25" s="816">
        <v>0</v>
      </c>
      <c r="P25" s="816">
        <v>11.745412630000001</v>
      </c>
      <c r="Q25" s="677"/>
    </row>
    <row r="26" spans="1:18" ht="11.25" customHeight="1">
      <c r="A26" s="44"/>
      <c r="B26" s="44"/>
      <c r="C26" s="44"/>
      <c r="D26" s="44"/>
      <c r="E26" s="44"/>
      <c r="F26" s="44"/>
      <c r="G26" s="44"/>
      <c r="H26" s="44"/>
      <c r="I26" s="44"/>
      <c r="J26" s="53"/>
      <c r="K26" s="53"/>
      <c r="L26" s="44"/>
      <c r="M26" s="44"/>
      <c r="N26" s="677" t="s">
        <v>538</v>
      </c>
      <c r="O26" s="815">
        <v>350.04526685249994</v>
      </c>
      <c r="P26" s="815">
        <v>2.0984974825</v>
      </c>
      <c r="Q26" s="677"/>
    </row>
    <row r="27" spans="1:18" ht="11.25" customHeight="1">
      <c r="A27" s="44"/>
      <c r="B27" s="44"/>
      <c r="C27" s="44"/>
      <c r="D27" s="44"/>
      <c r="E27" s="44"/>
      <c r="F27" s="44"/>
      <c r="G27" s="44"/>
      <c r="H27" s="44"/>
      <c r="I27" s="44"/>
      <c r="J27" s="53"/>
      <c r="K27" s="44"/>
      <c r="L27" s="44"/>
      <c r="M27" s="44"/>
      <c r="N27" s="677" t="s">
        <v>27</v>
      </c>
      <c r="O27" s="815">
        <v>32.969126824999996</v>
      </c>
      <c r="P27" s="815">
        <v>34.832015869999992</v>
      </c>
      <c r="Q27" s="677"/>
    </row>
    <row r="28" spans="1:18" ht="11.25" customHeight="1">
      <c r="A28" s="44"/>
      <c r="B28" s="44"/>
      <c r="C28" s="53"/>
      <c r="D28" s="53"/>
      <c r="E28" s="53"/>
      <c r="F28" s="53"/>
      <c r="G28" s="53"/>
      <c r="H28" s="53"/>
      <c r="I28" s="53"/>
      <c r="J28" s="53"/>
      <c r="K28" s="53"/>
      <c r="L28" s="44"/>
      <c r="M28" s="44"/>
      <c r="N28" s="677" t="s">
        <v>28</v>
      </c>
      <c r="O28" s="815">
        <v>188.24767344500003</v>
      </c>
      <c r="P28" s="815">
        <v>172.62005511000001</v>
      </c>
      <c r="Q28" s="677"/>
    </row>
    <row r="29" spans="1:18" ht="11.25" customHeight="1">
      <c r="A29" s="44"/>
      <c r="B29" s="44"/>
      <c r="C29" s="53"/>
      <c r="D29" s="53"/>
      <c r="E29" s="53"/>
      <c r="F29" s="53"/>
      <c r="G29" s="53"/>
      <c r="H29" s="53"/>
      <c r="I29" s="53"/>
      <c r="J29" s="53"/>
      <c r="K29" s="53"/>
      <c r="L29" s="44"/>
      <c r="M29" s="44"/>
      <c r="N29" s="677" t="s">
        <v>29</v>
      </c>
      <c r="O29" s="815">
        <v>69.0593317525</v>
      </c>
      <c r="P29" s="815">
        <v>58.945296802500003</v>
      </c>
      <c r="Q29" s="677"/>
    </row>
    <row r="30" spans="1:18" ht="11.25" customHeight="1">
      <c r="A30" s="44"/>
      <c r="B30" s="44"/>
      <c r="C30" s="53"/>
      <c r="D30" s="53"/>
      <c r="E30" s="53"/>
      <c r="F30" s="53"/>
      <c r="G30" s="53"/>
      <c r="H30" s="53"/>
      <c r="I30" s="53"/>
      <c r="J30" s="53"/>
      <c r="K30" s="53"/>
      <c r="L30" s="44"/>
      <c r="M30" s="44"/>
      <c r="N30" s="677"/>
      <c r="O30" s="677"/>
      <c r="P30" s="677"/>
      <c r="Q30" s="677"/>
    </row>
    <row r="31" spans="1:18" ht="11.25" customHeight="1">
      <c r="A31" s="44"/>
      <c r="B31" s="44"/>
      <c r="C31" s="53"/>
      <c r="D31" s="53"/>
      <c r="E31" s="53"/>
      <c r="F31" s="53"/>
      <c r="G31" s="53"/>
      <c r="H31" s="53"/>
      <c r="I31" s="53"/>
      <c r="J31" s="53"/>
      <c r="K31" s="53"/>
      <c r="L31" s="44"/>
      <c r="M31" s="44"/>
      <c r="O31" s="620"/>
      <c r="P31" s="620"/>
      <c r="Q31" s="681"/>
    </row>
    <row r="32" spans="1:18" ht="11.25" customHeight="1">
      <c r="A32" s="44"/>
      <c r="B32" s="44"/>
      <c r="C32" s="53"/>
      <c r="D32" s="53"/>
      <c r="E32" s="53"/>
      <c r="F32" s="53"/>
      <c r="G32" s="53"/>
      <c r="H32" s="53"/>
      <c r="I32" s="53"/>
      <c r="J32" s="53"/>
      <c r="K32" s="53"/>
      <c r="L32" s="44"/>
      <c r="M32" s="44"/>
      <c r="Q32" s="672"/>
    </row>
    <row r="33" spans="1:17" ht="11.25" customHeight="1">
      <c r="A33" s="44"/>
      <c r="B33" s="44"/>
      <c r="C33" s="53"/>
      <c r="D33" s="53"/>
      <c r="E33" s="53"/>
      <c r="F33" s="53"/>
      <c r="G33" s="53"/>
      <c r="H33" s="53"/>
      <c r="I33" s="53"/>
      <c r="J33" s="53"/>
      <c r="K33" s="53"/>
      <c r="L33" s="44"/>
      <c r="M33" s="44"/>
      <c r="Q33" s="672"/>
    </row>
    <row r="34" spans="1:17" ht="11.25" customHeight="1">
      <c r="A34" s="44"/>
      <c r="B34" s="44"/>
      <c r="C34" s="53"/>
      <c r="D34" s="53"/>
      <c r="E34" s="53"/>
      <c r="F34" s="53"/>
      <c r="G34" s="53"/>
      <c r="H34" s="53"/>
      <c r="I34" s="53"/>
      <c r="J34" s="53"/>
      <c r="K34" s="53"/>
      <c r="L34" s="44"/>
      <c r="M34" s="44"/>
      <c r="Q34" s="672"/>
    </row>
    <row r="35" spans="1:17" ht="11.25" customHeight="1">
      <c r="A35" s="54"/>
      <c r="B35" s="54"/>
      <c r="C35" s="55"/>
      <c r="D35" s="55"/>
      <c r="E35" s="55"/>
      <c r="F35" s="55"/>
      <c r="G35" s="55"/>
      <c r="H35" s="55"/>
      <c r="I35" s="55"/>
      <c r="J35" s="54"/>
      <c r="K35" s="54"/>
      <c r="L35" s="54"/>
      <c r="M35" s="54"/>
      <c r="Q35" s="672"/>
    </row>
    <row r="36" spans="1:17" ht="11.25" customHeight="1">
      <c r="A36" s="54"/>
      <c r="B36" s="54"/>
      <c r="C36" s="55"/>
      <c r="D36" s="55"/>
      <c r="E36" s="55"/>
      <c r="F36" s="55"/>
      <c r="G36" s="55"/>
      <c r="H36" s="55"/>
      <c r="I36" s="55"/>
      <c r="J36" s="54"/>
      <c r="K36" s="54"/>
      <c r="L36" s="54"/>
      <c r="M36" s="54"/>
      <c r="Q36" s="672"/>
    </row>
    <row r="37" spans="1:17" ht="11.25" customHeight="1">
      <c r="A37" s="54"/>
      <c r="B37" s="54"/>
      <c r="C37" s="55"/>
      <c r="D37" s="55"/>
      <c r="E37" s="55"/>
      <c r="F37" s="55"/>
      <c r="G37" s="55"/>
      <c r="H37" s="55"/>
      <c r="I37" s="55"/>
      <c r="J37" s="54"/>
      <c r="K37" s="54"/>
      <c r="L37" s="54"/>
      <c r="M37" s="54"/>
      <c r="N37" s="672"/>
      <c r="O37" s="672"/>
      <c r="P37" s="672"/>
      <c r="Q37" s="672"/>
    </row>
    <row r="38" spans="1:17" ht="11.25" customHeight="1">
      <c r="A38" s="54"/>
      <c r="B38" s="54"/>
      <c r="C38" s="55"/>
      <c r="D38" s="55"/>
      <c r="E38" s="55"/>
      <c r="F38" s="55"/>
      <c r="G38" s="55"/>
      <c r="H38" s="55"/>
      <c r="I38" s="55"/>
      <c r="J38" s="54"/>
      <c r="K38" s="54"/>
      <c r="L38" s="54"/>
      <c r="M38" s="54"/>
      <c r="N38" s="672"/>
      <c r="O38" s="672"/>
      <c r="P38" s="672"/>
      <c r="Q38" s="672"/>
    </row>
    <row r="39" spans="1:17" ht="11.25" customHeight="1">
      <c r="A39" s="54"/>
      <c r="B39" s="54"/>
      <c r="C39" s="55"/>
      <c r="D39" s="55"/>
      <c r="E39" s="55"/>
      <c r="F39" s="55"/>
      <c r="G39" s="55"/>
      <c r="H39" s="55"/>
      <c r="I39" s="55"/>
      <c r="J39" s="54"/>
      <c r="K39" s="54"/>
      <c r="L39" s="54"/>
      <c r="M39" s="54"/>
      <c r="N39" s="672"/>
      <c r="O39" s="672"/>
      <c r="P39" s="672"/>
      <c r="Q39" s="672"/>
    </row>
    <row r="40" spans="1:17" ht="11.25" customHeight="1">
      <c r="A40" s="54"/>
      <c r="B40" s="54"/>
      <c r="C40" s="55"/>
      <c r="D40" s="55"/>
      <c r="E40" s="55"/>
      <c r="F40" s="55"/>
      <c r="G40" s="55"/>
      <c r="H40" s="55"/>
      <c r="I40" s="55"/>
      <c r="J40" s="54"/>
      <c r="K40" s="54"/>
      <c r="L40" s="54"/>
      <c r="M40" s="54"/>
      <c r="N40" s="672"/>
      <c r="O40" s="672"/>
      <c r="P40" s="672"/>
      <c r="Q40" s="672"/>
    </row>
    <row r="41" spans="1:17" ht="11.25" customHeight="1">
      <c r="A41" s="54"/>
      <c r="B41" s="54"/>
      <c r="C41" s="54"/>
      <c r="D41" s="55"/>
      <c r="E41" s="55"/>
      <c r="F41" s="55"/>
      <c r="G41" s="55"/>
      <c r="H41" s="54"/>
      <c r="I41" s="54"/>
      <c r="J41" s="54"/>
      <c r="K41" s="54"/>
      <c r="L41" s="54"/>
      <c r="M41" s="54"/>
      <c r="N41" s="672"/>
      <c r="O41" s="672"/>
      <c r="P41" s="672"/>
      <c r="Q41" s="672"/>
    </row>
    <row r="42" spans="1:17" ht="11.25" customHeight="1">
      <c r="A42" s="54"/>
      <c r="B42" s="54"/>
      <c r="C42" s="55"/>
      <c r="D42" s="55"/>
      <c r="E42" s="55"/>
      <c r="F42" s="55"/>
      <c r="G42" s="55"/>
      <c r="H42" s="55"/>
      <c r="I42" s="55"/>
      <c r="J42" s="54"/>
      <c r="K42" s="54"/>
      <c r="L42" s="54"/>
      <c r="M42" s="54"/>
      <c r="N42" s="672"/>
      <c r="O42" s="672"/>
      <c r="P42" s="672"/>
      <c r="Q42" s="672"/>
    </row>
    <row r="43" spans="1:17" ht="11.25" customHeight="1">
      <c r="A43" s="54"/>
      <c r="B43" s="54"/>
      <c r="C43" s="55"/>
      <c r="D43" s="55"/>
      <c r="E43" s="55"/>
      <c r="F43" s="55"/>
      <c r="G43" s="55"/>
      <c r="H43" s="55"/>
      <c r="I43" s="55"/>
      <c r="J43" s="54"/>
      <c r="K43" s="54"/>
      <c r="L43" s="54"/>
      <c r="M43" s="54"/>
      <c r="N43" s="672"/>
      <c r="O43" s="672"/>
      <c r="P43" s="672"/>
      <c r="Q43" s="672"/>
    </row>
    <row r="44" spans="1:17" ht="11.25" customHeight="1">
      <c r="A44" s="54"/>
      <c r="B44" s="54"/>
      <c r="C44" s="55"/>
      <c r="D44" s="55"/>
      <c r="E44" s="55"/>
      <c r="F44" s="55"/>
      <c r="G44" s="55"/>
      <c r="H44" s="55"/>
      <c r="I44" s="55"/>
      <c r="J44" s="54"/>
      <c r="K44" s="54"/>
      <c r="L44" s="54"/>
      <c r="M44" s="54"/>
      <c r="N44" s="672"/>
      <c r="O44" s="672"/>
      <c r="P44" s="672"/>
      <c r="Q44" s="672"/>
    </row>
    <row r="45" spans="1:17" ht="11.25" customHeight="1">
      <c r="A45" s="54"/>
      <c r="B45" s="54"/>
      <c r="C45" s="55"/>
      <c r="D45" s="55"/>
      <c r="E45" s="55"/>
      <c r="F45" s="55"/>
      <c r="G45" s="55"/>
      <c r="H45" s="55"/>
      <c r="I45" s="55"/>
      <c r="J45" s="54"/>
      <c r="K45" s="54"/>
      <c r="L45" s="54"/>
      <c r="M45" s="54"/>
      <c r="N45" s="672"/>
      <c r="O45" s="672"/>
      <c r="P45" s="672"/>
      <c r="Q45" s="672"/>
    </row>
    <row r="46" spans="1:17" ht="11.25" customHeight="1">
      <c r="A46" s="54"/>
      <c r="B46" s="54"/>
      <c r="C46" s="54"/>
      <c r="D46" s="54"/>
      <c r="E46" s="54"/>
      <c r="F46" s="54"/>
      <c r="G46" s="54"/>
      <c r="H46" s="54"/>
      <c r="I46" s="54"/>
      <c r="J46" s="54"/>
      <c r="K46" s="54"/>
      <c r="L46" s="54"/>
      <c r="M46" s="54"/>
      <c r="N46" s="672"/>
      <c r="O46" s="672"/>
      <c r="P46" s="672"/>
      <c r="Q46" s="672"/>
    </row>
    <row r="47" spans="1:17" ht="16.5" customHeight="1">
      <c r="A47" s="54"/>
      <c r="B47" s="833" t="str">
        <f>"Total = "&amp;TEXT(ROUND(SUM(O23:O29),2),"0 000,00")&amp;" GWh"</f>
        <v>Total = 4 805,62 GWh</v>
      </c>
      <c r="C47" s="833"/>
      <c r="D47" s="833"/>
      <c r="E47" s="833"/>
      <c r="F47" s="54"/>
      <c r="G47" s="54"/>
      <c r="H47" s="832" t="str">
        <f>"Total = "&amp;TEXT(ROUND(SUM(P23:P29),2),"0 000,00")&amp;" GWh"</f>
        <v>Total = 4 697,05 GWh</v>
      </c>
      <c r="I47" s="832"/>
      <c r="J47" s="832"/>
      <c r="K47" s="832"/>
      <c r="L47" s="54"/>
      <c r="M47" s="54"/>
      <c r="N47" s="672"/>
      <c r="O47" s="672"/>
      <c r="P47" s="672"/>
      <c r="Q47" s="672"/>
    </row>
    <row r="48" spans="1:17" ht="11.25" customHeight="1">
      <c r="H48" s="54"/>
      <c r="I48" s="54"/>
      <c r="J48" s="54"/>
      <c r="K48" s="54"/>
      <c r="L48" s="54"/>
      <c r="M48" s="54"/>
      <c r="N48" s="672"/>
      <c r="O48" s="672"/>
      <c r="P48" s="672"/>
      <c r="Q48" s="672"/>
    </row>
    <row r="49" spans="1:17" ht="11.25" customHeight="1">
      <c r="B49" s="831" t="str">
        <f>"Gráfico 1: Comparación de producción mensual de electricidad en "&amp;Q4&amp;" por tipo de recurso energético."</f>
        <v>Gráfico 1: Comparación de producción mensual de electricidad en julio por tipo de recurso energético.</v>
      </c>
      <c r="C49" s="831"/>
      <c r="D49" s="831"/>
      <c r="E49" s="831"/>
      <c r="F49" s="831"/>
      <c r="G49" s="831"/>
      <c r="H49" s="831"/>
      <c r="I49" s="831"/>
      <c r="J49" s="831"/>
      <c r="K49" s="831"/>
      <c r="L49" s="831"/>
      <c r="M49" s="227"/>
      <c r="N49" s="682"/>
      <c r="O49" s="672"/>
      <c r="P49" s="672"/>
      <c r="Q49" s="672"/>
    </row>
    <row r="50" spans="1:17" ht="11.25" customHeight="1">
      <c r="B50" s="555"/>
      <c r="C50" s="555"/>
      <c r="D50" s="555"/>
      <c r="E50" s="555"/>
      <c r="F50" s="555"/>
      <c r="G50" s="555"/>
      <c r="H50" s="555"/>
      <c r="I50" s="555"/>
      <c r="J50" s="555"/>
      <c r="K50" s="555"/>
      <c r="L50" s="555"/>
      <c r="M50" s="227"/>
      <c r="N50" s="682"/>
      <c r="O50" s="672"/>
      <c r="P50" s="672"/>
      <c r="Q50" s="672"/>
    </row>
    <row r="51" spans="1:17" ht="11.25" customHeight="1">
      <c r="A51" s="54"/>
      <c r="B51" s="54"/>
      <c r="C51" s="45"/>
      <c r="D51" s="45"/>
      <c r="E51" s="54"/>
      <c r="F51" s="54"/>
      <c r="G51" s="54"/>
      <c r="H51" s="54"/>
      <c r="I51" s="54"/>
      <c r="J51" s="54"/>
      <c r="K51" s="54"/>
      <c r="L51" s="54"/>
      <c r="M51" s="54"/>
      <c r="N51" s="672"/>
      <c r="O51" s="672"/>
      <c r="P51" s="672"/>
      <c r="Q51" s="672"/>
    </row>
    <row r="52" spans="1:17" ht="11.25" customHeight="1">
      <c r="A52" s="54"/>
      <c r="B52" s="54"/>
      <c r="C52" s="54"/>
      <c r="D52" s="54"/>
      <c r="E52" s="54"/>
      <c r="F52" s="54"/>
      <c r="G52" s="54"/>
      <c r="H52" s="54"/>
      <c r="I52" s="54"/>
      <c r="J52" s="54"/>
      <c r="K52" s="54"/>
      <c r="L52" s="54"/>
      <c r="M52" s="54"/>
      <c r="N52" s="672"/>
      <c r="O52" s="672"/>
      <c r="P52" s="672"/>
      <c r="Q52" s="672"/>
    </row>
    <row r="53" spans="1:17" ht="11.25" customHeight="1">
      <c r="A53" s="54"/>
      <c r="B53" s="54"/>
      <c r="C53" s="54"/>
      <c r="D53" s="54"/>
      <c r="E53" s="54"/>
      <c r="F53" s="54"/>
      <c r="G53" s="54"/>
      <c r="H53" s="54"/>
      <c r="I53" s="54"/>
      <c r="J53" s="54"/>
      <c r="K53" s="54"/>
      <c r="L53" s="54"/>
      <c r="M53" s="54"/>
      <c r="N53" s="672"/>
      <c r="O53" s="672"/>
      <c r="P53" s="672"/>
      <c r="Q53" s="672"/>
    </row>
    <row r="54" spans="1:17" ht="11.25" customHeight="1">
      <c r="A54" s="54"/>
      <c r="B54" s="54"/>
      <c r="C54" s="54"/>
      <c r="D54" s="54"/>
      <c r="E54" s="54"/>
      <c r="F54" s="54"/>
      <c r="G54" s="54"/>
      <c r="H54" s="54"/>
      <c r="I54" s="54"/>
      <c r="J54" s="54"/>
      <c r="K54" s="54"/>
      <c r="L54" s="54"/>
      <c r="M54" s="54"/>
      <c r="N54" s="672"/>
      <c r="O54" s="672"/>
      <c r="P54" s="672"/>
      <c r="Q54" s="672"/>
    </row>
    <row r="55" spans="1:17" ht="11.25" customHeight="1">
      <c r="A55" s="9"/>
      <c r="B55" s="56"/>
      <c r="C55" s="56"/>
      <c r="D55" s="56"/>
      <c r="E55" s="56"/>
      <c r="F55" s="56"/>
      <c r="G55" s="56"/>
      <c r="H55" s="56"/>
      <c r="I55" s="56"/>
      <c r="J55" s="56"/>
      <c r="K55" s="57"/>
      <c r="L55" s="58"/>
    </row>
    <row r="56" spans="1:17" ht="11.25" customHeight="1">
      <c r="A56" s="9"/>
      <c r="B56" s="56"/>
      <c r="C56" s="56"/>
      <c r="D56" s="56"/>
      <c r="E56" s="56"/>
      <c r="F56" s="56"/>
      <c r="G56" s="56"/>
      <c r="H56" s="56"/>
      <c r="I56" s="56"/>
      <c r="J56" s="56"/>
      <c r="K56" s="57"/>
      <c r="L56" s="58"/>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4">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E16" sqref="E16"/>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7"/>
      <c r="C7" s="25"/>
      <c r="D7" s="25"/>
      <c r="E7" s="25"/>
      <c r="F7" s="25"/>
      <c r="G7" s="25"/>
      <c r="H7" s="25"/>
      <c r="I7" s="25"/>
      <c r="J7" s="25"/>
      <c r="K7" s="25"/>
      <c r="L7" s="25"/>
      <c r="M7" s="25"/>
      <c r="N7" s="25"/>
      <c r="O7" s="25"/>
    </row>
    <row r="8" spans="2:15">
      <c r="B8" s="217"/>
      <c r="C8" s="25"/>
      <c r="D8" s="25"/>
      <c r="E8" s="25"/>
      <c r="F8" s="25"/>
      <c r="G8" s="25"/>
      <c r="H8" s="25"/>
      <c r="I8" s="25"/>
      <c r="J8" s="25"/>
      <c r="K8" s="25"/>
      <c r="L8" s="25"/>
      <c r="M8" s="25"/>
      <c r="N8" s="25"/>
      <c r="O8" s="25"/>
    </row>
    <row r="9" spans="2:15">
      <c r="B9" s="217"/>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5"/>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4365" right="0.33950000000000002" top="1.0236220472440944" bottom="0.62992125984251968" header="0.31496062992125984" footer="0.31496062992125984"/>
  <pageSetup paperSize="9" scale="97" orientation="portrait" r:id="rId1"/>
  <headerFooter>
    <oddFooter>&amp;LCOES, 2023&amp;RDirección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57"/>
  <sheetViews>
    <sheetView showGridLines="0" view="pageBreakPreview" zoomScaleNormal="100" zoomScaleSheetLayoutView="100" zoomScalePageLayoutView="110" workbookViewId="0">
      <selection activeCell="F24" sqref="F24"/>
    </sheetView>
  </sheetViews>
  <sheetFormatPr baseColWidth="10" defaultColWidth="9.28515625" defaultRowHeight="10.199999999999999"/>
  <cols>
    <col min="1" max="1" width="12" style="46" customWidth="1"/>
    <col min="2" max="3" width="11" style="46" customWidth="1"/>
    <col min="4" max="4" width="14.28515625"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665"/>
    <col min="12" max="12" width="18.7109375" style="276" bestFit="1" customWidth="1"/>
    <col min="13" max="14" width="9.28515625" style="276"/>
    <col min="15" max="16" width="9.28515625" style="665"/>
    <col min="17" max="17" width="9.28515625" style="659"/>
    <col min="18" max="16384" width="9.28515625" style="46"/>
  </cols>
  <sheetData>
    <row r="2" spans="1:17" ht="16.5" customHeight="1">
      <c r="A2" s="842" t="s">
        <v>569</v>
      </c>
      <c r="B2" s="842"/>
      <c r="C2" s="842"/>
      <c r="D2" s="842"/>
      <c r="E2" s="842"/>
      <c r="F2" s="842"/>
      <c r="G2" s="842"/>
      <c r="H2" s="842"/>
      <c r="I2" s="842"/>
      <c r="J2" s="842"/>
      <c r="K2" s="683"/>
    </row>
    <row r="3" spans="1:17" ht="12" customHeight="1">
      <c r="A3" s="137"/>
      <c r="B3" s="208"/>
      <c r="C3" s="218"/>
      <c r="D3" s="219"/>
      <c r="E3" s="219"/>
      <c r="F3" s="220"/>
      <c r="G3" s="221"/>
      <c r="H3" s="221"/>
      <c r="I3" s="172"/>
      <c r="J3" s="220"/>
    </row>
    <row r="4" spans="1:17" ht="11.25" customHeight="1">
      <c r="A4" s="187" t="s">
        <v>421</v>
      </c>
      <c r="B4" s="208"/>
      <c r="C4" s="218"/>
      <c r="D4" s="219"/>
      <c r="E4" s="219"/>
      <c r="F4" s="220"/>
      <c r="G4" s="221"/>
      <c r="H4" s="221"/>
      <c r="I4" s="172"/>
      <c r="J4" s="220"/>
      <c r="K4" s="664"/>
    </row>
    <row r="5" spans="1:17" ht="11.25" customHeight="1">
      <c r="A5" s="187"/>
      <c r="B5" s="208"/>
      <c r="C5" s="218"/>
      <c r="D5" s="219"/>
      <c r="E5" s="219"/>
      <c r="F5" s="220"/>
      <c r="G5" s="221"/>
      <c r="H5" s="221"/>
      <c r="I5" s="172"/>
      <c r="J5" s="220"/>
      <c r="K5" s="664"/>
    </row>
    <row r="6" spans="1:17" ht="30" customHeight="1">
      <c r="A6" s="798" t="s">
        <v>555</v>
      </c>
      <c r="B6" s="799" t="s">
        <v>207</v>
      </c>
      <c r="C6" s="799" t="s">
        <v>556</v>
      </c>
      <c r="D6" s="799" t="s">
        <v>557</v>
      </c>
      <c r="E6" s="799" t="s">
        <v>558</v>
      </c>
      <c r="F6" s="800" t="s">
        <v>559</v>
      </c>
      <c r="G6" s="801" t="s">
        <v>560</v>
      </c>
      <c r="H6" s="800" t="s">
        <v>561</v>
      </c>
      <c r="I6" s="801" t="s">
        <v>562</v>
      </c>
      <c r="J6" s="802" t="s">
        <v>573</v>
      </c>
      <c r="K6" s="664"/>
    </row>
    <row r="7" spans="1:17" ht="20.399999999999999" customHeight="1">
      <c r="A7" s="803" t="s">
        <v>565</v>
      </c>
      <c r="B7" s="804" t="s">
        <v>36</v>
      </c>
      <c r="C7" s="804" t="s">
        <v>563</v>
      </c>
      <c r="D7" s="804" t="s">
        <v>566</v>
      </c>
      <c r="E7" s="804" t="s">
        <v>567</v>
      </c>
      <c r="F7" s="805" t="s">
        <v>564</v>
      </c>
      <c r="G7" s="806">
        <v>10.5</v>
      </c>
      <c r="H7" s="827">
        <v>5.4</v>
      </c>
      <c r="I7" s="807">
        <v>5.4</v>
      </c>
      <c r="J7" s="808" t="s">
        <v>568</v>
      </c>
      <c r="K7" s="664"/>
    </row>
    <row r="8" spans="1:17" ht="20.399999999999999" customHeight="1">
      <c r="A8" s="803" t="s">
        <v>85</v>
      </c>
      <c r="B8" s="804" t="s">
        <v>37</v>
      </c>
      <c r="C8" s="804" t="s">
        <v>590</v>
      </c>
      <c r="D8" s="804" t="s">
        <v>591</v>
      </c>
      <c r="E8" s="804" t="s">
        <v>592</v>
      </c>
      <c r="F8" s="805" t="s">
        <v>592</v>
      </c>
      <c r="G8" s="806">
        <v>33</v>
      </c>
      <c r="H8" s="827">
        <v>260</v>
      </c>
      <c r="I8" s="807">
        <v>260</v>
      </c>
      <c r="J8" s="808" t="s">
        <v>593</v>
      </c>
      <c r="K8" s="664"/>
    </row>
    <row r="9" spans="1:17" ht="20.399999999999999" customHeight="1">
      <c r="A9" s="803" t="s">
        <v>565</v>
      </c>
      <c r="B9" s="804" t="s">
        <v>36</v>
      </c>
      <c r="C9" s="804" t="s">
        <v>25</v>
      </c>
      <c r="D9" s="804" t="s">
        <v>575</v>
      </c>
      <c r="E9" s="804" t="s">
        <v>567</v>
      </c>
      <c r="F9" s="805" t="s">
        <v>575</v>
      </c>
      <c r="G9" s="806">
        <v>13.11</v>
      </c>
      <c r="H9" s="827">
        <v>33</v>
      </c>
      <c r="I9" s="807">
        <v>27.954999999999998</v>
      </c>
      <c r="J9" s="808" t="s">
        <v>597</v>
      </c>
      <c r="K9" s="664"/>
    </row>
    <row r="10" spans="1:17" ht="13.8" customHeight="1">
      <c r="A10" s="809" t="s">
        <v>41</v>
      </c>
      <c r="B10" s="810"/>
      <c r="C10" s="810"/>
      <c r="D10" s="810"/>
      <c r="E10" s="811"/>
      <c r="F10" s="812"/>
      <c r="G10" s="813"/>
      <c r="H10" s="828">
        <f>+H7</f>
        <v>5.4</v>
      </c>
      <c r="I10" s="828">
        <f>+I7</f>
        <v>5.4</v>
      </c>
      <c r="J10" s="828"/>
      <c r="K10" s="664"/>
    </row>
    <row r="11" spans="1:17" ht="11.25" customHeight="1">
      <c r="A11" s="187"/>
      <c r="B11" s="208"/>
      <c r="C11" s="218"/>
      <c r="D11" s="219"/>
      <c r="E11" s="219"/>
      <c r="F11" s="220"/>
      <c r="G11" s="221"/>
      <c r="H11" s="221"/>
      <c r="I11" s="172"/>
      <c r="J11" s="220"/>
      <c r="K11" s="664"/>
    </row>
    <row r="12" spans="1:17" s="222" customFormat="1" ht="13.2" customHeight="1">
      <c r="H12" s="641"/>
      <c r="I12" s="641"/>
      <c r="J12" s="642"/>
      <c r="K12" s="664"/>
      <c r="L12" s="658"/>
      <c r="M12" s="658"/>
      <c r="N12" s="658"/>
      <c r="O12" s="685"/>
      <c r="P12" s="685"/>
      <c r="Q12" s="660"/>
    </row>
    <row r="13" spans="1:17" s="222" customFormat="1" ht="10.199999999999999" customHeight="1">
      <c r="A13" s="187" t="s">
        <v>515</v>
      </c>
      <c r="B13" s="550"/>
      <c r="C13" s="550"/>
      <c r="D13" s="550"/>
      <c r="E13" s="550"/>
      <c r="F13" s="551"/>
      <c r="G13" s="552"/>
      <c r="H13" s="553"/>
      <c r="I13" s="553"/>
      <c r="J13" s="554"/>
      <c r="K13" s="664"/>
      <c r="L13" s="658"/>
      <c r="M13" s="658"/>
      <c r="N13" s="658"/>
      <c r="O13" s="685"/>
      <c r="P13" s="685"/>
      <c r="Q13" s="660"/>
    </row>
    <row r="14" spans="1:17" s="222" customFormat="1" ht="10.199999999999999" customHeight="1">
      <c r="A14" s="549"/>
      <c r="B14" s="550"/>
      <c r="C14" s="550"/>
      <c r="D14" s="550"/>
      <c r="E14" s="550"/>
      <c r="F14" s="551"/>
      <c r="G14" s="552"/>
      <c r="H14" s="553"/>
      <c r="I14" s="553"/>
      <c r="J14" s="554"/>
      <c r="K14" s="664"/>
      <c r="L14" s="658"/>
      <c r="M14" s="658"/>
      <c r="N14" s="658"/>
      <c r="O14" s="685"/>
      <c r="P14" s="685"/>
      <c r="Q14" s="660"/>
    </row>
    <row r="15" spans="1:17" s="222" customFormat="1" ht="24" customHeight="1">
      <c r="A15" s="798" t="s">
        <v>555</v>
      </c>
      <c r="B15" s="799" t="s">
        <v>207</v>
      </c>
      <c r="C15" s="799" t="s">
        <v>556</v>
      </c>
      <c r="D15" s="799" t="s">
        <v>557</v>
      </c>
      <c r="E15" s="799" t="s">
        <v>558</v>
      </c>
      <c r="F15" s="800" t="s">
        <v>559</v>
      </c>
      <c r="G15" s="801" t="s">
        <v>560</v>
      </c>
      <c r="H15" s="800" t="s">
        <v>561</v>
      </c>
      <c r="I15" s="801" t="s">
        <v>562</v>
      </c>
      <c r="J15" s="802" t="s">
        <v>574</v>
      </c>
      <c r="K15" s="684"/>
      <c r="L15" s="658"/>
      <c r="M15" s="658"/>
      <c r="N15" s="658"/>
      <c r="O15" s="685"/>
      <c r="P15" s="685"/>
      <c r="Q15" s="660"/>
    </row>
    <row r="16" spans="1:17" s="222" customFormat="1" ht="13.95" customHeight="1">
      <c r="A16" s="803" t="s">
        <v>565</v>
      </c>
      <c r="B16" s="804" t="s">
        <v>36</v>
      </c>
      <c r="C16" s="804" t="s">
        <v>25</v>
      </c>
      <c r="D16" s="804" t="s">
        <v>575</v>
      </c>
      <c r="E16" s="804" t="s">
        <v>567</v>
      </c>
      <c r="F16" s="805" t="s">
        <v>575</v>
      </c>
      <c r="G16" s="806">
        <v>10.5</v>
      </c>
      <c r="H16" s="827">
        <v>33</v>
      </c>
      <c r="I16" s="807">
        <v>27.95523</v>
      </c>
      <c r="J16" s="808" t="s">
        <v>608</v>
      </c>
      <c r="K16" s="684"/>
      <c r="L16" s="658"/>
      <c r="M16" s="658"/>
      <c r="N16" s="658"/>
      <c r="O16" s="685"/>
      <c r="P16" s="685"/>
      <c r="Q16" s="660"/>
    </row>
    <row r="17" spans="1:17" s="222" customFormat="1" ht="13.95" customHeight="1">
      <c r="A17" s="803" t="s">
        <v>586</v>
      </c>
      <c r="B17" s="804" t="s">
        <v>35</v>
      </c>
      <c r="C17" s="804" t="s">
        <v>24</v>
      </c>
      <c r="D17" s="804" t="s">
        <v>24</v>
      </c>
      <c r="E17" s="804" t="s">
        <v>588</v>
      </c>
      <c r="F17" s="805" t="s">
        <v>599</v>
      </c>
      <c r="G17" s="806">
        <v>13</v>
      </c>
      <c r="H17" s="827">
        <v>11.9</v>
      </c>
      <c r="I17" s="807">
        <v>11.9</v>
      </c>
      <c r="J17" s="808" t="s">
        <v>594</v>
      </c>
      <c r="K17" s="684"/>
      <c r="L17" s="658"/>
      <c r="M17" s="658"/>
      <c r="N17" s="658"/>
      <c r="O17" s="685"/>
      <c r="P17" s="685"/>
      <c r="Q17" s="660"/>
    </row>
    <row r="18" spans="1:17" s="222" customFormat="1" ht="13.95" customHeight="1">
      <c r="A18" s="803" t="s">
        <v>85</v>
      </c>
      <c r="B18" s="804" t="s">
        <v>35</v>
      </c>
      <c r="C18" s="804" t="s">
        <v>24</v>
      </c>
      <c r="D18" s="804" t="s">
        <v>24</v>
      </c>
      <c r="E18" s="804" t="s">
        <v>587</v>
      </c>
      <c r="F18" s="805" t="s">
        <v>589</v>
      </c>
      <c r="G18" s="806">
        <v>33</v>
      </c>
      <c r="H18" s="827">
        <v>115</v>
      </c>
      <c r="I18" s="807">
        <v>117.78</v>
      </c>
      <c r="J18" s="808" t="s">
        <v>598</v>
      </c>
      <c r="K18" s="684"/>
      <c r="L18" s="658"/>
      <c r="M18" s="658"/>
      <c r="N18" s="658"/>
      <c r="O18" s="685"/>
      <c r="P18" s="685"/>
      <c r="Q18" s="660"/>
    </row>
    <row r="19" spans="1:17" s="222" customFormat="1" ht="13.95" customHeight="1">
      <c r="A19" s="809" t="s">
        <v>41</v>
      </c>
      <c r="B19" s="810"/>
      <c r="C19" s="810"/>
      <c r="D19" s="810"/>
      <c r="E19" s="811"/>
      <c r="F19" s="812"/>
      <c r="G19" s="813"/>
      <c r="H19" s="828">
        <f>+SUM(H16:H18)</f>
        <v>159.9</v>
      </c>
      <c r="I19" s="828">
        <f>+SUM(I16:I18)</f>
        <v>157.63523000000001</v>
      </c>
      <c r="J19" s="814"/>
      <c r="K19" s="684"/>
      <c r="L19" s="658"/>
      <c r="M19" s="658"/>
      <c r="N19" s="658"/>
      <c r="O19" s="685"/>
      <c r="P19" s="685"/>
      <c r="Q19" s="660"/>
    </row>
    <row r="20" spans="1:17" s="222" customFormat="1" ht="13.95" customHeight="1">
      <c r="A20" s="549"/>
      <c r="B20" s="550"/>
      <c r="C20" s="550"/>
      <c r="D20" s="550"/>
      <c r="E20" s="550"/>
      <c r="F20" s="551"/>
      <c r="G20" s="552"/>
      <c r="H20" s="553"/>
      <c r="I20" s="553"/>
      <c r="J20" s="554"/>
      <c r="K20" s="684"/>
      <c r="L20" s="658"/>
      <c r="M20" s="658"/>
      <c r="N20" s="658"/>
      <c r="O20" s="685"/>
      <c r="P20" s="685"/>
      <c r="Q20" s="660"/>
    </row>
    <row r="21" spans="1:17" s="222" customFormat="1" ht="13.95" customHeight="1">
      <c r="A21" s="549"/>
      <c r="B21" s="550"/>
      <c r="C21" s="550"/>
      <c r="D21" s="550"/>
      <c r="E21" s="550"/>
      <c r="F21" s="551"/>
      <c r="G21" s="552"/>
      <c r="H21" s="553"/>
      <c r="I21" s="553"/>
      <c r="J21" s="554"/>
      <c r="K21" s="684"/>
      <c r="L21" s="658"/>
      <c r="M21" s="658"/>
      <c r="N21" s="658"/>
      <c r="O21" s="685"/>
      <c r="P21" s="685"/>
      <c r="Q21" s="660"/>
    </row>
    <row r="22" spans="1:17" ht="11.25" customHeight="1">
      <c r="A22" s="187" t="s">
        <v>449</v>
      </c>
      <c r="B22" s="132"/>
      <c r="C22" s="223"/>
      <c r="D22" s="132"/>
      <c r="E22" s="132"/>
      <c r="F22" s="132"/>
      <c r="G22" s="132"/>
      <c r="H22" s="132"/>
      <c r="I22" s="132"/>
      <c r="J22" s="132"/>
      <c r="K22" s="686"/>
    </row>
    <row r="23" spans="1:17" ht="11.25" customHeight="1">
      <c r="B23" s="132"/>
      <c r="C23" s="223"/>
      <c r="D23" s="132"/>
      <c r="E23" s="132"/>
      <c r="F23" s="132"/>
      <c r="G23" s="132"/>
      <c r="H23" s="132"/>
      <c r="I23" s="132"/>
      <c r="J23" s="132"/>
      <c r="K23" s="686"/>
    </row>
    <row r="24" spans="1:17" ht="21" customHeight="1">
      <c r="B24" s="840" t="s">
        <v>211</v>
      </c>
      <c r="C24" s="841"/>
      <c r="D24" s="358" t="str">
        <f>UPPER('1. Resumen'!Q4)&amp;" "&amp;'1. Resumen'!Q5</f>
        <v>JULIO 2023</v>
      </c>
      <c r="E24" s="358" t="str">
        <f>UPPER('1. Resumen'!Q4)&amp;" "&amp;'1. Resumen'!Q5-1</f>
        <v>JULIO 2022</v>
      </c>
      <c r="F24" s="359" t="s">
        <v>212</v>
      </c>
      <c r="G24" s="224"/>
      <c r="H24" s="224"/>
      <c r="I24" s="132"/>
      <c r="J24" s="132"/>
    </row>
    <row r="25" spans="1:17" ht="9.75" customHeight="1">
      <c r="B25" s="843" t="s">
        <v>208</v>
      </c>
      <c r="C25" s="844"/>
      <c r="D25" s="349">
        <v>5134.2882475000006</v>
      </c>
      <c r="E25" s="350">
        <v>5260.9382475000002</v>
      </c>
      <c r="F25" s="643">
        <f>+D25/E25-1</f>
        <v>-2.4073652653152422E-2</v>
      </c>
      <c r="G25" s="224"/>
      <c r="H25" s="224"/>
      <c r="I25" s="132"/>
      <c r="J25" s="132"/>
      <c r="K25" s="686"/>
    </row>
    <row r="26" spans="1:17" ht="9.75" customHeight="1">
      <c r="B26" s="845" t="s">
        <v>209</v>
      </c>
      <c r="C26" s="846"/>
      <c r="D26" s="351">
        <v>7528.9944999999998</v>
      </c>
      <c r="E26" s="352">
        <v>7605.0945000000002</v>
      </c>
      <c r="F26" s="644">
        <f>+D26/E26-1</f>
        <v>-1.0006450281452861E-2</v>
      </c>
      <c r="G26" s="225"/>
      <c r="H26" s="225"/>
      <c r="M26" s="661"/>
      <c r="N26" s="661"/>
      <c r="O26" s="687"/>
    </row>
    <row r="27" spans="1:17" ht="9.75" customHeight="1">
      <c r="B27" s="847" t="s">
        <v>210</v>
      </c>
      <c r="C27" s="848"/>
      <c r="D27" s="353">
        <v>672.2</v>
      </c>
      <c r="E27" s="354">
        <v>412.2</v>
      </c>
      <c r="F27" s="645">
        <f>+D27/E27-1</f>
        <v>0.63076176613294543</v>
      </c>
      <c r="G27" s="225"/>
      <c r="H27" s="225"/>
    </row>
    <row r="28" spans="1:17" ht="9.75" customHeight="1">
      <c r="B28" s="849" t="s">
        <v>78</v>
      </c>
      <c r="C28" s="850"/>
      <c r="D28" s="355">
        <v>282.27499999999998</v>
      </c>
      <c r="E28" s="356">
        <v>282.27499999999998</v>
      </c>
      <c r="F28" s="646">
        <f>+D28/E28-1</f>
        <v>0</v>
      </c>
      <c r="G28" s="225"/>
      <c r="H28" s="225"/>
    </row>
    <row r="29" spans="1:17" ht="10.5" customHeight="1">
      <c r="B29" s="838" t="s">
        <v>192</v>
      </c>
      <c r="C29" s="839"/>
      <c r="D29" s="357">
        <f>+SUM(D25:D28)</f>
        <v>13617.757747500002</v>
      </c>
      <c r="E29" s="357">
        <f>+SUM(E25:E28)</f>
        <v>13560.507747500002</v>
      </c>
      <c r="F29" s="647">
        <f>+D29/E29-1</f>
        <v>4.2218183172790802E-3</v>
      </c>
      <c r="G29" s="321"/>
      <c r="H29" s="225"/>
    </row>
    <row r="30" spans="1:17" ht="11.25" customHeight="1">
      <c r="B30" s="267" t="str">
        <f>"Cuadro N° 2: Comparación de la potencia instalada en el SEIN al término de "&amp;'1. Resumen'!Q4&amp;" "&amp;'1. Resumen'!Q5-1&amp;" y "&amp;'1. Resumen'!Q4&amp;" "&amp;'1. Resumen'!Q5</f>
        <v>Cuadro N° 2: Comparación de la potencia instalada en el SEIN al término de julio 2022 y julio 2023</v>
      </c>
      <c r="C30" s="224"/>
      <c r="D30" s="224"/>
      <c r="E30" s="224"/>
      <c r="F30" s="224"/>
      <c r="G30" s="224"/>
      <c r="H30" s="224"/>
      <c r="I30" s="132"/>
      <c r="J30" s="132"/>
      <c r="K30" s="686"/>
    </row>
    <row r="31" spans="1:17" ht="9" customHeight="1">
      <c r="B31" s="267"/>
      <c r="C31" s="224"/>
      <c r="D31" s="224"/>
      <c r="E31" s="224"/>
      <c r="F31" s="224"/>
      <c r="G31" s="224"/>
      <c r="H31" s="224"/>
      <c r="I31" s="132"/>
      <c r="J31" s="132"/>
      <c r="K31" s="686"/>
    </row>
    <row r="32" spans="1:17" ht="9" customHeight="1">
      <c r="B32" s="267"/>
      <c r="C32" s="224"/>
      <c r="D32" s="766"/>
      <c r="E32" s="224"/>
      <c r="F32" s="224"/>
      <c r="G32" s="224"/>
      <c r="H32" s="224"/>
      <c r="I32" s="132"/>
      <c r="J32" s="132"/>
      <c r="K32" s="686"/>
    </row>
    <row r="33" spans="2:11" ht="9" customHeight="1">
      <c r="B33" s="267"/>
      <c r="C33" s="224"/>
      <c r="D33" s="224"/>
      <c r="E33" s="224"/>
      <c r="F33" s="224"/>
      <c r="G33" s="224"/>
      <c r="H33" s="224"/>
      <c r="I33" s="132"/>
      <c r="J33" s="132"/>
      <c r="K33" s="686"/>
    </row>
    <row r="34" spans="2:11" ht="9" customHeight="1">
      <c r="B34" s="267"/>
      <c r="C34" s="224"/>
      <c r="D34" s="224"/>
      <c r="E34" s="224"/>
      <c r="F34" s="224"/>
      <c r="G34" s="224"/>
      <c r="H34" s="224"/>
      <c r="I34" s="132"/>
      <c r="J34" s="132"/>
      <c r="K34" s="686"/>
    </row>
    <row r="35" spans="2:11" ht="9" customHeight="1">
      <c r="B35" s="267"/>
      <c r="C35" s="224"/>
      <c r="D35" s="224"/>
      <c r="E35" s="224"/>
      <c r="F35" s="224"/>
      <c r="G35" s="224"/>
      <c r="H35" s="224"/>
      <c r="I35" s="132"/>
      <c r="J35" s="132"/>
      <c r="K35" s="686"/>
    </row>
    <row r="36" spans="2:11" ht="9" customHeight="1">
      <c r="B36" s="267"/>
      <c r="C36" s="224"/>
      <c r="D36" s="224"/>
      <c r="E36" s="224"/>
      <c r="F36" s="224"/>
      <c r="G36" s="224"/>
      <c r="H36" s="224"/>
      <c r="I36" s="132"/>
      <c r="J36" s="132"/>
      <c r="K36" s="686"/>
    </row>
    <row r="37" spans="2:11" ht="9" customHeight="1">
      <c r="B37" s="267"/>
      <c r="C37" s="224"/>
      <c r="D37" s="224"/>
      <c r="E37" s="224"/>
      <c r="F37" s="224"/>
      <c r="G37" s="224"/>
      <c r="H37" s="224"/>
      <c r="I37" s="132"/>
      <c r="J37" s="132"/>
      <c r="K37" s="686"/>
    </row>
    <row r="38" spans="2:11" ht="9" customHeight="1">
      <c r="B38" s="267"/>
      <c r="C38" s="224"/>
      <c r="D38" s="224"/>
      <c r="E38" s="224"/>
      <c r="F38" s="224"/>
      <c r="G38" s="224"/>
      <c r="H38" s="224"/>
      <c r="I38" s="132"/>
      <c r="J38" s="132"/>
      <c r="K38" s="686"/>
    </row>
    <row r="39" spans="2:11" ht="9" customHeight="1">
      <c r="B39" s="267"/>
      <c r="C39" s="224"/>
      <c r="D39" s="224"/>
      <c r="E39" s="224"/>
      <c r="F39" s="224"/>
      <c r="G39" s="224"/>
      <c r="H39" s="224"/>
      <c r="I39" s="132"/>
      <c r="J39" s="132"/>
      <c r="K39" s="686"/>
    </row>
    <row r="40" spans="2:11" ht="9" customHeight="1">
      <c r="B40" s="267"/>
      <c r="C40" s="224"/>
      <c r="D40" s="224"/>
      <c r="E40" s="224"/>
      <c r="F40" s="224"/>
      <c r="G40" s="224"/>
      <c r="H40" s="224"/>
      <c r="I40" s="132"/>
      <c r="J40" s="132"/>
      <c r="K40" s="686"/>
    </row>
    <row r="41" spans="2:11" ht="9" customHeight="1">
      <c r="B41" s="267"/>
      <c r="C41" s="224"/>
      <c r="D41" s="224"/>
      <c r="E41" s="224"/>
      <c r="F41" s="224"/>
      <c r="G41" s="224"/>
      <c r="H41" s="224"/>
      <c r="I41" s="132"/>
      <c r="J41" s="132"/>
      <c r="K41" s="686"/>
    </row>
    <row r="42" spans="2:11" ht="9" customHeight="1">
      <c r="B42" s="267"/>
      <c r="C42" s="224"/>
      <c r="D42" s="224"/>
      <c r="E42" s="224"/>
      <c r="F42" s="224"/>
      <c r="G42" s="224"/>
      <c r="H42" s="224"/>
      <c r="I42" s="132"/>
      <c r="J42" s="132"/>
      <c r="K42" s="686"/>
    </row>
    <row r="43" spans="2:11" ht="9" customHeight="1">
      <c r="B43" s="267"/>
      <c r="C43" s="224"/>
      <c r="D43" s="224"/>
      <c r="E43" s="224"/>
      <c r="F43" s="224"/>
      <c r="G43" s="224"/>
      <c r="H43" s="224"/>
      <c r="I43" s="132"/>
      <c r="J43" s="132"/>
      <c r="K43" s="686"/>
    </row>
    <row r="44" spans="2:11" ht="9" customHeight="1">
      <c r="B44" s="267"/>
      <c r="C44" s="224"/>
      <c r="D44" s="224"/>
      <c r="E44" s="224"/>
      <c r="F44" s="224"/>
      <c r="G44" s="224"/>
      <c r="H44" s="224"/>
      <c r="I44" s="132"/>
      <c r="J44" s="132"/>
      <c r="K44" s="686"/>
    </row>
    <row r="45" spans="2:11" ht="9" customHeight="1">
      <c r="B45" s="267"/>
      <c r="C45" s="224"/>
      <c r="D45" s="224"/>
      <c r="E45" s="224"/>
      <c r="F45" s="224"/>
      <c r="G45" s="224"/>
      <c r="H45" s="224"/>
      <c r="I45" s="132"/>
      <c r="J45" s="132"/>
      <c r="K45" s="686"/>
    </row>
    <row r="46" spans="2:11" ht="9" customHeight="1">
      <c r="B46" s="267"/>
      <c r="C46" s="224"/>
      <c r="D46" s="224"/>
      <c r="E46" s="224"/>
      <c r="F46" s="224"/>
      <c r="G46" s="224"/>
      <c r="H46" s="224"/>
      <c r="I46" s="132"/>
      <c r="J46" s="132"/>
      <c r="K46" s="686"/>
    </row>
    <row r="47" spans="2:11" ht="9" customHeight="1">
      <c r="B47" s="267"/>
      <c r="C47" s="224"/>
      <c r="D47" s="224"/>
      <c r="E47" s="224"/>
      <c r="F47" s="224"/>
      <c r="G47" s="224"/>
      <c r="H47" s="224"/>
      <c r="I47" s="132"/>
      <c r="J47" s="132"/>
      <c r="K47" s="686"/>
    </row>
    <row r="48" spans="2:11" ht="9" customHeight="1">
      <c r="B48" s="267"/>
      <c r="C48" s="224"/>
      <c r="D48" s="224"/>
      <c r="E48" s="224"/>
      <c r="F48" s="224"/>
      <c r="G48" s="224"/>
      <c r="H48" s="224"/>
      <c r="I48" s="132"/>
      <c r="J48" s="132"/>
      <c r="K48" s="686"/>
    </row>
    <row r="49" spans="1:11" ht="11.25" customHeight="1">
      <c r="B49" s="267"/>
      <c r="C49" s="224"/>
      <c r="D49" s="224"/>
      <c r="E49" s="224"/>
      <c r="F49" s="224"/>
      <c r="G49" s="224"/>
      <c r="H49" s="224"/>
      <c r="I49" s="132"/>
      <c r="J49" s="132"/>
      <c r="K49" s="686"/>
    </row>
    <row r="50" spans="1:11" ht="11.25" customHeight="1">
      <c r="B50" s="267"/>
      <c r="C50" s="224"/>
      <c r="D50" s="224"/>
      <c r="E50" s="224"/>
      <c r="F50" s="224"/>
      <c r="G50" s="224"/>
      <c r="H50" s="224"/>
      <c r="I50" s="132"/>
      <c r="J50" s="132"/>
      <c r="K50" s="686"/>
    </row>
    <row r="51" spans="1:11" ht="11.25" customHeight="1">
      <c r="B51" s="267"/>
      <c r="C51" s="224"/>
      <c r="D51" s="224"/>
      <c r="E51" s="224"/>
      <c r="F51" s="224"/>
      <c r="G51" s="224"/>
      <c r="H51" s="224"/>
      <c r="I51" s="132"/>
      <c r="J51" s="132"/>
      <c r="K51" s="686"/>
    </row>
    <row r="52" spans="1:11" ht="11.25" customHeight="1">
      <c r="B52" s="267"/>
      <c r="C52" s="224"/>
      <c r="D52" s="224"/>
      <c r="E52" s="224"/>
      <c r="F52" s="224"/>
      <c r="G52" s="224"/>
      <c r="H52" s="224"/>
      <c r="I52" s="132"/>
      <c r="J52" s="132"/>
      <c r="K52" s="686"/>
    </row>
    <row r="53" spans="1:11" ht="11.25" customHeight="1">
      <c r="B53" s="267"/>
      <c r="C53" s="224"/>
      <c r="D53" s="224"/>
      <c r="E53" s="224"/>
      <c r="F53" s="224"/>
      <c r="G53" s="224"/>
      <c r="H53" s="224"/>
      <c r="I53" s="132"/>
      <c r="J53" s="132"/>
      <c r="K53" s="686"/>
    </row>
    <row r="54" spans="1:11" ht="25.2" customHeight="1">
      <c r="A54" s="132"/>
      <c r="B54" s="132"/>
      <c r="C54" s="132"/>
      <c r="D54" s="132"/>
      <c r="E54" s="132"/>
      <c r="F54" s="132"/>
      <c r="G54" s="132"/>
      <c r="H54" s="132"/>
      <c r="I54" s="132"/>
      <c r="J54" s="132"/>
    </row>
    <row r="55" spans="1:11" ht="25.2" customHeight="1">
      <c r="A55" s="132"/>
      <c r="B55" s="132"/>
      <c r="C55" s="132"/>
      <c r="D55" s="132"/>
      <c r="E55" s="132"/>
      <c r="F55" s="132"/>
      <c r="G55" s="132"/>
      <c r="H55" s="132"/>
      <c r="I55" s="132"/>
      <c r="J55" s="132"/>
    </row>
    <row r="56" spans="1:11" ht="25.2" customHeight="1">
      <c r="A56" s="132"/>
      <c r="B56" s="132"/>
      <c r="C56" s="132"/>
      <c r="D56" s="132"/>
      <c r="E56" s="132"/>
      <c r="F56" s="132"/>
      <c r="G56" s="132"/>
      <c r="H56" s="132"/>
      <c r="I56" s="132"/>
      <c r="J56" s="132"/>
    </row>
    <row r="57" spans="1:11" ht="24" customHeight="1">
      <c r="A57" s="320" t="str">
        <f>"Gráfico N° 3: Comparación de la potencia instalada en el SEIN al término de "&amp;'1. Resumen'!Q4&amp;" "&amp;'1. Resumen'!Q5-1&amp;" y "&amp;'1. Resumen'!Q4&amp;" "&amp;'1. Resumen'!Q5</f>
        <v>Gráfico N° 3: Comparación de la potencia instalada en el SEIN al término de julio 2022 y julio 2023</v>
      </c>
      <c r="C57" s="132"/>
      <c r="D57" s="132"/>
      <c r="E57" s="132"/>
      <c r="F57" s="132"/>
      <c r="G57" s="132"/>
      <c r="H57" s="132"/>
      <c r="I57" s="132"/>
      <c r="J57" s="132"/>
    </row>
  </sheetData>
  <mergeCells count="7">
    <mergeCell ref="B29:C29"/>
    <mergeCell ref="B24:C24"/>
    <mergeCell ref="A2:J2"/>
    <mergeCell ref="B25:C25"/>
    <mergeCell ref="B26:C26"/>
    <mergeCell ref="B27:C27"/>
    <mergeCell ref="B28:C28"/>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N68"/>
  <sheetViews>
    <sheetView showGridLines="0" view="pageBreakPreview" zoomScaleNormal="100" zoomScaleSheetLayoutView="100" workbookViewId="0">
      <selection activeCell="D14" sqref="D14"/>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3" width="9.28515625" style="46"/>
    <col min="14" max="14" width="17.7109375" style="46" bestFit="1" customWidth="1"/>
    <col min="15" max="16384" width="9.28515625" style="46"/>
  </cols>
  <sheetData>
    <row r="1" spans="1:14" ht="11.25" customHeight="1"/>
    <row r="2" spans="1:14" ht="16.5" customHeight="1">
      <c r="A2" s="855" t="s">
        <v>214</v>
      </c>
      <c r="B2" s="855"/>
      <c r="C2" s="855"/>
      <c r="D2" s="855"/>
      <c r="E2" s="855"/>
      <c r="F2" s="855"/>
      <c r="G2" s="855"/>
      <c r="H2" s="855"/>
      <c r="I2" s="855"/>
      <c r="J2" s="855"/>
      <c r="K2" s="855"/>
    </row>
    <row r="3" spans="1:14" ht="11.25" customHeight="1">
      <c r="A3" s="83"/>
      <c r="B3" s="84"/>
      <c r="C3" s="85"/>
      <c r="D3" s="86"/>
      <c r="E3" s="86"/>
      <c r="F3" s="86"/>
      <c r="G3" s="86"/>
      <c r="H3" s="83"/>
      <c r="I3" s="83"/>
      <c r="J3" s="83"/>
      <c r="K3" s="87"/>
    </row>
    <row r="4" spans="1:14" ht="11.25" customHeight="1">
      <c r="A4" s="856" t="str">
        <f>+"3.1. PRODUCCIÓN POR TIPO DE GENERACIÓN (GWh)"</f>
        <v>3.1. PRODUCCIÓN POR TIPO DE GENERACIÓN (GWh)</v>
      </c>
      <c r="B4" s="856"/>
      <c r="C4" s="856"/>
      <c r="D4" s="856"/>
      <c r="E4" s="856"/>
      <c r="F4" s="856"/>
      <c r="G4" s="856"/>
      <c r="H4" s="856"/>
      <c r="I4" s="856"/>
      <c r="J4" s="856"/>
      <c r="K4" s="856"/>
    </row>
    <row r="5" spans="1:14" ht="11.25" customHeight="1">
      <c r="A5" s="54"/>
      <c r="B5" s="88"/>
      <c r="C5" s="89"/>
      <c r="D5" s="90"/>
      <c r="E5" s="90"/>
      <c r="F5" s="90"/>
      <c r="G5" s="90"/>
      <c r="H5" s="91"/>
      <c r="I5" s="83"/>
      <c r="J5" s="83"/>
      <c r="K5" s="92"/>
    </row>
    <row r="6" spans="1:14" ht="18" customHeight="1">
      <c r="A6" s="853" t="s">
        <v>31</v>
      </c>
      <c r="B6" s="857" t="s">
        <v>32</v>
      </c>
      <c r="C6" s="858"/>
      <c r="D6" s="858"/>
      <c r="E6" s="858" t="s">
        <v>33</v>
      </c>
      <c r="F6" s="858"/>
      <c r="G6" s="859" t="str">
        <f>"Generación Acumulada a "&amp;'1. Resumen'!Q4</f>
        <v>Generación Acumulada a julio</v>
      </c>
      <c r="H6" s="859"/>
      <c r="I6" s="859"/>
      <c r="J6" s="859"/>
      <c r="K6" s="860"/>
    </row>
    <row r="7" spans="1:14" ht="32.25" customHeight="1">
      <c r="A7" s="854"/>
      <c r="B7" s="360">
        <f>+C7-30</f>
        <v>45050</v>
      </c>
      <c r="C7" s="360">
        <f>+D7-28</f>
        <v>45080</v>
      </c>
      <c r="D7" s="360">
        <f>+'1. Resumen'!Q6</f>
        <v>45108</v>
      </c>
      <c r="E7" s="360">
        <f>+D7-365</f>
        <v>44743</v>
      </c>
      <c r="F7" s="361" t="s">
        <v>34</v>
      </c>
      <c r="G7" s="362">
        <v>2023</v>
      </c>
      <c r="H7" s="362">
        <v>2022</v>
      </c>
      <c r="I7" s="361" t="s">
        <v>539</v>
      </c>
      <c r="J7" s="362">
        <v>2021</v>
      </c>
      <c r="K7" s="363" t="s">
        <v>520</v>
      </c>
    </row>
    <row r="8" spans="1:14" ht="15" customHeight="1">
      <c r="A8" s="116" t="s">
        <v>35</v>
      </c>
      <c r="B8" s="304">
        <v>2437.8056477075011</v>
      </c>
      <c r="C8" s="300">
        <v>1747.27663811</v>
      </c>
      <c r="D8" s="305">
        <v>1675.4177321</v>
      </c>
      <c r="E8" s="304">
        <v>1978.5844673274994</v>
      </c>
      <c r="F8" s="233">
        <f>IF(E8=0,"",D8/E8-1)</f>
        <v>-0.15322405499169356</v>
      </c>
      <c r="G8" s="312">
        <v>17322.624357827499</v>
      </c>
      <c r="H8" s="300">
        <v>18865.300351055001</v>
      </c>
      <c r="I8" s="237">
        <f>IF(H8=0,"",G8/H8-1)</f>
        <v>-8.177320077181971E-2</v>
      </c>
      <c r="J8" s="304">
        <v>19313.845621516499</v>
      </c>
      <c r="K8" s="233">
        <f t="shared" ref="K8:K15" si="0">IF(J8=0,"",H8/J8-1)</f>
        <v>-2.322402691061165E-2</v>
      </c>
    </row>
    <row r="9" spans="1:14" ht="15" customHeight="1">
      <c r="A9" s="117" t="s">
        <v>36</v>
      </c>
      <c r="B9" s="306">
        <v>2174.2170595949997</v>
      </c>
      <c r="C9" s="243">
        <v>2766.7946824400005</v>
      </c>
      <c r="D9" s="307">
        <v>2872.8930510424998</v>
      </c>
      <c r="E9" s="306">
        <v>2486.8952949450004</v>
      </c>
      <c r="F9" s="234">
        <f t="shared" ref="F9:F15" si="1">IF(E9=0,"",D9/E9-1)</f>
        <v>0.15521270914867213</v>
      </c>
      <c r="G9" s="313">
        <v>14888.116425254999</v>
      </c>
      <c r="H9" s="243">
        <v>11591.316714197499</v>
      </c>
      <c r="I9" s="238">
        <f t="shared" ref="I9:I15" si="2">IF(H9=0,"",G9/H9-1)</f>
        <v>0.28441977666087315</v>
      </c>
      <c r="J9" s="306">
        <v>10350.356270102498</v>
      </c>
      <c r="K9" s="234">
        <f t="shared" si="0"/>
        <v>0.11989543274752523</v>
      </c>
    </row>
    <row r="10" spans="1:14" ht="15" customHeight="1">
      <c r="A10" s="118" t="s">
        <v>37</v>
      </c>
      <c r="B10" s="308">
        <v>224.23503268000002</v>
      </c>
      <c r="C10" s="244">
        <v>197.89326374750001</v>
      </c>
      <c r="D10" s="309">
        <v>188.24767344500003</v>
      </c>
      <c r="E10" s="308">
        <v>172.62005511000001</v>
      </c>
      <c r="F10" s="235">
        <f>IF(E10=0,"",D10/E10-1)</f>
        <v>9.0531881275565107E-2</v>
      </c>
      <c r="G10" s="314">
        <v>1176.0843021275</v>
      </c>
      <c r="H10" s="244">
        <v>1095.8716307024999</v>
      </c>
      <c r="I10" s="239">
        <f t="shared" si="2"/>
        <v>7.3195317022286988E-2</v>
      </c>
      <c r="J10" s="308">
        <v>1011.0537621000001</v>
      </c>
      <c r="K10" s="235">
        <f t="shared" si="0"/>
        <v>8.3890562284570924E-2</v>
      </c>
    </row>
    <row r="11" spans="1:14" ht="15" customHeight="1">
      <c r="A11" s="117" t="s">
        <v>29</v>
      </c>
      <c r="B11" s="306">
        <v>57.958463240000007</v>
      </c>
      <c r="C11" s="243">
        <v>60.751822727500013</v>
      </c>
      <c r="D11" s="307">
        <v>69.0593317525</v>
      </c>
      <c r="E11" s="306">
        <v>58.945296802500003</v>
      </c>
      <c r="F11" s="234">
        <f>IF(E11=0,"",D11/E11-1)</f>
        <v>0.17158340866257271</v>
      </c>
      <c r="G11" s="313">
        <v>437.67648156750005</v>
      </c>
      <c r="H11" s="243">
        <v>438.77715382250005</v>
      </c>
      <c r="I11" s="238">
        <f t="shared" si="2"/>
        <v>-2.5084994635916624E-3</v>
      </c>
      <c r="J11" s="306">
        <v>432.84139496</v>
      </c>
      <c r="K11" s="234">
        <f t="shared" si="0"/>
        <v>1.37134731835169E-2</v>
      </c>
      <c r="N11" s="823"/>
    </row>
    <row r="12" spans="1:14" ht="15" customHeight="1">
      <c r="A12" s="145" t="s">
        <v>41</v>
      </c>
      <c r="B12" s="310">
        <f>+SUM(B8:B11)</f>
        <v>4894.2162032225006</v>
      </c>
      <c r="C12" s="301">
        <f t="shared" ref="C12:E12" si="3">+SUM(C8:C11)</f>
        <v>4772.716407025001</v>
      </c>
      <c r="D12" s="311">
        <f t="shared" si="3"/>
        <v>4805.6177883399996</v>
      </c>
      <c r="E12" s="310">
        <f t="shared" si="3"/>
        <v>4697.0451141849999</v>
      </c>
      <c r="F12" s="236">
        <f>IF(E12=0,"",D12/E12-1)</f>
        <v>2.3115101412824801E-2</v>
      </c>
      <c r="G12" s="310">
        <f t="shared" ref="G12:H12" si="4">+SUM(G8:G11)</f>
        <v>33824.501566777493</v>
      </c>
      <c r="H12" s="301">
        <f t="shared" si="4"/>
        <v>31991.265849777497</v>
      </c>
      <c r="I12" s="240">
        <f>IF(H12=0,"",G12/H12-1)</f>
        <v>5.7304256905881257E-2</v>
      </c>
      <c r="J12" s="310">
        <f>+SUM(J8:J11)</f>
        <v>31108.097048678999</v>
      </c>
      <c r="K12" s="236">
        <f t="shared" si="0"/>
        <v>2.8390319077264303E-2</v>
      </c>
    </row>
    <row r="13" spans="1:14" ht="15" customHeight="1">
      <c r="A13" s="112"/>
      <c r="B13" s="112"/>
      <c r="C13" s="112"/>
      <c r="D13" s="112"/>
      <c r="E13" s="112"/>
      <c r="F13" s="114"/>
      <c r="G13" s="112"/>
      <c r="H13" s="112"/>
      <c r="I13" s="580"/>
      <c r="J13" s="113"/>
      <c r="K13" s="114" t="str">
        <f t="shared" si="0"/>
        <v/>
      </c>
    </row>
    <row r="14" spans="1:14" ht="15" customHeight="1">
      <c r="A14" s="119" t="s">
        <v>38</v>
      </c>
      <c r="B14" s="231">
        <v>1.4373820000000002</v>
      </c>
      <c r="C14" s="232">
        <v>0</v>
      </c>
      <c r="D14" s="303">
        <v>8.1428750999999977</v>
      </c>
      <c r="E14" s="231">
        <v>4.8730723700000027</v>
      </c>
      <c r="F14" s="120">
        <f>IF(E14=0,"",D14/E14-1)</f>
        <v>0.67099408375911174</v>
      </c>
      <c r="G14" s="231">
        <v>10.239563859999999</v>
      </c>
      <c r="H14" s="232">
        <v>29.729763940000005</v>
      </c>
      <c r="I14" s="123">
        <f t="shared" si="2"/>
        <v>-0.65557870285599051</v>
      </c>
      <c r="J14" s="231">
        <v>30.978489120000003</v>
      </c>
      <c r="K14" s="120">
        <f t="shared" si="0"/>
        <v>-4.030942810551108E-2</v>
      </c>
    </row>
    <row r="15" spans="1:14" ht="15" customHeight="1">
      <c r="A15" s="118" t="s">
        <v>39</v>
      </c>
      <c r="B15" s="228">
        <v>0</v>
      </c>
      <c r="C15" s="229">
        <v>0</v>
      </c>
      <c r="D15" s="230">
        <v>0</v>
      </c>
      <c r="E15" s="228">
        <v>0</v>
      </c>
      <c r="F15" s="121" t="str">
        <f t="shared" si="1"/>
        <v/>
      </c>
      <c r="G15" s="228">
        <v>0.25442452999999998</v>
      </c>
      <c r="H15" s="229">
        <v>0</v>
      </c>
      <c r="I15" s="115" t="str">
        <f t="shared" si="2"/>
        <v/>
      </c>
      <c r="J15" s="228">
        <v>0</v>
      </c>
      <c r="K15" s="121" t="str">
        <f t="shared" si="0"/>
        <v/>
      </c>
    </row>
    <row r="16" spans="1:14" ht="23.25" customHeight="1">
      <c r="A16" s="125" t="s">
        <v>40</v>
      </c>
      <c r="B16" s="241">
        <f>+B15-B14</f>
        <v>-1.4373820000000002</v>
      </c>
      <c r="C16" s="242">
        <f t="shared" ref="C16:E16" si="5">+C15-C14</f>
        <v>0</v>
      </c>
      <c r="D16" s="242">
        <f t="shared" si="5"/>
        <v>-8.1428750999999977</v>
      </c>
      <c r="E16" s="241">
        <f t="shared" si="5"/>
        <v>-4.8730723700000027</v>
      </c>
      <c r="F16" s="122"/>
      <c r="G16" s="241">
        <f t="shared" ref="G16:H16" si="6">+G15-G14</f>
        <v>-9.9851393299999991</v>
      </c>
      <c r="H16" s="242">
        <f t="shared" si="6"/>
        <v>-29.729763940000005</v>
      </c>
      <c r="I16" s="124"/>
      <c r="J16" s="241">
        <f>+J15-J14</f>
        <v>-30.978489120000003</v>
      </c>
      <c r="K16" s="122"/>
    </row>
    <row r="17" spans="1:11" ht="11.25" customHeight="1">
      <c r="A17" s="227" t="s">
        <v>213</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51"/>
      <c r="C42" s="851"/>
      <c r="D42" s="851"/>
      <c r="E42" s="93"/>
      <c r="F42" s="93"/>
      <c r="G42" s="852"/>
      <c r="H42" s="852"/>
      <c r="I42" s="852"/>
      <c r="J42" s="852"/>
      <c r="K42" s="852"/>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3.2">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227" t="str">
        <f>"Gráfico N° 4: Comparación de la producción de energía eléctrica por tipo de generación acumulada a "&amp;'1. Resumen'!Q4&amp;"."</f>
        <v>Gráfico N° 4: Comparación de la producción de energía eléctrica por tipo de generación acumulada a julio.</v>
      </c>
      <c r="B57" s="72"/>
      <c r="C57" s="72"/>
      <c r="D57" s="72"/>
      <c r="E57" s="72"/>
      <c r="F57" s="72"/>
      <c r="G57" s="72"/>
      <c r="H57" s="72"/>
      <c r="I57" s="102"/>
      <c r="J57" s="72"/>
      <c r="K57" s="103"/>
    </row>
    <row r="58" spans="1:11" ht="13.2">
      <c r="B58" s="72"/>
      <c r="C58" s="72"/>
      <c r="D58" s="72"/>
      <c r="E58" s="72"/>
      <c r="F58" s="72"/>
      <c r="G58" s="72"/>
      <c r="H58" s="72"/>
      <c r="I58" s="102"/>
      <c r="J58" s="72"/>
      <c r="K58" s="103"/>
    </row>
    <row r="59" spans="1:11" ht="13.2">
      <c r="A59" s="1"/>
      <c r="B59" s="72"/>
      <c r="C59" s="72"/>
      <c r="D59" s="72"/>
      <c r="E59" s="72"/>
      <c r="F59" s="72"/>
      <c r="G59" s="72"/>
      <c r="H59" s="72"/>
      <c r="I59" s="102"/>
      <c r="J59" s="72"/>
      <c r="K59" s="103"/>
    </row>
    <row r="60" spans="1:11" ht="13.2">
      <c r="A60" s="1"/>
      <c r="B60" s="72"/>
      <c r="C60" s="72"/>
      <c r="D60" s="72"/>
      <c r="E60" s="72"/>
      <c r="F60" s="72"/>
      <c r="G60" s="72"/>
      <c r="H60" s="72"/>
      <c r="I60" s="102"/>
      <c r="J60" s="72"/>
      <c r="K60" s="103"/>
    </row>
    <row r="62" spans="1:11" ht="13.2">
      <c r="A62" s="104"/>
      <c r="B62" s="105"/>
      <c r="C62" s="105"/>
      <c r="D62" s="105"/>
      <c r="E62" s="105"/>
      <c r="F62" s="105"/>
      <c r="G62" s="105"/>
      <c r="H62" s="102"/>
      <c r="I62" s="102"/>
      <c r="J62" s="105"/>
      <c r="K62" s="103"/>
    </row>
    <row r="63" spans="1:11" ht="13.2">
      <c r="A63" s="1"/>
      <c r="B63" s="72"/>
      <c r="C63" s="72"/>
      <c r="D63" s="72"/>
      <c r="E63" s="72"/>
      <c r="F63" s="72"/>
      <c r="G63" s="72"/>
      <c r="H63" s="72"/>
      <c r="I63" s="102"/>
      <c r="J63" s="72"/>
      <c r="K63" s="106"/>
    </row>
    <row r="64" spans="1:11" ht="13.2">
      <c r="A64" s="1"/>
      <c r="B64" s="72"/>
      <c r="C64" s="72"/>
      <c r="D64" s="72"/>
      <c r="E64" s="72"/>
      <c r="F64" s="72"/>
      <c r="G64" s="72"/>
      <c r="H64" s="72"/>
      <c r="I64" s="107"/>
      <c r="J64" s="72"/>
      <c r="K64" s="106"/>
    </row>
    <row r="65" spans="1:11" ht="13.2">
      <c r="A65" s="1"/>
      <c r="B65" s="72"/>
      <c r="C65" s="72"/>
      <c r="D65" s="72"/>
      <c r="E65" s="72"/>
      <c r="F65" s="72"/>
      <c r="G65" s="72"/>
      <c r="H65" s="108"/>
      <c r="I65" s="108"/>
      <c r="J65" s="72"/>
      <c r="K65" s="106"/>
    </row>
    <row r="66" spans="1:11" ht="13.2">
      <c r="A66" s="1"/>
      <c r="B66" s="72"/>
      <c r="C66" s="72"/>
      <c r="D66" s="72"/>
      <c r="E66" s="72"/>
      <c r="F66" s="72"/>
      <c r="G66" s="72"/>
      <c r="H66" s="108"/>
      <c r="I66" s="108"/>
      <c r="J66" s="72"/>
      <c r="K66" s="106"/>
    </row>
    <row r="67" spans="1:11" ht="13.2">
      <c r="A67" s="104"/>
      <c r="B67" s="105"/>
      <c r="C67" s="105"/>
      <c r="D67" s="105"/>
      <c r="E67" s="105"/>
      <c r="F67" s="105"/>
      <c r="G67" s="105"/>
      <c r="H67" s="109"/>
      <c r="I67" s="102"/>
      <c r="J67" s="105"/>
      <c r="K67" s="103"/>
    </row>
    <row r="68" spans="1:11" ht="13.2">
      <c r="A68" s="104"/>
      <c r="B68" s="105"/>
      <c r="C68" s="105"/>
      <c r="D68" s="105"/>
      <c r="E68" s="105"/>
      <c r="F68" s="105"/>
      <c r="G68" s="105"/>
      <c r="H68" s="102"/>
      <c r="I68" s="102"/>
      <c r="J68" s="105"/>
      <c r="K68" s="103"/>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Normal="100" zoomScaleSheetLayoutView="100" workbookViewId="0">
      <selection activeCell="H22" sqref="H22"/>
    </sheetView>
  </sheetViews>
  <sheetFormatPr baseColWidth="10" defaultColWidth="9.28515625" defaultRowHeight="10.199999999999999"/>
  <cols>
    <col min="1" max="1" width="15.1406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862" t="str">
        <f>+"3.2. PRODUCCIÓN POR TIPO DE RECURSO ENERGÉTICO (GWh)"</f>
        <v>3.2. PRODUCCIÓN POR TIPO DE RECURSO ENERGÉTICO (GWh)</v>
      </c>
      <c r="B2" s="862"/>
      <c r="C2" s="862"/>
      <c r="D2" s="862"/>
      <c r="E2" s="862"/>
      <c r="F2" s="862"/>
      <c r="G2" s="862"/>
      <c r="H2" s="862"/>
      <c r="I2" s="862"/>
      <c r="J2" s="862"/>
      <c r="K2" s="862"/>
    </row>
    <row r="3" spans="1:12" ht="18.75" customHeight="1">
      <c r="A3" s="126"/>
      <c r="B3" s="127"/>
      <c r="C3" s="128"/>
      <c r="D3" s="129"/>
      <c r="E3" s="129"/>
      <c r="F3" s="129"/>
      <c r="G3" s="130"/>
      <c r="H3" s="130"/>
      <c r="I3" s="130"/>
      <c r="J3" s="126"/>
      <c r="K3" s="126"/>
      <c r="L3" s="36"/>
    </row>
    <row r="4" spans="1:12" ht="14.25" customHeight="1">
      <c r="A4" s="866" t="s">
        <v>42</v>
      </c>
      <c r="B4" s="863" t="s">
        <v>32</v>
      </c>
      <c r="C4" s="864"/>
      <c r="D4" s="864"/>
      <c r="E4" s="864" t="s">
        <v>33</v>
      </c>
      <c r="F4" s="864"/>
      <c r="G4" s="865" t="str">
        <f>+'3. Tipo Generación'!G6:K6</f>
        <v>Generación Acumulada a julio</v>
      </c>
      <c r="H4" s="865"/>
      <c r="I4" s="865"/>
      <c r="J4" s="865"/>
      <c r="K4" s="865"/>
      <c r="L4" s="131"/>
    </row>
    <row r="5" spans="1:12" ht="26.25" customHeight="1">
      <c r="A5" s="866"/>
      <c r="B5" s="364">
        <f>+'3. Tipo Generación'!B7</f>
        <v>45050</v>
      </c>
      <c r="C5" s="364">
        <f>+'3. Tipo Generación'!C7</f>
        <v>45080</v>
      </c>
      <c r="D5" s="364">
        <f>+'3. Tipo Generación'!D7</f>
        <v>45108</v>
      </c>
      <c r="E5" s="364">
        <f>+'3. Tipo Generación'!E7</f>
        <v>44743</v>
      </c>
      <c r="F5" s="365" t="s">
        <v>34</v>
      </c>
      <c r="G5" s="366">
        <v>2023</v>
      </c>
      <c r="H5" s="366">
        <v>2022</v>
      </c>
      <c r="I5" s="365" t="s">
        <v>539</v>
      </c>
      <c r="J5" s="366">
        <v>2021</v>
      </c>
      <c r="K5" s="365" t="s">
        <v>520</v>
      </c>
      <c r="L5" s="19"/>
    </row>
    <row r="6" spans="1:12" ht="11.25" customHeight="1">
      <c r="A6" s="139" t="s">
        <v>43</v>
      </c>
      <c r="B6" s="278">
        <v>2437.8056477075011</v>
      </c>
      <c r="C6" s="279">
        <v>1747.27663811</v>
      </c>
      <c r="D6" s="280">
        <v>1675.4177321</v>
      </c>
      <c r="E6" s="278">
        <v>1978.5844673274994</v>
      </c>
      <c r="F6" s="248">
        <f>IF(E6=0,"",D6/E6-1)</f>
        <v>-0.15322405499169356</v>
      </c>
      <c r="G6" s="278">
        <v>17322.624357827499</v>
      </c>
      <c r="H6" s="279">
        <v>18865.300351055001</v>
      </c>
      <c r="I6" s="248">
        <f t="shared" ref="I6:I15" si="0">IF(H6=0,"",G6/H6-1)</f>
        <v>-8.177320077181971E-2</v>
      </c>
      <c r="J6" s="278">
        <v>19313.845621516499</v>
      </c>
      <c r="K6" s="248">
        <f>IF(J6=0,"",H6/J6-1)</f>
        <v>-2.322402691061165E-2</v>
      </c>
      <c r="L6" s="24"/>
    </row>
    <row r="7" spans="1:12" ht="11.25" customHeight="1">
      <c r="A7" s="140" t="s">
        <v>49</v>
      </c>
      <c r="B7" s="281">
        <v>2034.7268133100001</v>
      </c>
      <c r="C7" s="243">
        <v>2526.3709411475002</v>
      </c>
      <c r="D7" s="282">
        <v>2379.6435521075005</v>
      </c>
      <c r="E7" s="281">
        <v>2334.0893035025001</v>
      </c>
      <c r="F7" s="249">
        <f t="shared" ref="F7:F17" si="1">IF(E7=0,"",D7/E7-1)</f>
        <v>1.9516926167581605E-2</v>
      </c>
      <c r="G7" s="281">
        <v>13624.5116361375</v>
      </c>
      <c r="H7" s="243">
        <v>10910.128194949999</v>
      </c>
      <c r="I7" s="249">
        <f t="shared" si="0"/>
        <v>0.24879482556803656</v>
      </c>
      <c r="J7" s="281">
        <v>9637.7148243749998</v>
      </c>
      <c r="K7" s="249">
        <f t="shared" ref="K7:K18" si="2">IF(J7=0,"",H7/J7-1)</f>
        <v>0.13202438480093903</v>
      </c>
      <c r="L7" s="22"/>
    </row>
    <row r="8" spans="1:12" ht="11.25" customHeight="1">
      <c r="A8" s="141" t="s">
        <v>50</v>
      </c>
      <c r="B8" s="283">
        <v>62.847240499999998</v>
      </c>
      <c r="C8" s="244">
        <v>61.792174500000002</v>
      </c>
      <c r="D8" s="284">
        <v>65.1625595</v>
      </c>
      <c r="E8" s="283">
        <v>61.934746250000003</v>
      </c>
      <c r="F8" s="323">
        <f t="shared" si="1"/>
        <v>5.2116355445631646E-2</v>
      </c>
      <c r="G8" s="283">
        <v>419.64416775000001</v>
      </c>
      <c r="H8" s="244">
        <v>348.73379300000005</v>
      </c>
      <c r="I8" s="323">
        <f t="shared" si="0"/>
        <v>0.20333668882499145</v>
      </c>
      <c r="J8" s="283">
        <v>401.26833578000003</v>
      </c>
      <c r="K8" s="323">
        <f t="shared" si="2"/>
        <v>-0.13092122675934903</v>
      </c>
      <c r="L8" s="22"/>
    </row>
    <row r="9" spans="1:12" ht="11.25" customHeight="1">
      <c r="A9" s="140" t="s">
        <v>51</v>
      </c>
      <c r="B9" s="281">
        <v>33.322660999999997</v>
      </c>
      <c r="C9" s="767">
        <v>60.782188249999997</v>
      </c>
      <c r="D9" s="282">
        <v>45.072545757500002</v>
      </c>
      <c r="E9" s="281">
        <v>42.195319210000001</v>
      </c>
      <c r="F9" s="249"/>
      <c r="G9" s="281">
        <v>194.64647118250002</v>
      </c>
      <c r="H9" s="767">
        <v>117.7053639575</v>
      </c>
      <c r="I9" s="249">
        <f t="shared" si="0"/>
        <v>0.65367545401568306</v>
      </c>
      <c r="J9" s="281">
        <v>89.949641222499991</v>
      </c>
      <c r="K9" s="249">
        <f t="shared" si="2"/>
        <v>0.30856957690740838</v>
      </c>
      <c r="L9" s="22"/>
    </row>
    <row r="10" spans="1:12" ht="11.25" customHeight="1">
      <c r="A10" s="141" t="s">
        <v>26</v>
      </c>
      <c r="B10" s="283">
        <v>0</v>
      </c>
      <c r="C10" s="768">
        <v>0</v>
      </c>
      <c r="D10" s="284">
        <v>0</v>
      </c>
      <c r="E10" s="283">
        <v>11.745412630000001</v>
      </c>
      <c r="F10" s="323">
        <f t="shared" si="1"/>
        <v>-1</v>
      </c>
      <c r="G10" s="283">
        <v>0</v>
      </c>
      <c r="H10" s="768">
        <v>17.829347852500003</v>
      </c>
      <c r="I10" s="323">
        <f t="shared" si="0"/>
        <v>-1</v>
      </c>
      <c r="J10" s="283">
        <v>13.02409829</v>
      </c>
      <c r="K10" s="323">
        <f t="shared" si="2"/>
        <v>0.36895065251384884</v>
      </c>
      <c r="L10" s="24"/>
    </row>
    <row r="11" spans="1:12" ht="11.25" customHeight="1">
      <c r="A11" s="140" t="s">
        <v>44</v>
      </c>
      <c r="B11" s="281">
        <v>2.160896975</v>
      </c>
      <c r="C11" s="767">
        <v>0</v>
      </c>
      <c r="D11" s="282">
        <v>4.1225681874999998</v>
      </c>
      <c r="E11" s="281">
        <v>0.89028038500000006</v>
      </c>
      <c r="F11" s="249">
        <f t="shared" si="1"/>
        <v>3.6306402532950326</v>
      </c>
      <c r="G11" s="281">
        <v>8.2812955000000006</v>
      </c>
      <c r="H11" s="767">
        <v>7.0801048524999999</v>
      </c>
      <c r="I11" s="249">
        <f t="shared" si="0"/>
        <v>0.1696571834068048</v>
      </c>
      <c r="J11" s="281">
        <v>4.2980835649999998</v>
      </c>
      <c r="K11" s="249">
        <f t="shared" si="2"/>
        <v>0.64727017179341417</v>
      </c>
      <c r="L11" s="22"/>
    </row>
    <row r="12" spans="1:12" ht="11.25" customHeight="1">
      <c r="A12" s="246" t="s">
        <v>45</v>
      </c>
      <c r="B12" s="330">
        <v>0</v>
      </c>
      <c r="C12" s="769">
        <v>0</v>
      </c>
      <c r="D12" s="331">
        <v>0</v>
      </c>
      <c r="E12" s="330">
        <v>0</v>
      </c>
      <c r="F12" s="250" t="str">
        <f>IF(E12=0,"",D12/E12-1)</f>
        <v/>
      </c>
      <c r="G12" s="330">
        <v>0</v>
      </c>
      <c r="H12" s="769">
        <v>0</v>
      </c>
      <c r="I12" s="250" t="str">
        <f t="shared" si="0"/>
        <v/>
      </c>
      <c r="J12" s="330">
        <v>0</v>
      </c>
      <c r="K12" s="250" t="str">
        <f t="shared" si="2"/>
        <v/>
      </c>
      <c r="L12" s="22"/>
    </row>
    <row r="13" spans="1:12" ht="11.25" customHeight="1">
      <c r="A13" s="140" t="s">
        <v>46</v>
      </c>
      <c r="B13" s="281">
        <v>20.888488542499996</v>
      </c>
      <c r="C13" s="767">
        <v>85.942831762500006</v>
      </c>
      <c r="D13" s="282">
        <v>345.92269866499993</v>
      </c>
      <c r="E13" s="281">
        <v>1.2082170974999999</v>
      </c>
      <c r="F13" s="249">
        <f>IF(E13=0,"",D13/E13-1)</f>
        <v>285.30839555305988</v>
      </c>
      <c r="G13" s="281">
        <v>474.07746745249989</v>
      </c>
      <c r="H13" s="767">
        <v>15.391685090000003</v>
      </c>
      <c r="I13" s="249">
        <f t="shared" si="0"/>
        <v>29.800881429188582</v>
      </c>
      <c r="J13" s="281">
        <v>11.1534715</v>
      </c>
      <c r="K13" s="249">
        <f t="shared" si="2"/>
        <v>0.37999053388893334</v>
      </c>
      <c r="L13" s="22"/>
    </row>
    <row r="14" spans="1:12" ht="11.25" customHeight="1">
      <c r="A14" s="141" t="s">
        <v>47</v>
      </c>
      <c r="B14" s="283">
        <v>14.515525217499999</v>
      </c>
      <c r="C14" s="768">
        <v>24.929735180000002</v>
      </c>
      <c r="D14" s="284">
        <v>27.041169224999997</v>
      </c>
      <c r="E14" s="283">
        <v>28.268381044999998</v>
      </c>
      <c r="F14" s="323">
        <f t="shared" si="1"/>
        <v>-4.3412879501179114E-2</v>
      </c>
      <c r="G14" s="283">
        <v>127.76609678250001</v>
      </c>
      <c r="H14" s="768">
        <v>131.29786939499999</v>
      </c>
      <c r="I14" s="323">
        <f>IF(H14=0,"",G14/H14-1)</f>
        <v>-2.6898933156903726E-2</v>
      </c>
      <c r="J14" s="283">
        <v>145.61059141250001</v>
      </c>
      <c r="K14" s="323">
        <f t="shared" si="2"/>
        <v>-9.8294511949021168E-2</v>
      </c>
      <c r="L14" s="22"/>
    </row>
    <row r="15" spans="1:12" ht="11.25" customHeight="1">
      <c r="A15" s="140" t="s">
        <v>48</v>
      </c>
      <c r="B15" s="281">
        <v>5.7554340499999999</v>
      </c>
      <c r="C15" s="243">
        <v>6.9768115999999987</v>
      </c>
      <c r="D15" s="282">
        <v>5.9279576</v>
      </c>
      <c r="E15" s="281">
        <v>6.5636348249999994</v>
      </c>
      <c r="F15" s="249">
        <f t="shared" si="1"/>
        <v>-9.6848353381694952E-2</v>
      </c>
      <c r="G15" s="281">
        <v>39.189290450000001</v>
      </c>
      <c r="H15" s="243">
        <v>43.150355099999999</v>
      </c>
      <c r="I15" s="249">
        <f t="shared" si="0"/>
        <v>-9.1796803081233502E-2</v>
      </c>
      <c r="J15" s="281">
        <v>47.337223957500008</v>
      </c>
      <c r="K15" s="249">
        <f t="shared" si="2"/>
        <v>-8.844770578982486E-2</v>
      </c>
      <c r="L15" s="22"/>
    </row>
    <row r="16" spans="1:12" ht="11.25" customHeight="1">
      <c r="A16" s="141" t="s">
        <v>29</v>
      </c>
      <c r="B16" s="283">
        <v>57.958463240000007</v>
      </c>
      <c r="C16" s="244">
        <v>60.751822727500013</v>
      </c>
      <c r="D16" s="284">
        <v>69.0593317525</v>
      </c>
      <c r="E16" s="283">
        <v>58.945296802500003</v>
      </c>
      <c r="F16" s="323">
        <f t="shared" si="1"/>
        <v>0.17158340866257271</v>
      </c>
      <c r="G16" s="283">
        <v>437.67648156750005</v>
      </c>
      <c r="H16" s="244">
        <v>438.77715382250005</v>
      </c>
      <c r="I16" s="323">
        <f>IF(H16=0,"",G16/H16-1)</f>
        <v>-2.5084994635916624E-3</v>
      </c>
      <c r="J16" s="283">
        <v>432.84139496</v>
      </c>
      <c r="K16" s="323">
        <f t="shared" si="2"/>
        <v>1.37134731835169E-2</v>
      </c>
      <c r="L16" s="22"/>
    </row>
    <row r="17" spans="1:12" ht="11.25" customHeight="1">
      <c r="A17" s="140" t="s">
        <v>28</v>
      </c>
      <c r="B17" s="281">
        <v>224.23503268000002</v>
      </c>
      <c r="C17" s="243">
        <v>197.89326374750001</v>
      </c>
      <c r="D17" s="282">
        <v>188.24767344500003</v>
      </c>
      <c r="E17" s="281">
        <v>172.62005511000001</v>
      </c>
      <c r="F17" s="249">
        <f t="shared" si="1"/>
        <v>9.0531881275565107E-2</v>
      </c>
      <c r="G17" s="281">
        <v>1176.0843021275</v>
      </c>
      <c r="H17" s="243">
        <v>1095.8716307024999</v>
      </c>
      <c r="I17" s="249">
        <f>IF(H17=0,"",G17/H17-1)</f>
        <v>7.3195317022286988E-2</v>
      </c>
      <c r="J17" s="281">
        <v>1011.0537621000001</v>
      </c>
      <c r="K17" s="249">
        <f t="shared" si="2"/>
        <v>8.3890562284570924E-2</v>
      </c>
      <c r="L17" s="22"/>
    </row>
    <row r="18" spans="1:12" ht="11.25" customHeight="1">
      <c r="A18" s="146" t="s">
        <v>41</v>
      </c>
      <c r="B18" s="285">
        <v>4894.2162032225006</v>
      </c>
      <c r="C18" s="286">
        <v>4772.7164070250001</v>
      </c>
      <c r="D18" s="540">
        <v>4805.6177883400005</v>
      </c>
      <c r="E18" s="285">
        <v>4697.045114184999</v>
      </c>
      <c r="F18" s="324">
        <f>IF(E18=0,"",D18/E18-1)</f>
        <v>2.3115101412825245E-2</v>
      </c>
      <c r="G18" s="285">
        <v>33824.501566777501</v>
      </c>
      <c r="H18" s="286">
        <v>31991.265849777494</v>
      </c>
      <c r="I18" s="324">
        <f>IF(H18=0,"",G18/H18-1)</f>
        <v>5.7304256905881701E-2</v>
      </c>
      <c r="J18" s="285">
        <v>31108.097048679003</v>
      </c>
      <c r="K18" s="324">
        <f t="shared" si="2"/>
        <v>2.8390319077264081E-2</v>
      </c>
      <c r="L18" s="30"/>
    </row>
    <row r="19" spans="1:12" ht="11.25" customHeight="1">
      <c r="A19" s="22"/>
      <c r="B19" s="22"/>
      <c r="C19" s="22"/>
      <c r="D19" s="22"/>
      <c r="E19" s="22"/>
      <c r="F19" s="22"/>
      <c r="G19" s="22"/>
      <c r="H19" s="22"/>
      <c r="I19" s="22"/>
      <c r="J19" s="22"/>
      <c r="K19" s="22"/>
      <c r="L19" s="22"/>
    </row>
    <row r="20" spans="1:12" ht="11.25" customHeight="1">
      <c r="A20" s="142" t="s">
        <v>38</v>
      </c>
      <c r="B20" s="231">
        <v>1.4373820000000002</v>
      </c>
      <c r="C20" s="232">
        <v>0</v>
      </c>
      <c r="D20" s="303">
        <v>8.1428750999999977</v>
      </c>
      <c r="E20" s="526">
        <v>4.8730723700000027</v>
      </c>
      <c r="F20" s="120">
        <f>IF(E20=0,"",D20/E20-1)</f>
        <v>0.67099408375911174</v>
      </c>
      <c r="G20" s="231">
        <v>10.239563859999999</v>
      </c>
      <c r="H20" s="302">
        <v>29.729763940000005</v>
      </c>
      <c r="I20" s="123">
        <f>IF(H20=0,"",G20/H20-1)</f>
        <v>-0.65557870285599051</v>
      </c>
      <c r="J20" s="231">
        <v>30.978489120000003</v>
      </c>
      <c r="K20" s="120">
        <f>IF(J20=0,"",H20/J20-1)</f>
        <v>-4.030942810551108E-2</v>
      </c>
      <c r="L20" s="22"/>
    </row>
    <row r="21" spans="1:12" ht="11.25" customHeight="1">
      <c r="A21" s="143" t="s">
        <v>39</v>
      </c>
      <c r="B21" s="228">
        <v>0</v>
      </c>
      <c r="C21" s="229">
        <v>0</v>
      </c>
      <c r="D21" s="230">
        <v>0</v>
      </c>
      <c r="E21" s="527">
        <v>0</v>
      </c>
      <c r="F21" s="229" t="str">
        <f>IF(E21=0,"",D21/E21-1)</f>
        <v/>
      </c>
      <c r="G21" s="228">
        <v>0.25442452999999998</v>
      </c>
      <c r="H21" s="229">
        <v>0</v>
      </c>
      <c r="I21" s="115" t="str">
        <f>IF(H21=0,"",G21/H21-1)</f>
        <v/>
      </c>
      <c r="J21" s="228">
        <v>0</v>
      </c>
      <c r="K21" s="121" t="str">
        <f>IF(J21=0,"",H21/J21-1)</f>
        <v/>
      </c>
      <c r="L21" s="22"/>
    </row>
    <row r="22" spans="1:12" ht="23.25" customHeight="1">
      <c r="A22" s="144" t="s">
        <v>40</v>
      </c>
      <c r="B22" s="241">
        <f>+B21-B20</f>
        <v>-1.4373820000000002</v>
      </c>
      <c r="C22" s="242">
        <f>+C21-C20</f>
        <v>0</v>
      </c>
      <c r="D22" s="325">
        <f>+D21-D20</f>
        <v>-8.1428750999999977</v>
      </c>
      <c r="E22" s="528">
        <f>+E21-E20</f>
        <v>-4.8730723700000027</v>
      </c>
      <c r="F22" s="242"/>
      <c r="G22" s="241">
        <f>+G21-G20</f>
        <v>-9.9851393299999991</v>
      </c>
      <c r="H22" s="242">
        <f>+H21-H20</f>
        <v>-29.729763940000005</v>
      </c>
      <c r="I22" s="124"/>
      <c r="J22" s="241">
        <f>+J21-J20</f>
        <v>-30.978489120000003</v>
      </c>
      <c r="K22" s="122"/>
      <c r="L22" s="30"/>
    </row>
    <row r="23" spans="1:12" ht="11.25" customHeight="1">
      <c r="A23" s="226" t="s">
        <v>215</v>
      </c>
      <c r="B23" s="133"/>
      <c r="C23" s="133"/>
      <c r="D23" s="133"/>
      <c r="E23" s="133"/>
      <c r="F23" s="133"/>
      <c r="G23" s="133"/>
      <c r="H23" s="134"/>
      <c r="I23" s="134"/>
      <c r="J23" s="133"/>
      <c r="K23" s="135"/>
      <c r="L23" s="22"/>
    </row>
    <row r="24" spans="1:12" ht="22.8" customHeight="1">
      <c r="A24" s="861" t="s">
        <v>572</v>
      </c>
      <c r="B24" s="861"/>
      <c r="C24" s="861"/>
      <c r="D24" s="861"/>
      <c r="E24" s="861"/>
      <c r="F24" s="861"/>
      <c r="G24" s="861"/>
      <c r="H24" s="861"/>
      <c r="I24" s="861"/>
      <c r="J24" s="861"/>
      <c r="K24" s="861"/>
      <c r="L24" s="22"/>
    </row>
    <row r="25" spans="1:12" ht="11.25" customHeight="1">
      <c r="A25" s="137"/>
      <c r="B25" s="137"/>
      <c r="C25" s="137"/>
      <c r="D25" s="137"/>
      <c r="E25" s="137"/>
      <c r="F25" s="137"/>
      <c r="G25" s="137"/>
      <c r="H25" s="137"/>
      <c r="I25" s="137"/>
      <c r="J25" s="137"/>
      <c r="K25" s="137"/>
      <c r="L25" s="22"/>
    </row>
    <row r="26" spans="1:12" ht="11.25" customHeight="1">
      <c r="A26" s="136"/>
      <c r="B26" s="138"/>
      <c r="C26" s="138"/>
      <c r="D26" s="138"/>
      <c r="E26" s="138"/>
      <c r="F26" s="138"/>
      <c r="G26" s="138"/>
      <c r="H26" s="138"/>
      <c r="I26" s="138"/>
      <c r="J26" s="138"/>
      <c r="K26" s="138"/>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38"/>
    </row>
    <row r="40" spans="1:12" ht="11.25" customHeight="1">
      <c r="A40" s="136"/>
      <c r="B40" s="138"/>
      <c r="C40" s="138"/>
      <c r="D40" s="138"/>
      <c r="E40" s="138"/>
      <c r="F40" s="138"/>
      <c r="G40" s="138"/>
      <c r="H40" s="138"/>
      <c r="I40" s="138"/>
      <c r="J40" s="138"/>
      <c r="K40" s="138"/>
      <c r="L40" s="22"/>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5: Comparación de la producción de energía eléctrica (GWh) por tipo de recurso energético acumulado a "&amp;'1. Resumen'!Q4&amp;"."</f>
        <v>Gráfico N° 5: Comparación de la producción de energía eléctrica (GWh) por tipo de recurso energético acumulado a julio.</v>
      </c>
    </row>
  </sheetData>
  <mergeCells count="6">
    <mergeCell ref="A24:K24"/>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ignoredErrors>
    <ignoredError sqref="K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Normal="100" zoomScaleSheetLayoutView="100" zoomScalePageLayoutView="115" workbookViewId="0">
      <selection activeCell="E10" sqref="E10"/>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27"/>
  </cols>
  <sheetData>
    <row r="1" spans="1:12" ht="11.25" customHeight="1"/>
    <row r="2" spans="1:12" ht="11.25" customHeight="1">
      <c r="A2" s="868" t="s">
        <v>223</v>
      </c>
      <c r="B2" s="868"/>
      <c r="C2" s="868"/>
      <c r="D2" s="868"/>
      <c r="E2" s="868"/>
      <c r="F2" s="868"/>
      <c r="G2" s="868"/>
      <c r="H2" s="868"/>
      <c r="I2" s="868"/>
      <c r="J2" s="868"/>
      <c r="K2" s="868"/>
      <c r="L2" s="428"/>
    </row>
    <row r="3" spans="1:12" ht="11.25" customHeight="1">
      <c r="A3" s="74"/>
      <c r="B3" s="73"/>
      <c r="C3" s="73"/>
      <c r="D3" s="73"/>
      <c r="E3" s="73"/>
      <c r="F3" s="73"/>
      <c r="G3" s="73"/>
      <c r="H3" s="73"/>
      <c r="I3" s="73"/>
      <c r="J3" s="73"/>
      <c r="K3" s="73"/>
      <c r="L3" s="428"/>
    </row>
    <row r="4" spans="1:12" ht="15.75" customHeight="1">
      <c r="A4" s="866" t="s">
        <v>219</v>
      </c>
      <c r="B4" s="863" t="s">
        <v>32</v>
      </c>
      <c r="C4" s="864"/>
      <c r="D4" s="864"/>
      <c r="E4" s="864" t="s">
        <v>33</v>
      </c>
      <c r="F4" s="864"/>
      <c r="G4" s="865" t="str">
        <f>+'4. Tipo Recurso'!G4:K4</f>
        <v>Generación Acumulada a julio</v>
      </c>
      <c r="H4" s="865"/>
      <c r="I4" s="865"/>
      <c r="J4" s="865"/>
      <c r="K4" s="865"/>
      <c r="L4" s="429"/>
    </row>
    <row r="5" spans="1:12" ht="29.25" customHeight="1">
      <c r="A5" s="866"/>
      <c r="B5" s="364">
        <f>+'4. Tipo Recurso'!B5</f>
        <v>45050</v>
      </c>
      <c r="C5" s="364">
        <f>+'4. Tipo Recurso'!C5</f>
        <v>45080</v>
      </c>
      <c r="D5" s="364">
        <f>+'4. Tipo Recurso'!D5</f>
        <v>45108</v>
      </c>
      <c r="E5" s="364">
        <f>+'4. Tipo Recurso'!E5</f>
        <v>44743</v>
      </c>
      <c r="F5" s="364" t="s">
        <v>34</v>
      </c>
      <c r="G5" s="366">
        <v>2023</v>
      </c>
      <c r="H5" s="366">
        <v>2022</v>
      </c>
      <c r="I5" s="365" t="s">
        <v>539</v>
      </c>
      <c r="J5" s="366">
        <v>2021</v>
      </c>
      <c r="K5" s="365" t="s">
        <v>520</v>
      </c>
      <c r="L5" s="430"/>
    </row>
    <row r="6" spans="1:12" ht="11.25" customHeight="1">
      <c r="A6" s="139" t="s">
        <v>43</v>
      </c>
      <c r="B6" s="278">
        <v>201.70210765500005</v>
      </c>
      <c r="C6" s="279">
        <v>143.55331293500001</v>
      </c>
      <c r="D6" s="280">
        <v>106.27169382249998</v>
      </c>
      <c r="E6" s="278">
        <v>112.18083470250002</v>
      </c>
      <c r="F6" s="248">
        <f t="shared" ref="F6:F11" si="0">IF(E6=0,"",D6/E6-1)</f>
        <v>-5.267513738572982E-2</v>
      </c>
      <c r="G6" s="278">
        <v>1369.5443439225005</v>
      </c>
      <c r="H6" s="279">
        <v>1373.0084291225</v>
      </c>
      <c r="I6" s="252">
        <f t="shared" ref="I6:I11" si="1">IF(H6=0,"",G6/H6-1)</f>
        <v>-2.522989026522926E-3</v>
      </c>
      <c r="J6" s="278">
        <v>1490.1805756889948</v>
      </c>
      <c r="K6" s="248">
        <f t="shared" ref="K6:K11" si="2">IF(J6=0,"",H6/J6-1)</f>
        <v>-7.8629495296111629E-2</v>
      </c>
      <c r="L6" s="431"/>
    </row>
    <row r="7" spans="1:12" ht="11.25" customHeight="1">
      <c r="A7" s="140" t="s">
        <v>37</v>
      </c>
      <c r="B7" s="281">
        <v>224.23503268000002</v>
      </c>
      <c r="C7" s="243">
        <v>197.89326374750001</v>
      </c>
      <c r="D7" s="282">
        <v>188.24767344500003</v>
      </c>
      <c r="E7" s="281">
        <v>172.62005511000001</v>
      </c>
      <c r="F7" s="249">
        <f t="shared" si="0"/>
        <v>9.0531881275565107E-2</v>
      </c>
      <c r="G7" s="281">
        <v>1176.0843021275</v>
      </c>
      <c r="H7" s="243">
        <v>1095.8716307024999</v>
      </c>
      <c r="I7" s="238">
        <f t="shared" si="1"/>
        <v>7.3195317022286988E-2</v>
      </c>
      <c r="J7" s="281">
        <v>1011.0537621000001</v>
      </c>
      <c r="K7" s="249">
        <f t="shared" si="2"/>
        <v>8.3890562284570924E-2</v>
      </c>
      <c r="L7" s="431"/>
    </row>
    <row r="8" spans="1:12" ht="11.25" customHeight="1">
      <c r="A8" s="246" t="s">
        <v>29</v>
      </c>
      <c r="B8" s="330">
        <v>57.958463240000007</v>
      </c>
      <c r="C8" s="287">
        <v>60.751822727500013</v>
      </c>
      <c r="D8" s="331">
        <v>69.0593317525</v>
      </c>
      <c r="E8" s="330">
        <v>58.945296802500003</v>
      </c>
      <c r="F8" s="250">
        <f t="shared" si="0"/>
        <v>0.17158340866257271</v>
      </c>
      <c r="G8" s="330">
        <v>437.67648156750005</v>
      </c>
      <c r="H8" s="287">
        <v>438.77715382250005</v>
      </c>
      <c r="I8" s="245">
        <f t="shared" si="1"/>
        <v>-2.5084994635916624E-3</v>
      </c>
      <c r="J8" s="330">
        <v>432.84139496</v>
      </c>
      <c r="K8" s="250">
        <f t="shared" si="2"/>
        <v>1.37134731835169E-2</v>
      </c>
      <c r="L8" s="431"/>
    </row>
    <row r="9" spans="1:12" ht="11.25" customHeight="1">
      <c r="A9" s="140" t="s">
        <v>47</v>
      </c>
      <c r="B9" s="281">
        <v>14.515525217499999</v>
      </c>
      <c r="C9" s="243">
        <v>24.929735180000002</v>
      </c>
      <c r="D9" s="282">
        <v>27.041169224999997</v>
      </c>
      <c r="E9" s="281">
        <v>28.268381044999998</v>
      </c>
      <c r="F9" s="249">
        <f t="shared" si="0"/>
        <v>-4.3412879501179114E-2</v>
      </c>
      <c r="G9" s="281">
        <v>127.76609678250001</v>
      </c>
      <c r="H9" s="243">
        <v>131.29786939499999</v>
      </c>
      <c r="I9" s="238">
        <f t="shared" si="1"/>
        <v>-2.6898933156903726E-2</v>
      </c>
      <c r="J9" s="281">
        <v>145.61059141250001</v>
      </c>
      <c r="K9" s="249">
        <f t="shared" si="2"/>
        <v>-9.8294511949021168E-2</v>
      </c>
      <c r="L9" s="432"/>
    </row>
    <row r="10" spans="1:12" ht="11.25" customHeight="1">
      <c r="A10" s="247" t="s">
        <v>48</v>
      </c>
      <c r="B10" s="332">
        <v>5.7554340499999999</v>
      </c>
      <c r="C10" s="333">
        <v>6.9768115999999987</v>
      </c>
      <c r="D10" s="334">
        <v>5.9279576</v>
      </c>
      <c r="E10" s="332">
        <v>6.5636348249999994</v>
      </c>
      <c r="F10" s="251">
        <f t="shared" si="0"/>
        <v>-9.6848353381694952E-2</v>
      </c>
      <c r="G10" s="332">
        <v>39.189290450000001</v>
      </c>
      <c r="H10" s="333">
        <v>43.150355099999999</v>
      </c>
      <c r="I10" s="253">
        <f t="shared" si="1"/>
        <v>-9.1796803081233502E-2</v>
      </c>
      <c r="J10" s="332">
        <v>47.337223957500008</v>
      </c>
      <c r="K10" s="251">
        <f t="shared" si="2"/>
        <v>-8.844770578982486E-2</v>
      </c>
      <c r="L10" s="431"/>
    </row>
    <row r="11" spans="1:12" ht="11.25" customHeight="1">
      <c r="A11" s="254" t="s">
        <v>216</v>
      </c>
      <c r="B11" s="315">
        <f>+B6+B7+B8+B9+B10</f>
        <v>504.16656284250013</v>
      </c>
      <c r="C11" s="316">
        <f t="shared" ref="C11:D11" si="3">+C6+C7+C8+C9+C10</f>
        <v>434.10494619000002</v>
      </c>
      <c r="D11" s="317">
        <f t="shared" si="3"/>
        <v>396.54782584499998</v>
      </c>
      <c r="E11" s="318">
        <f>+E6+E7+E8+E9+E10</f>
        <v>378.57820248500008</v>
      </c>
      <c r="F11" s="255">
        <f t="shared" si="0"/>
        <v>4.7466080302686953E-2</v>
      </c>
      <c r="G11" s="328">
        <f>+G6+G7+G8+G9+G10</f>
        <v>3150.2605148500006</v>
      </c>
      <c r="H11" s="329">
        <f>+H6+H7+H8+H9+H10</f>
        <v>3082.1054381425001</v>
      </c>
      <c r="I11" s="256">
        <f t="shared" si="1"/>
        <v>2.2113155463161505E-2</v>
      </c>
      <c r="J11" s="328">
        <f>+J6+J7+J8+J9+J10</f>
        <v>3127.0235481189948</v>
      </c>
      <c r="K11" s="255">
        <f t="shared" si="2"/>
        <v>-1.4364493674348666E-2</v>
      </c>
      <c r="L11" s="429"/>
    </row>
    <row r="12" spans="1:12" ht="24.75" customHeight="1">
      <c r="A12" s="257" t="s">
        <v>217</v>
      </c>
      <c r="B12" s="258">
        <f>B11/'4. Tipo Recurso'!B18</f>
        <v>0.10301272806676207</v>
      </c>
      <c r="C12" s="539">
        <f>C11/'4. Tipo Recurso'!C18</f>
        <v>9.0955529130337054E-2</v>
      </c>
      <c r="D12" s="435">
        <f>D11/'4. Tipo Recurso'!D18</f>
        <v>8.2517554102441229E-2</v>
      </c>
      <c r="E12" s="818">
        <f>E11/'4. Tipo Recurso'!E18</f>
        <v>8.0599226382071593E-2</v>
      </c>
      <c r="F12" s="259"/>
      <c r="G12" s="258">
        <f>G11/'4. Tipo Recurso'!G18</f>
        <v>9.3135460063783856E-2</v>
      </c>
      <c r="H12" s="256">
        <f>H11/'4. Tipo Recurso'!H18</f>
        <v>9.6342090763624377E-2</v>
      </c>
      <c r="I12" s="256"/>
      <c r="J12" s="258">
        <f>J11/'4. Tipo Recurso'!J18</f>
        <v>0.1005212097424578</v>
      </c>
      <c r="K12" s="259"/>
      <c r="L12" s="429"/>
    </row>
    <row r="13" spans="1:12" ht="11.25" customHeight="1">
      <c r="A13" s="260" t="s">
        <v>218</v>
      </c>
      <c r="B13" s="134"/>
      <c r="C13" s="134"/>
      <c r="D13" s="134"/>
      <c r="E13" s="134"/>
      <c r="F13" s="134"/>
      <c r="G13" s="134"/>
      <c r="H13" s="134"/>
      <c r="I13" s="134"/>
      <c r="J13" s="134"/>
      <c r="K13" s="135"/>
      <c r="L13" s="429"/>
    </row>
    <row r="14" spans="1:12" ht="35.25" customHeight="1">
      <c r="A14" s="869" t="s">
        <v>606</v>
      </c>
      <c r="B14" s="869"/>
      <c r="C14" s="869"/>
      <c r="D14" s="869"/>
      <c r="E14" s="869"/>
      <c r="F14" s="869"/>
      <c r="G14" s="869"/>
      <c r="H14" s="869"/>
      <c r="I14" s="869"/>
      <c r="J14" s="869"/>
      <c r="K14" s="869"/>
      <c r="L14" s="429"/>
    </row>
    <row r="15" spans="1:12" ht="11.25" customHeight="1">
      <c r="A15" s="31"/>
      <c r="L15" s="429"/>
    </row>
    <row r="16" spans="1:12" ht="11.25" customHeight="1">
      <c r="A16" s="136"/>
      <c r="B16" s="147"/>
      <c r="C16" s="147"/>
      <c r="D16" s="147"/>
      <c r="E16" s="147"/>
      <c r="F16" s="147"/>
      <c r="G16" s="147"/>
      <c r="H16" s="147"/>
      <c r="I16" s="147"/>
      <c r="J16" s="147"/>
      <c r="K16" s="147"/>
      <c r="L16" s="429"/>
    </row>
    <row r="17" spans="1:12" ht="11.25" customHeight="1">
      <c r="A17" s="147"/>
      <c r="B17" s="147"/>
      <c r="C17" s="147"/>
      <c r="D17" s="147"/>
      <c r="E17" s="147"/>
      <c r="F17" s="147"/>
      <c r="G17" s="147"/>
      <c r="H17" s="147"/>
      <c r="I17" s="147"/>
      <c r="J17" s="147"/>
      <c r="K17" s="147"/>
      <c r="L17" s="429"/>
    </row>
    <row r="18" spans="1:12" ht="11.25" customHeight="1">
      <c r="A18" s="147"/>
      <c r="B18" s="147"/>
      <c r="C18" s="147"/>
      <c r="D18" s="147"/>
      <c r="E18" s="147"/>
      <c r="F18" s="147"/>
      <c r="G18" s="147"/>
      <c r="H18" s="147"/>
      <c r="I18" s="147"/>
      <c r="J18" s="147"/>
      <c r="K18" s="147"/>
      <c r="L18" s="433"/>
    </row>
    <row r="19" spans="1:12" ht="11.25" customHeight="1">
      <c r="A19" s="136"/>
      <c r="B19" s="138"/>
      <c r="C19" s="138"/>
      <c r="D19" s="138"/>
      <c r="E19" s="138"/>
      <c r="F19" s="138"/>
      <c r="G19" s="138"/>
      <c r="H19" s="138"/>
      <c r="I19" s="138"/>
      <c r="J19" s="138"/>
      <c r="K19" s="138"/>
      <c r="L19" s="429"/>
    </row>
    <row r="20" spans="1:12" ht="11.25" customHeight="1">
      <c r="A20" s="136"/>
      <c r="B20" s="138"/>
      <c r="C20" s="138"/>
      <c r="D20" s="138"/>
      <c r="E20" s="138"/>
      <c r="F20" s="138"/>
      <c r="G20" s="138"/>
      <c r="H20" s="138"/>
      <c r="I20" s="138"/>
      <c r="J20" s="138"/>
      <c r="K20" s="138"/>
      <c r="L20" s="429"/>
    </row>
    <row r="21" spans="1:12" ht="11.25" customHeight="1">
      <c r="A21" s="136"/>
      <c r="B21" s="138"/>
      <c r="C21" s="138"/>
      <c r="D21" s="138"/>
      <c r="E21" s="138"/>
      <c r="F21" s="138"/>
      <c r="G21" s="138"/>
      <c r="H21" s="138"/>
      <c r="I21" s="138"/>
      <c r="J21" s="138"/>
      <c r="K21" s="138"/>
      <c r="L21" s="429"/>
    </row>
    <row r="22" spans="1:12" ht="11.25" customHeight="1">
      <c r="A22" s="136"/>
      <c r="B22" s="138"/>
      <c r="C22" s="138"/>
      <c r="D22" s="138"/>
      <c r="E22" s="138"/>
      <c r="F22" s="138"/>
      <c r="G22" s="138"/>
      <c r="H22" s="138"/>
      <c r="I22" s="138"/>
      <c r="J22" s="138"/>
      <c r="K22" s="138"/>
      <c r="L22" s="433"/>
    </row>
    <row r="23" spans="1:12" ht="11.25" customHeight="1">
      <c r="A23" s="136"/>
      <c r="B23" s="138"/>
      <c r="C23" s="138"/>
      <c r="D23" s="138"/>
      <c r="E23" s="138"/>
      <c r="F23" s="138"/>
      <c r="G23" s="138"/>
      <c r="H23" s="138"/>
      <c r="I23" s="138"/>
      <c r="J23" s="138"/>
      <c r="K23" s="138"/>
      <c r="L23" s="429"/>
    </row>
    <row r="24" spans="1:12" ht="11.25" customHeight="1">
      <c r="A24" s="136"/>
      <c r="B24" s="138"/>
      <c r="C24" s="138"/>
      <c r="D24" s="138"/>
      <c r="E24" s="138"/>
      <c r="F24" s="138"/>
      <c r="G24" s="138"/>
      <c r="H24" s="138"/>
      <c r="I24" s="138"/>
      <c r="J24" s="138"/>
      <c r="K24" s="138"/>
      <c r="L24" s="429"/>
    </row>
    <row r="25" spans="1:12" ht="11.25" customHeight="1">
      <c r="A25" s="136"/>
      <c r="B25" s="138"/>
      <c r="C25" s="138"/>
      <c r="D25" s="138"/>
      <c r="E25" s="138"/>
      <c r="F25" s="138"/>
      <c r="G25" s="138"/>
      <c r="H25" s="138"/>
      <c r="I25" s="138"/>
      <c r="J25" s="138"/>
      <c r="K25" s="138"/>
      <c r="L25" s="429"/>
    </row>
    <row r="26" spans="1:12" ht="11.25" customHeight="1">
      <c r="A26" s="136"/>
      <c r="B26" s="138"/>
      <c r="C26" s="138"/>
      <c r="D26" s="138"/>
      <c r="E26" s="138"/>
      <c r="F26" s="138"/>
      <c r="G26" s="138"/>
      <c r="H26" s="138"/>
      <c r="I26" s="138"/>
      <c r="J26" s="138"/>
      <c r="K26" s="138"/>
      <c r="L26" s="429"/>
    </row>
    <row r="27" spans="1:12" ht="11.25" customHeight="1">
      <c r="A27" s="136"/>
      <c r="B27" s="138"/>
      <c r="C27" s="138"/>
      <c r="D27" s="138"/>
      <c r="E27" s="138"/>
      <c r="F27" s="138"/>
      <c r="G27" s="138"/>
      <c r="H27" s="138"/>
      <c r="I27" s="138"/>
      <c r="J27" s="138"/>
      <c r="K27" s="138"/>
      <c r="L27" s="429"/>
    </row>
    <row r="28" spans="1:12" ht="11.25" customHeight="1">
      <c r="A28" s="136"/>
      <c r="B28" s="138"/>
      <c r="C28" s="138"/>
      <c r="D28" s="138"/>
      <c r="E28" s="138"/>
      <c r="F28" s="138"/>
      <c r="G28" s="138"/>
      <c r="H28" s="138"/>
      <c r="I28" s="138"/>
      <c r="J28" s="138"/>
      <c r="K28" s="138"/>
      <c r="L28" s="429"/>
    </row>
    <row r="29" spans="1:12" ht="11.25" customHeight="1">
      <c r="A29" s="136"/>
      <c r="B29" s="138"/>
      <c r="C29" s="138"/>
      <c r="D29" s="138"/>
      <c r="E29" s="138"/>
      <c r="F29" s="138"/>
      <c r="G29" s="138"/>
      <c r="H29" s="138"/>
      <c r="I29" s="138"/>
      <c r="J29" s="138"/>
      <c r="K29" s="138"/>
      <c r="L29" s="429"/>
    </row>
    <row r="30" spans="1:12" ht="11.25" customHeight="1">
      <c r="A30" s="136"/>
      <c r="B30" s="138"/>
      <c r="C30" s="138"/>
      <c r="D30" s="138"/>
      <c r="E30" s="138"/>
      <c r="F30" s="138"/>
      <c r="G30" s="138"/>
      <c r="H30" s="138"/>
      <c r="I30" s="138"/>
      <c r="J30" s="138"/>
      <c r="K30" s="138"/>
      <c r="L30" s="429"/>
    </row>
    <row r="31" spans="1:12" ht="11.25" customHeight="1">
      <c r="A31" s="136"/>
      <c r="B31" s="138"/>
      <c r="C31" s="138"/>
      <c r="D31" s="138"/>
      <c r="E31" s="138"/>
      <c r="F31" s="138"/>
      <c r="G31" s="138"/>
      <c r="H31" s="138"/>
      <c r="I31" s="138"/>
      <c r="J31" s="138"/>
      <c r="K31" s="138"/>
      <c r="L31" s="429"/>
    </row>
    <row r="32" spans="1:12" ht="11.25" customHeight="1">
      <c r="A32" s="136"/>
      <c r="B32" s="138"/>
      <c r="C32" s="138"/>
      <c r="D32" s="138"/>
      <c r="E32" s="138"/>
      <c r="F32" s="138"/>
      <c r="G32" s="138"/>
      <c r="H32" s="138"/>
      <c r="I32" s="138"/>
      <c r="J32" s="138"/>
      <c r="K32" s="138"/>
      <c r="L32" s="429"/>
    </row>
    <row r="33" spans="1:16" ht="11.25" customHeight="1">
      <c r="A33" s="136"/>
      <c r="B33" s="138"/>
      <c r="C33" s="138"/>
      <c r="D33" s="138"/>
      <c r="E33" s="138"/>
      <c r="F33" s="138"/>
      <c r="G33" s="138"/>
      <c r="H33" s="138"/>
      <c r="I33" s="138"/>
      <c r="J33" s="138"/>
      <c r="K33" s="138"/>
      <c r="L33" s="429"/>
    </row>
    <row r="34" spans="1:16" ht="11.25" customHeight="1">
      <c r="A34" s="136"/>
      <c r="B34" s="138"/>
      <c r="C34" s="138"/>
      <c r="D34" s="138"/>
      <c r="E34" s="138"/>
      <c r="F34" s="138"/>
      <c r="G34" s="138"/>
      <c r="H34" s="138"/>
      <c r="I34" s="138"/>
      <c r="J34" s="138"/>
      <c r="K34" s="138"/>
      <c r="L34" s="429"/>
    </row>
    <row r="35" spans="1:16" ht="11.25" customHeight="1">
      <c r="A35" s="867" t="str">
        <f>"Gráfico N° 6: Comparación de la producción de energía eléctrica acumulada (GWh) con recursos energéticos renovables en "&amp;'1. Resumen'!Q4&amp;"."</f>
        <v>Gráfico N° 6: Comparación de la producción de energía eléctrica acumulada (GWh) con recursos energéticos renovables en julio.</v>
      </c>
      <c r="B35" s="867"/>
      <c r="C35" s="867"/>
      <c r="D35" s="867"/>
      <c r="E35" s="867"/>
      <c r="F35" s="867"/>
      <c r="G35" s="867"/>
      <c r="H35" s="867"/>
      <c r="I35" s="867"/>
      <c r="J35" s="867"/>
      <c r="K35" s="867"/>
      <c r="L35" s="581"/>
      <c r="M35" s="277"/>
      <c r="N35" s="277"/>
      <c r="O35" s="277"/>
    </row>
    <row r="36" spans="1:16" ht="11.25" customHeight="1">
      <c r="L36" s="582"/>
      <c r="M36" s="277"/>
      <c r="N36" s="277"/>
      <c r="O36" s="277"/>
    </row>
    <row r="37" spans="1:16" ht="11.25" customHeight="1">
      <c r="A37" s="136"/>
      <c r="B37" s="138"/>
      <c r="C37" s="138"/>
      <c r="D37" s="138"/>
      <c r="E37" s="138"/>
      <c r="F37" s="138"/>
      <c r="G37" s="138"/>
      <c r="H37" s="138"/>
      <c r="I37" s="138"/>
      <c r="J37" s="138"/>
      <c r="K37" s="138"/>
      <c r="L37" s="581"/>
      <c r="M37" s="277"/>
      <c r="N37" s="277"/>
      <c r="O37" s="277"/>
    </row>
    <row r="38" spans="1:16" ht="11.25" customHeight="1">
      <c r="A38" s="136"/>
      <c r="B38" s="138"/>
      <c r="C38" s="138"/>
      <c r="D38" s="138"/>
      <c r="E38" s="138"/>
      <c r="F38" s="138"/>
      <c r="G38" s="138"/>
      <c r="H38" s="138"/>
      <c r="I38" s="138"/>
      <c r="J38" s="138"/>
      <c r="K38" s="138"/>
      <c r="L38" s="581"/>
      <c r="M38" s="277"/>
      <c r="N38" s="277"/>
      <c r="O38" s="277"/>
    </row>
    <row r="39" spans="1:16" ht="11.25" customHeight="1">
      <c r="A39" s="136"/>
      <c r="B39" s="138"/>
      <c r="C39" s="138"/>
      <c r="D39" s="138"/>
      <c r="E39" s="138"/>
      <c r="F39" s="138"/>
      <c r="G39" s="138"/>
      <c r="H39" s="138"/>
      <c r="I39" s="138"/>
      <c r="J39" s="138"/>
      <c r="K39" s="138"/>
      <c r="L39" s="581"/>
      <c r="M39" s="277"/>
      <c r="N39" s="277"/>
      <c r="O39" s="277"/>
    </row>
    <row r="40" spans="1:16" ht="11.25" customHeight="1">
      <c r="A40" s="136"/>
      <c r="B40" s="138"/>
      <c r="C40" s="261" t="s">
        <v>221</v>
      </c>
      <c r="D40" s="158"/>
      <c r="E40" s="158"/>
      <c r="F40" s="327">
        <f>+'4. Tipo Recurso'!D18</f>
        <v>4805.6177883400005</v>
      </c>
      <c r="G40" s="261" t="s">
        <v>220</v>
      </c>
      <c r="H40" s="138"/>
      <c r="I40" s="138"/>
      <c r="J40" s="138"/>
      <c r="K40" s="138"/>
      <c r="L40" s="581"/>
      <c r="M40" s="583">
        <f>+F40-F41</f>
        <v>4409.0677883400003</v>
      </c>
      <c r="N40" s="277"/>
      <c r="O40" s="277"/>
      <c r="P40" s="434"/>
    </row>
    <row r="41" spans="1:16" ht="11.25" customHeight="1">
      <c r="A41" s="136"/>
      <c r="B41" s="138"/>
      <c r="C41" s="261" t="s">
        <v>222</v>
      </c>
      <c r="D41" s="158"/>
      <c r="E41" s="158"/>
      <c r="F41" s="327">
        <f>ROUND(D11,2)</f>
        <v>396.55</v>
      </c>
      <c r="G41" s="261" t="s">
        <v>220</v>
      </c>
      <c r="H41" s="138"/>
      <c r="I41" s="138"/>
      <c r="J41" s="138"/>
      <c r="K41" s="138"/>
      <c r="L41" s="581"/>
      <c r="M41" s="584"/>
      <c r="N41" s="277"/>
      <c r="O41" s="277"/>
      <c r="P41" s="434"/>
    </row>
    <row r="42" spans="1:16" ht="11.25" customHeight="1">
      <c r="A42" s="136"/>
      <c r="B42" s="138"/>
      <c r="C42" s="138"/>
      <c r="D42" s="138"/>
      <c r="E42" s="138"/>
      <c r="F42" s="138"/>
      <c r="G42" s="138"/>
      <c r="H42" s="138"/>
      <c r="I42" s="138"/>
      <c r="J42" s="138"/>
      <c r="K42" s="138"/>
      <c r="L42" s="581"/>
      <c r="M42" s="277"/>
      <c r="N42" s="277"/>
      <c r="O42" s="277"/>
      <c r="P42" s="434"/>
    </row>
    <row r="43" spans="1:16" ht="11.25" customHeight="1">
      <c r="A43" s="136"/>
      <c r="B43" s="138"/>
      <c r="C43" s="138"/>
      <c r="D43" s="138"/>
      <c r="E43" s="138"/>
      <c r="F43" s="138"/>
      <c r="G43" s="138"/>
      <c r="H43" s="138"/>
      <c r="I43" s="138"/>
      <c r="J43" s="138"/>
      <c r="K43" s="138"/>
      <c r="L43" s="581"/>
      <c r="M43" s="277"/>
      <c r="N43" s="277"/>
      <c r="O43" s="277"/>
      <c r="P43" s="434"/>
    </row>
    <row r="44" spans="1:16" ht="11.25" customHeight="1">
      <c r="A44" s="136"/>
      <c r="B44" s="138"/>
      <c r="C44" s="138"/>
      <c r="D44" s="138"/>
      <c r="E44" s="138"/>
      <c r="F44" s="138"/>
      <c r="G44" s="138"/>
      <c r="H44" s="138"/>
      <c r="I44" s="138"/>
      <c r="J44" s="138"/>
      <c r="K44" s="138"/>
      <c r="L44" s="581"/>
      <c r="M44" s="277"/>
      <c r="N44" s="277"/>
      <c r="O44" s="277"/>
      <c r="P44" s="434"/>
    </row>
    <row r="45" spans="1:16" ht="11.25" customHeight="1">
      <c r="A45" s="136"/>
      <c r="B45" s="138"/>
      <c r="C45" s="138"/>
      <c r="D45" s="138"/>
      <c r="E45" s="138"/>
      <c r="F45" s="138"/>
      <c r="G45" s="138"/>
      <c r="H45" s="138"/>
      <c r="I45" s="138"/>
      <c r="J45" s="138"/>
      <c r="K45" s="138"/>
      <c r="L45" s="581"/>
      <c r="M45" s="277"/>
      <c r="N45" s="277"/>
      <c r="O45" s="277"/>
      <c r="P45" s="434"/>
    </row>
    <row r="46" spans="1:16" ht="11.25" customHeight="1">
      <c r="A46" s="136"/>
      <c r="B46" s="138"/>
      <c r="C46" s="138"/>
      <c r="D46" s="138"/>
      <c r="E46" s="138"/>
      <c r="F46" s="138"/>
      <c r="G46" s="138"/>
      <c r="H46" s="138"/>
      <c r="I46" s="138"/>
      <c r="J46" s="138"/>
      <c r="K46" s="138"/>
      <c r="L46" s="581"/>
      <c r="M46" s="277"/>
      <c r="N46" s="277"/>
      <c r="O46" s="277"/>
      <c r="P46" s="434"/>
    </row>
    <row r="47" spans="1:16" ht="11.25" customHeight="1">
      <c r="A47" s="136"/>
      <c r="B47" s="138"/>
      <c r="C47" s="138"/>
      <c r="D47" s="138"/>
      <c r="E47" s="138"/>
      <c r="F47" s="138"/>
      <c r="G47" s="138"/>
      <c r="H47" s="138"/>
      <c r="I47" s="138"/>
      <c r="J47" s="138"/>
      <c r="K47" s="138"/>
      <c r="L47" s="429"/>
      <c r="P47" s="434"/>
    </row>
    <row r="48" spans="1:16"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7: Participación de las RER en la Matriz de Generación del SEIN en "&amp;'1. Resumen'!Q4&amp;" "&amp;'1. Resumen'!Q5&amp;"."</f>
        <v>Gráfico N° 7: Participación de las RER en la Matriz de Generación del SEIN en julio 2023.</v>
      </c>
      <c r="B63" s="138"/>
      <c r="C63" s="138"/>
      <c r="D63" s="138"/>
      <c r="E63" s="138"/>
      <c r="F63" s="138"/>
      <c r="G63" s="138"/>
      <c r="H63" s="138"/>
      <c r="I63" s="138"/>
      <c r="J63" s="138"/>
      <c r="K63" s="138"/>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4"/>
  <sheetViews>
    <sheetView showGridLines="0" view="pageBreakPreview" zoomScaleNormal="100" zoomScaleSheetLayoutView="100" zoomScalePageLayoutView="115" workbookViewId="0">
      <selection activeCell="Y1" sqref="Y1:Z1048576"/>
    </sheetView>
  </sheetViews>
  <sheetFormatPr baseColWidth="10" defaultColWidth="9.28515625" defaultRowHeight="10.199999999999999"/>
  <cols>
    <col min="1" max="12" width="10.28515625" customWidth="1"/>
    <col min="13" max="13" width="21.140625" style="548" bestFit="1" customWidth="1"/>
    <col min="14" max="14" width="9.28515625" style="634"/>
    <col min="15" max="15" width="9.28515625" style="548"/>
    <col min="16" max="16" width="11.85546875" style="548" customWidth="1"/>
    <col min="17" max="20" width="9.28515625" style="548"/>
    <col min="21" max="21" width="15" style="548" customWidth="1"/>
    <col min="22" max="22" width="9.28515625" style="548"/>
    <col min="23" max="23" width="14.140625" style="548" bestFit="1" customWidth="1"/>
    <col min="26" max="26" width="17.85546875" bestFit="1" customWidth="1"/>
  </cols>
  <sheetData>
    <row r="2" spans="1:26" ht="11.25" customHeight="1">
      <c r="A2" s="870" t="s">
        <v>227</v>
      </c>
      <c r="B2" s="870"/>
      <c r="C2" s="870"/>
      <c r="D2" s="870"/>
      <c r="E2" s="870"/>
      <c r="F2" s="870"/>
      <c r="G2" s="870"/>
      <c r="H2" s="870"/>
      <c r="I2" s="870"/>
      <c r="J2" s="870"/>
      <c r="K2" s="870"/>
      <c r="L2" s="870"/>
    </row>
    <row r="3" spans="1:26" ht="11.25" customHeight="1"/>
    <row r="4" spans="1:26" ht="11.25" customHeight="1">
      <c r="M4" s="630" t="s">
        <v>52</v>
      </c>
      <c r="N4" s="631" t="s">
        <v>30</v>
      </c>
      <c r="O4" s="630"/>
      <c r="P4" s="632"/>
      <c r="Q4" s="633"/>
      <c r="R4" s="633"/>
    </row>
    <row r="5" spans="1:26" ht="10.5" customHeight="1">
      <c r="A5" s="149"/>
      <c r="B5" s="138"/>
      <c r="C5" s="138"/>
      <c r="D5" s="138"/>
      <c r="E5" s="138"/>
      <c r="F5" s="138"/>
      <c r="G5" s="138"/>
      <c r="H5" s="138"/>
      <c r="I5" s="138"/>
      <c r="J5" s="138"/>
      <c r="K5" s="138"/>
      <c r="L5" s="138"/>
      <c r="M5" s="630"/>
      <c r="N5" s="631"/>
      <c r="O5" s="630"/>
      <c r="P5" s="630" t="s">
        <v>53</v>
      </c>
      <c r="Q5" s="630" t="s">
        <v>54</v>
      </c>
      <c r="R5" s="630"/>
      <c r="V5" s="548">
        <v>2023</v>
      </c>
      <c r="W5" s="634">
        <v>2022</v>
      </c>
      <c r="X5" s="760"/>
    </row>
    <row r="6" spans="1:26" ht="10.5" customHeight="1">
      <c r="A6" s="111"/>
      <c r="B6" s="138"/>
      <c r="C6" s="138"/>
      <c r="D6" s="138"/>
      <c r="E6" s="138"/>
      <c r="F6" s="138"/>
      <c r="G6" s="138"/>
      <c r="H6" s="138"/>
      <c r="I6" s="138"/>
      <c r="J6" s="138"/>
      <c r="K6" s="138"/>
      <c r="L6" s="138"/>
      <c r="M6" s="635" t="s">
        <v>386</v>
      </c>
      <c r="N6" s="637" t="s">
        <v>56</v>
      </c>
      <c r="O6" s="636">
        <v>20.861999999999998</v>
      </c>
      <c r="P6" s="637">
        <v>14.624096485000001</v>
      </c>
      <c r="Q6" s="637">
        <v>0.94219363736144235</v>
      </c>
      <c r="R6" s="637"/>
      <c r="T6" s="548" t="s">
        <v>424</v>
      </c>
      <c r="U6" s="548" t="s">
        <v>386</v>
      </c>
      <c r="V6" s="638">
        <v>0.93906779745127311</v>
      </c>
      <c r="W6" s="639">
        <v>0.88837405296075633</v>
      </c>
      <c r="X6" s="761"/>
      <c r="Y6" s="732"/>
      <c r="Z6" s="698"/>
    </row>
    <row r="7" spans="1:26" ht="10.5" customHeight="1">
      <c r="A7" s="136"/>
      <c r="B7" s="138"/>
      <c r="C7" s="138"/>
      <c r="D7" s="138"/>
      <c r="E7" s="138"/>
      <c r="F7" s="138"/>
      <c r="G7" s="138"/>
      <c r="H7" s="138"/>
      <c r="I7" s="138"/>
      <c r="J7" s="138"/>
      <c r="K7" s="138"/>
      <c r="L7" s="138"/>
      <c r="M7" s="635" t="s">
        <v>57</v>
      </c>
      <c r="N7" s="637" t="s">
        <v>56</v>
      </c>
      <c r="O7" s="636">
        <v>18.148</v>
      </c>
      <c r="P7" s="637">
        <v>10.116444999999999</v>
      </c>
      <c r="Q7" s="637">
        <v>0.74924908044015626</v>
      </c>
      <c r="R7" s="637"/>
      <c r="U7" s="548" t="s">
        <v>57</v>
      </c>
      <c r="V7" s="638">
        <v>0.9051671515859121</v>
      </c>
      <c r="W7" s="639">
        <v>0.7785948148792402</v>
      </c>
      <c r="X7" s="761"/>
      <c r="Y7" s="732"/>
      <c r="Z7" s="698"/>
    </row>
    <row r="8" spans="1:26" ht="10.5" customHeight="1">
      <c r="A8" s="136"/>
      <c r="B8" s="138"/>
      <c r="C8" s="138"/>
      <c r="D8" s="138"/>
      <c r="E8" s="138"/>
      <c r="F8" s="138"/>
      <c r="G8" s="138"/>
      <c r="H8" s="138"/>
      <c r="I8" s="138"/>
      <c r="J8" s="138"/>
      <c r="K8" s="138"/>
      <c r="L8" s="138"/>
      <c r="M8" s="635" t="s">
        <v>431</v>
      </c>
      <c r="N8" s="637" t="s">
        <v>56</v>
      </c>
      <c r="O8" s="636">
        <v>20.295999999999999</v>
      </c>
      <c r="P8" s="637">
        <v>9.6336858224999986</v>
      </c>
      <c r="Q8" s="637">
        <v>0.63798297445786223</v>
      </c>
      <c r="R8" s="637"/>
      <c r="U8" s="548" t="s">
        <v>431</v>
      </c>
      <c r="V8" s="638">
        <v>0.88787564243767714</v>
      </c>
      <c r="W8" s="639">
        <v>0.97327023220331477</v>
      </c>
      <c r="X8" s="761"/>
      <c r="Y8" s="732"/>
      <c r="Z8" s="698"/>
    </row>
    <row r="9" spans="1:26" ht="10.5" customHeight="1">
      <c r="A9" s="136"/>
      <c r="B9" s="138"/>
      <c r="C9" s="138"/>
      <c r="D9" s="138"/>
      <c r="E9" s="138"/>
      <c r="F9" s="138"/>
      <c r="G9" s="138"/>
      <c r="H9" s="138"/>
      <c r="I9" s="138"/>
      <c r="J9" s="138"/>
      <c r="K9" s="138"/>
      <c r="L9" s="138"/>
      <c r="M9" s="635" t="s">
        <v>399</v>
      </c>
      <c r="N9" s="759" t="s">
        <v>56</v>
      </c>
      <c r="O9" s="636">
        <v>20.365970000000001</v>
      </c>
      <c r="P9" s="637">
        <v>7.9616368949999998</v>
      </c>
      <c r="Q9" s="637">
        <v>0.52544145252452823</v>
      </c>
      <c r="R9" s="637"/>
      <c r="U9" s="548" t="s">
        <v>70</v>
      </c>
      <c r="V9" s="638">
        <v>0.88404476486806616</v>
      </c>
      <c r="W9" s="639">
        <v>0.46531520414283606</v>
      </c>
      <c r="X9" s="761"/>
      <c r="Y9" s="732"/>
      <c r="Z9" s="698"/>
    </row>
    <row r="10" spans="1:26" ht="10.5" customHeight="1">
      <c r="A10" s="136"/>
      <c r="B10" s="138"/>
      <c r="C10" s="138"/>
      <c r="D10" s="138"/>
      <c r="E10" s="138"/>
      <c r="F10" s="138"/>
      <c r="G10" s="138"/>
      <c r="H10" s="138"/>
      <c r="I10" s="138"/>
      <c r="J10" s="138"/>
      <c r="K10" s="138"/>
      <c r="L10" s="138"/>
      <c r="M10" s="635" t="s">
        <v>430</v>
      </c>
      <c r="N10" s="759" t="s">
        <v>56</v>
      </c>
      <c r="O10" s="636">
        <v>20.27</v>
      </c>
      <c r="P10" s="637">
        <v>7.4611049299999994</v>
      </c>
      <c r="Q10" s="637">
        <v>0.4947393607004365</v>
      </c>
      <c r="R10" s="637"/>
      <c r="U10" s="548" t="s">
        <v>60</v>
      </c>
      <c r="V10" s="638">
        <v>0.8261378070116997</v>
      </c>
      <c r="W10" s="639">
        <v>0.70129623961062693</v>
      </c>
      <c r="X10" s="761"/>
      <c r="Y10" s="732"/>
      <c r="Z10" s="698"/>
    </row>
    <row r="11" spans="1:26" ht="10.5" customHeight="1">
      <c r="A11" s="136"/>
      <c r="B11" s="138"/>
      <c r="C11" s="138"/>
      <c r="D11" s="138"/>
      <c r="E11" s="138"/>
      <c r="F11" s="138"/>
      <c r="G11" s="138"/>
      <c r="H11" s="138"/>
      <c r="I11" s="138"/>
      <c r="J11" s="138"/>
      <c r="K11" s="138"/>
      <c r="L11" s="138"/>
      <c r="M11" s="635" t="s">
        <v>67</v>
      </c>
      <c r="N11" s="759" t="s">
        <v>56</v>
      </c>
      <c r="O11" s="636">
        <v>9.5660000000000007</v>
      </c>
      <c r="P11" s="637">
        <v>5.5289283549999997</v>
      </c>
      <c r="Q11" s="637">
        <v>0.77685085886057026</v>
      </c>
      <c r="R11" s="637"/>
      <c r="U11" s="548" t="s">
        <v>430</v>
      </c>
      <c r="V11" s="638">
        <v>0.81576451602753552</v>
      </c>
      <c r="W11" s="639">
        <v>0.86981143341042477</v>
      </c>
      <c r="X11" s="761"/>
      <c r="Y11" s="732"/>
      <c r="Z11" s="698"/>
    </row>
    <row r="12" spans="1:26" ht="10.5" customHeight="1">
      <c r="A12" s="136"/>
      <c r="B12" s="138"/>
      <c r="C12" s="138"/>
      <c r="D12" s="138"/>
      <c r="E12" s="138"/>
      <c r="F12" s="138"/>
      <c r="G12" s="138"/>
      <c r="H12" s="138"/>
      <c r="I12" s="138"/>
      <c r="J12" s="138"/>
      <c r="K12" s="138"/>
      <c r="L12" s="138"/>
      <c r="M12" s="635" t="s">
        <v>64</v>
      </c>
      <c r="N12" s="637" t="s">
        <v>56</v>
      </c>
      <c r="O12" s="636">
        <v>9.0798699999999997</v>
      </c>
      <c r="P12" s="637">
        <v>4.0387274099999999</v>
      </c>
      <c r="Q12" s="637">
        <v>0.5978496450336418</v>
      </c>
      <c r="R12" s="637"/>
      <c r="U12" s="548" t="s">
        <v>72</v>
      </c>
      <c r="V12" s="638">
        <v>0.81028962002953897</v>
      </c>
      <c r="W12" s="639">
        <v>0.59641557517765698</v>
      </c>
      <c r="X12" s="761"/>
      <c r="Y12" s="732"/>
      <c r="Z12" s="698"/>
    </row>
    <row r="13" spans="1:26" ht="10.5" customHeight="1">
      <c r="A13" s="136"/>
      <c r="B13" s="138"/>
      <c r="C13" s="138"/>
      <c r="D13" s="138"/>
      <c r="E13" s="138"/>
      <c r="F13" s="138"/>
      <c r="G13" s="138"/>
      <c r="H13" s="138"/>
      <c r="I13" s="138"/>
      <c r="J13" s="138"/>
      <c r="K13" s="138"/>
      <c r="L13" s="138"/>
      <c r="M13" s="635" t="s">
        <v>393</v>
      </c>
      <c r="N13" s="637" t="s">
        <v>56</v>
      </c>
      <c r="O13" s="636">
        <v>20.084060000000001</v>
      </c>
      <c r="P13" s="637">
        <v>3.8006059850000002</v>
      </c>
      <c r="Q13" s="637">
        <v>0.25434804405524442</v>
      </c>
      <c r="R13" s="637"/>
      <c r="U13" s="548" t="s">
        <v>59</v>
      </c>
      <c r="V13" s="638">
        <v>0.78299708010956948</v>
      </c>
      <c r="W13" s="639">
        <v>0.80419415326169141</v>
      </c>
      <c r="X13" s="761"/>
      <c r="Y13" s="732"/>
      <c r="Z13" s="698"/>
    </row>
    <row r="14" spans="1:26" ht="10.5" customHeight="1">
      <c r="A14" s="136"/>
      <c r="B14" s="138"/>
      <c r="C14" s="138"/>
      <c r="D14" s="138"/>
      <c r="E14" s="138"/>
      <c r="F14" s="138"/>
      <c r="G14" s="138"/>
      <c r="H14" s="138"/>
      <c r="I14" s="138"/>
      <c r="J14" s="138"/>
      <c r="K14" s="138"/>
      <c r="L14" s="138"/>
      <c r="M14" s="635" t="s">
        <v>68</v>
      </c>
      <c r="N14" s="637" t="s">
        <v>56</v>
      </c>
      <c r="O14" s="636">
        <v>5.1890000000000001</v>
      </c>
      <c r="P14" s="637">
        <v>3.78700715</v>
      </c>
      <c r="Q14" s="637">
        <v>0.98093339249487643</v>
      </c>
      <c r="R14" s="637"/>
      <c r="U14" s="548" t="s">
        <v>71</v>
      </c>
      <c r="V14" s="638">
        <v>0.78079318740399417</v>
      </c>
      <c r="W14" s="639">
        <v>0.60062954672386537</v>
      </c>
      <c r="X14" s="761"/>
      <c r="Y14" s="732"/>
      <c r="Z14" s="698"/>
    </row>
    <row r="15" spans="1:26" ht="11.25" customHeight="1">
      <c r="A15" s="136"/>
      <c r="B15" s="138"/>
      <c r="C15" s="138"/>
      <c r="D15" s="138"/>
      <c r="E15" s="138"/>
      <c r="F15" s="138"/>
      <c r="G15" s="138"/>
      <c r="H15" s="138"/>
      <c r="I15" s="138"/>
      <c r="J15" s="138"/>
      <c r="K15" s="138"/>
      <c r="L15" s="138"/>
      <c r="M15" s="635" t="s">
        <v>392</v>
      </c>
      <c r="N15" s="637" t="s">
        <v>56</v>
      </c>
      <c r="O15" s="636">
        <v>19.987169999999999</v>
      </c>
      <c r="P15" s="637">
        <v>3.6850678549999998</v>
      </c>
      <c r="Q15" s="637">
        <v>0.24781138061087693</v>
      </c>
      <c r="R15" s="637"/>
      <c r="U15" s="548" t="s">
        <v>68</v>
      </c>
      <c r="V15" s="638">
        <v>0.76629136316270141</v>
      </c>
      <c r="W15" s="639">
        <v>0.553794211755546</v>
      </c>
      <c r="X15" s="761"/>
      <c r="Y15" s="732"/>
      <c r="Z15" s="698"/>
    </row>
    <row r="16" spans="1:26" ht="11.25" customHeight="1">
      <c r="A16" s="136"/>
      <c r="B16" s="138"/>
      <c r="C16" s="138"/>
      <c r="D16" s="138"/>
      <c r="E16" s="138"/>
      <c r="F16" s="138"/>
      <c r="G16" s="138"/>
      <c r="H16" s="138"/>
      <c r="I16" s="138"/>
      <c r="J16" s="138"/>
      <c r="K16" s="138"/>
      <c r="L16" s="138"/>
      <c r="M16" s="635" t="s">
        <v>440</v>
      </c>
      <c r="N16" s="637" t="s">
        <v>56</v>
      </c>
      <c r="O16" s="636">
        <v>20.763359999999999</v>
      </c>
      <c r="P16" s="637">
        <v>3.622056905</v>
      </c>
      <c r="Q16" s="637">
        <v>0.23446860503827546</v>
      </c>
      <c r="R16" s="637"/>
      <c r="U16" s="548" t="s">
        <v>61</v>
      </c>
      <c r="V16" s="638">
        <v>0.7638769768206678</v>
      </c>
      <c r="W16" s="639">
        <v>0.85864780870563917</v>
      </c>
      <c r="X16" s="761"/>
      <c r="Y16" s="732"/>
      <c r="Z16" s="698"/>
    </row>
    <row r="17" spans="1:26" ht="11.25" customHeight="1">
      <c r="A17" s="136"/>
      <c r="B17" s="138"/>
      <c r="C17" s="138"/>
      <c r="D17" s="138"/>
      <c r="E17" s="138"/>
      <c r="F17" s="138"/>
      <c r="G17" s="138"/>
      <c r="H17" s="138"/>
      <c r="I17" s="138"/>
      <c r="J17" s="138"/>
      <c r="K17" s="138"/>
      <c r="L17" s="138"/>
      <c r="M17" s="635" t="s">
        <v>59</v>
      </c>
      <c r="N17" s="637" t="s">
        <v>56</v>
      </c>
      <c r="O17" s="636">
        <v>19.1995</v>
      </c>
      <c r="P17" s="637">
        <v>3.6139667424999997</v>
      </c>
      <c r="Q17" s="637">
        <v>0.25300045213571026</v>
      </c>
      <c r="R17" s="637"/>
      <c r="U17" s="548" t="s">
        <v>432</v>
      </c>
      <c r="V17" s="638">
        <v>0.7459673527738816</v>
      </c>
      <c r="W17" s="639">
        <v>0.88257692396394638</v>
      </c>
      <c r="X17" s="761"/>
      <c r="Y17" s="732"/>
      <c r="Z17" s="698"/>
    </row>
    <row r="18" spans="1:26">
      <c r="A18" s="136"/>
      <c r="B18" s="138"/>
      <c r="C18" s="138"/>
      <c r="D18" s="138"/>
      <c r="E18" s="138"/>
      <c r="F18" s="138"/>
      <c r="G18" s="138"/>
      <c r="H18" s="138"/>
      <c r="I18" s="138"/>
      <c r="J18" s="138"/>
      <c r="K18" s="138"/>
      <c r="L18" s="138"/>
      <c r="M18" s="635" t="s">
        <v>432</v>
      </c>
      <c r="N18" s="637" t="s">
        <v>56</v>
      </c>
      <c r="O18" s="636">
        <v>20.58</v>
      </c>
      <c r="P18" s="637">
        <v>3.2761544675000001</v>
      </c>
      <c r="Q18" s="637">
        <v>0.21396663868120214</v>
      </c>
      <c r="R18" s="637"/>
      <c r="U18" s="548" t="s">
        <v>55</v>
      </c>
      <c r="V18" s="638">
        <v>0.7354560656762329</v>
      </c>
      <c r="W18" s="639">
        <v>0.82278552398501204</v>
      </c>
      <c r="X18" s="761"/>
      <c r="Y18" s="732"/>
      <c r="Z18" s="698"/>
    </row>
    <row r="19" spans="1:26">
      <c r="A19" s="136"/>
      <c r="B19" s="138"/>
      <c r="C19" s="138"/>
      <c r="D19" s="138"/>
      <c r="E19" s="138"/>
      <c r="F19" s="138"/>
      <c r="G19" s="138"/>
      <c r="H19" s="138"/>
      <c r="I19" s="138"/>
      <c r="J19" s="138"/>
      <c r="K19" s="138"/>
      <c r="L19" s="138"/>
      <c r="M19" s="635" t="s">
        <v>55</v>
      </c>
      <c r="N19" s="637" t="s">
        <v>56</v>
      </c>
      <c r="O19" s="636">
        <v>19.966000000000001</v>
      </c>
      <c r="P19" s="637">
        <v>3.2059598875000002</v>
      </c>
      <c r="Q19" s="637">
        <v>0.21582118953699783</v>
      </c>
      <c r="R19" s="637"/>
      <c r="U19" s="548" t="s">
        <v>392</v>
      </c>
      <c r="V19" s="638">
        <v>0.70780717789974856</v>
      </c>
      <c r="W19" s="639">
        <v>0.76787093092456382</v>
      </c>
      <c r="X19" s="761"/>
      <c r="Y19" s="732"/>
      <c r="Z19" s="698"/>
    </row>
    <row r="20" spans="1:26">
      <c r="A20" s="136"/>
      <c r="B20" s="138"/>
      <c r="C20" s="138"/>
      <c r="D20" s="138"/>
      <c r="E20" s="138"/>
      <c r="F20" s="138"/>
      <c r="G20" s="138"/>
      <c r="H20" s="138"/>
      <c r="I20" s="138"/>
      <c r="J20" s="138"/>
      <c r="K20" s="138"/>
      <c r="L20" s="138"/>
      <c r="M20" s="635" t="s">
        <v>72</v>
      </c>
      <c r="N20" s="637" t="s">
        <v>56</v>
      </c>
      <c r="O20" s="636">
        <v>3.9729999999999999</v>
      </c>
      <c r="P20" s="637">
        <v>2.5579999999999998</v>
      </c>
      <c r="Q20" s="637">
        <v>0.86538435514995027</v>
      </c>
      <c r="R20" s="637"/>
      <c r="U20" s="548" t="s">
        <v>65</v>
      </c>
      <c r="V20" s="638">
        <v>0.69849492548495007</v>
      </c>
      <c r="W20" s="639">
        <v>0.63389668528381504</v>
      </c>
      <c r="X20" s="761"/>
      <c r="Y20" s="732"/>
      <c r="Z20" s="698"/>
    </row>
    <row r="21" spans="1:26">
      <c r="A21" s="136"/>
      <c r="B21" s="138"/>
      <c r="C21" s="138"/>
      <c r="D21" s="138"/>
      <c r="E21" s="138"/>
      <c r="F21" s="138"/>
      <c r="G21" s="138"/>
      <c r="H21" s="138"/>
      <c r="I21" s="138"/>
      <c r="J21" s="138"/>
      <c r="K21" s="138"/>
      <c r="L21" s="138"/>
      <c r="M21" s="635" t="s">
        <v>394</v>
      </c>
      <c r="N21" s="637" t="s">
        <v>56</v>
      </c>
      <c r="O21" s="636">
        <v>20.050889999999999</v>
      </c>
      <c r="P21" s="637">
        <v>2.52272257</v>
      </c>
      <c r="Q21" s="637">
        <v>0.16910751305668317</v>
      </c>
      <c r="R21" s="637"/>
      <c r="U21" s="548" t="s">
        <v>393</v>
      </c>
      <c r="V21" s="638">
        <v>0.68918086897515018</v>
      </c>
      <c r="W21" s="639">
        <v>0.73448025855248866</v>
      </c>
      <c r="X21" s="761"/>
      <c r="Y21" s="732"/>
      <c r="Z21" s="698"/>
    </row>
    <row r="22" spans="1:26">
      <c r="A22" s="136"/>
      <c r="B22" s="138"/>
      <c r="C22" s="138"/>
      <c r="D22" s="138"/>
      <c r="E22" s="138"/>
      <c r="F22" s="138"/>
      <c r="G22" s="138"/>
      <c r="H22" s="138"/>
      <c r="I22" s="138"/>
      <c r="J22" s="138"/>
      <c r="K22" s="138"/>
      <c r="L22" s="138"/>
      <c r="M22" s="635" t="s">
        <v>58</v>
      </c>
      <c r="N22" s="637" t="s">
        <v>56</v>
      </c>
      <c r="O22" s="636">
        <v>19.966999999999999</v>
      </c>
      <c r="P22" s="637">
        <v>2.2234728799999997</v>
      </c>
      <c r="Q22" s="637">
        <v>0.14967390279983478</v>
      </c>
      <c r="R22" s="637"/>
      <c r="U22" s="548" t="s">
        <v>395</v>
      </c>
      <c r="V22" s="638">
        <v>0.68570617447116566</v>
      </c>
      <c r="W22" s="639">
        <v>0.45273621878258591</v>
      </c>
      <c r="X22" s="761"/>
      <c r="Y22" s="732"/>
      <c r="Z22" s="698"/>
    </row>
    <row r="23" spans="1:26">
      <c r="A23" s="136"/>
      <c r="B23" s="138"/>
      <c r="C23" s="138"/>
      <c r="D23" s="138"/>
      <c r="E23" s="138"/>
      <c r="F23" s="138"/>
      <c r="G23" s="138"/>
      <c r="H23" s="138"/>
      <c r="I23" s="138"/>
      <c r="J23" s="138"/>
      <c r="K23" s="138"/>
      <c r="L23" s="138"/>
      <c r="M23" s="635" t="s">
        <v>61</v>
      </c>
      <c r="N23" s="637" t="s">
        <v>56</v>
      </c>
      <c r="O23" s="636">
        <v>20.202000000000002</v>
      </c>
      <c r="P23" s="637">
        <v>2.1957373750000002</v>
      </c>
      <c r="Q23" s="637">
        <v>0.14608751176291498</v>
      </c>
      <c r="R23" s="637"/>
      <c r="U23" s="548" t="s">
        <v>69</v>
      </c>
      <c r="V23" s="638">
        <v>0.67863222322399142</v>
      </c>
      <c r="W23" s="639">
        <v>0.65447461009083951</v>
      </c>
      <c r="X23" s="761"/>
      <c r="Y23" s="732"/>
      <c r="Z23" s="698"/>
    </row>
    <row r="24" spans="1:26">
      <c r="A24" s="136"/>
      <c r="B24" s="138"/>
      <c r="C24" s="138"/>
      <c r="D24" s="138"/>
      <c r="E24" s="138"/>
      <c r="F24" s="138"/>
      <c r="G24" s="138"/>
      <c r="H24" s="138"/>
      <c r="I24" s="138"/>
      <c r="J24" s="138"/>
      <c r="K24" s="138"/>
      <c r="L24" s="138"/>
      <c r="M24" s="635" t="s">
        <v>65</v>
      </c>
      <c r="N24" s="637" t="s">
        <v>56</v>
      </c>
      <c r="O24" s="636">
        <v>6.5019999999999998</v>
      </c>
      <c r="P24" s="637">
        <v>1.9896140025</v>
      </c>
      <c r="Q24" s="637">
        <v>0.41129073653516035</v>
      </c>
      <c r="R24" s="637"/>
      <c r="U24" s="548" t="s">
        <v>67</v>
      </c>
      <c r="V24" s="638">
        <v>0.67152305406448032</v>
      </c>
      <c r="W24" s="639">
        <v>0.67839571383791075</v>
      </c>
      <c r="X24" s="761"/>
      <c r="Y24" s="732"/>
      <c r="Z24" s="698"/>
    </row>
    <row r="25" spans="1:26">
      <c r="A25" s="136"/>
      <c r="B25" s="138"/>
      <c r="C25" s="138"/>
      <c r="D25" s="138"/>
      <c r="E25" s="138"/>
      <c r="F25" s="138"/>
      <c r="G25" s="138"/>
      <c r="H25" s="138"/>
      <c r="I25" s="138"/>
      <c r="J25" s="138"/>
      <c r="K25" s="138"/>
      <c r="L25" s="138"/>
      <c r="M25" s="635" t="s">
        <v>71</v>
      </c>
      <c r="N25" s="637" t="s">
        <v>56</v>
      </c>
      <c r="O25" s="636">
        <v>3.91621</v>
      </c>
      <c r="P25" s="637">
        <v>1.79883755</v>
      </c>
      <c r="Q25" s="637">
        <v>0.61738068334281826</v>
      </c>
      <c r="R25" s="637"/>
      <c r="U25" s="548" t="s">
        <v>429</v>
      </c>
      <c r="V25" s="638">
        <v>0.66182142102034502</v>
      </c>
      <c r="W25" s="639">
        <v>0.65841008544041124</v>
      </c>
      <c r="X25" s="761"/>
      <c r="Y25" s="732"/>
      <c r="Z25" s="698"/>
    </row>
    <row r="26" spans="1:26">
      <c r="A26" s="136"/>
      <c r="B26" s="138"/>
      <c r="C26" s="138"/>
      <c r="D26" s="138"/>
      <c r="E26" s="138"/>
      <c r="F26" s="138"/>
      <c r="G26" s="138"/>
      <c r="H26" s="138"/>
      <c r="I26" s="138"/>
      <c r="J26" s="138"/>
      <c r="K26" s="138"/>
      <c r="L26" s="138"/>
      <c r="M26" s="635" t="s">
        <v>66</v>
      </c>
      <c r="N26" s="637" t="s">
        <v>56</v>
      </c>
      <c r="O26" s="636">
        <v>6.6360000000000001</v>
      </c>
      <c r="P26" s="637">
        <v>1.6539082475</v>
      </c>
      <c r="Q26" s="637">
        <v>0.33499019836003679</v>
      </c>
      <c r="R26" s="637"/>
      <c r="U26" s="548" t="s">
        <v>62</v>
      </c>
      <c r="V26" s="638">
        <v>0.63484285957838649</v>
      </c>
      <c r="W26" s="639">
        <v>0.69481859162019077</v>
      </c>
      <c r="X26" s="761"/>
      <c r="Y26" s="732"/>
      <c r="Z26" s="698"/>
    </row>
    <row r="27" spans="1:26">
      <c r="A27" s="136"/>
      <c r="B27" s="138"/>
      <c r="C27" s="138"/>
      <c r="D27" s="138"/>
      <c r="E27" s="138"/>
      <c r="F27" s="138"/>
      <c r="G27" s="138"/>
      <c r="H27" s="138"/>
      <c r="I27" s="138"/>
      <c r="J27" s="138"/>
      <c r="K27" s="138"/>
      <c r="L27" s="138"/>
      <c r="M27" s="635" t="s">
        <v>429</v>
      </c>
      <c r="N27" s="637" t="s">
        <v>56</v>
      </c>
      <c r="O27" s="636">
        <v>8.58</v>
      </c>
      <c r="P27" s="637">
        <v>1.5404036374999999</v>
      </c>
      <c r="Q27" s="637">
        <v>0.24130944016780706</v>
      </c>
      <c r="R27" s="637"/>
      <c r="U27" s="548" t="s">
        <v>58</v>
      </c>
      <c r="V27" s="638">
        <v>0.6270746461663711</v>
      </c>
      <c r="W27" s="639">
        <v>0.71955412620283099</v>
      </c>
      <c r="X27" s="761"/>
      <c r="Y27" s="732"/>
      <c r="Z27" s="698"/>
    </row>
    <row r="28" spans="1:26">
      <c r="A28" s="136"/>
      <c r="B28" s="138"/>
      <c r="C28" s="138"/>
      <c r="D28" s="138"/>
      <c r="E28" s="138"/>
      <c r="F28" s="138"/>
      <c r="G28" s="138"/>
      <c r="H28" s="138"/>
      <c r="I28" s="138"/>
      <c r="J28" s="138"/>
      <c r="K28" s="138"/>
      <c r="L28" s="138"/>
      <c r="M28" s="635" t="s">
        <v>70</v>
      </c>
      <c r="N28" s="637" t="s">
        <v>56</v>
      </c>
      <c r="O28" s="636">
        <v>3.3107500000000001</v>
      </c>
      <c r="P28" s="637">
        <v>1.4547262500000002</v>
      </c>
      <c r="Q28" s="637">
        <v>0.59058437445954415</v>
      </c>
      <c r="R28" s="637"/>
      <c r="U28" s="548" t="s">
        <v>63</v>
      </c>
      <c r="V28" s="638">
        <v>0.60744786049787691</v>
      </c>
      <c r="W28" s="639">
        <v>0.67470457339323742</v>
      </c>
      <c r="X28" s="761"/>
      <c r="Y28" s="732"/>
      <c r="Z28" s="698"/>
    </row>
    <row r="29" spans="1:26">
      <c r="A29" s="136"/>
      <c r="B29" s="138"/>
      <c r="C29" s="138"/>
      <c r="D29" s="138"/>
      <c r="E29" s="138"/>
      <c r="F29" s="138"/>
      <c r="G29" s="138"/>
      <c r="H29" s="138"/>
      <c r="I29" s="138"/>
      <c r="J29" s="138"/>
      <c r="K29" s="138"/>
      <c r="L29" s="138"/>
      <c r="M29" s="635" t="s">
        <v>62</v>
      </c>
      <c r="N29" s="637" t="s">
        <v>56</v>
      </c>
      <c r="O29" s="636">
        <v>9.9643300000000004</v>
      </c>
      <c r="P29" s="637">
        <v>1.3197084075000001</v>
      </c>
      <c r="Q29" s="637">
        <v>0.17801514231101048</v>
      </c>
      <c r="R29" s="637"/>
      <c r="U29" s="548" t="s">
        <v>66</v>
      </c>
      <c r="V29" s="638">
        <v>0.59814547026877884</v>
      </c>
      <c r="W29" s="639">
        <v>0.61533226342234337</v>
      </c>
      <c r="X29" s="761"/>
      <c r="Y29" s="732"/>
      <c r="Z29" s="698"/>
    </row>
    <row r="30" spans="1:26">
      <c r="A30" s="136"/>
      <c r="B30" s="138"/>
      <c r="C30" s="138"/>
      <c r="D30" s="138"/>
      <c r="E30" s="138"/>
      <c r="F30" s="138"/>
      <c r="G30" s="138"/>
      <c r="H30" s="138"/>
      <c r="I30" s="138"/>
      <c r="J30" s="138"/>
      <c r="K30" s="138"/>
      <c r="L30" s="138"/>
      <c r="M30" s="548" t="s">
        <v>63</v>
      </c>
      <c r="N30" s="637" t="s">
        <v>56</v>
      </c>
      <c r="O30" s="636">
        <v>9.85</v>
      </c>
      <c r="P30" s="637">
        <v>1.0567285150000001</v>
      </c>
      <c r="Q30" s="637">
        <v>0.14419634777031823</v>
      </c>
      <c r="R30" s="637"/>
      <c r="U30" s="548" t="s">
        <v>399</v>
      </c>
      <c r="V30" s="638">
        <v>0.59015307257750194</v>
      </c>
      <c r="W30" s="639">
        <v>0.71885702602212764</v>
      </c>
      <c r="X30" s="761"/>
      <c r="Y30" s="732"/>
      <c r="Z30" s="698"/>
    </row>
    <row r="31" spans="1:26">
      <c r="A31" s="136"/>
      <c r="B31" s="138"/>
      <c r="C31" s="138"/>
      <c r="D31" s="138"/>
      <c r="E31" s="138"/>
      <c r="F31" s="138"/>
      <c r="G31" s="138"/>
      <c r="H31" s="138"/>
      <c r="I31" s="138"/>
      <c r="J31" s="138"/>
      <c r="K31" s="138"/>
      <c r="L31" s="138"/>
      <c r="M31" s="635" t="s">
        <v>69</v>
      </c>
      <c r="N31" s="637" t="s">
        <v>56</v>
      </c>
      <c r="O31" s="637">
        <v>5.67</v>
      </c>
      <c r="P31" s="637">
        <v>0.76483272999999996</v>
      </c>
      <c r="Q31" s="637">
        <v>0.1813052876865601</v>
      </c>
      <c r="R31" s="637"/>
      <c r="U31" s="548" t="s">
        <v>394</v>
      </c>
      <c r="V31" s="638">
        <v>0.57086648094677794</v>
      </c>
      <c r="W31" s="639">
        <v>0.72530208772101457</v>
      </c>
      <c r="X31" s="761"/>
      <c r="Y31" s="732"/>
      <c r="Z31" s="698"/>
    </row>
    <row r="32" spans="1:26">
      <c r="A32" s="136"/>
      <c r="B32" s="138"/>
      <c r="C32" s="138"/>
      <c r="D32" s="138"/>
      <c r="E32" s="138"/>
      <c r="F32" s="138"/>
      <c r="G32" s="138"/>
      <c r="H32" s="138"/>
      <c r="I32" s="138"/>
      <c r="J32" s="138"/>
      <c r="K32" s="138"/>
      <c r="L32" s="138"/>
      <c r="M32" s="635" t="s">
        <v>395</v>
      </c>
      <c r="N32" s="637" t="s">
        <v>56</v>
      </c>
      <c r="O32" s="637">
        <v>0.678643</v>
      </c>
      <c r="P32" s="637">
        <v>0.35827599999999998</v>
      </c>
      <c r="Q32" s="637">
        <v>0.70958333533368834</v>
      </c>
      <c r="R32" s="637"/>
      <c r="U32" s="548" t="s">
        <v>64</v>
      </c>
      <c r="V32" s="638">
        <v>0.56170316137389564</v>
      </c>
      <c r="W32" s="639">
        <v>0.66750822924641373</v>
      </c>
      <c r="X32" s="761"/>
      <c r="Y32" s="732"/>
      <c r="Z32" s="698"/>
    </row>
    <row r="33" spans="1:26">
      <c r="A33" s="136"/>
      <c r="B33" s="138"/>
      <c r="C33" s="138"/>
      <c r="D33" s="138"/>
      <c r="E33" s="138"/>
      <c r="F33" s="138"/>
      <c r="G33" s="138"/>
      <c r="H33" s="138"/>
      <c r="I33" s="138"/>
      <c r="J33" s="138"/>
      <c r="K33" s="138"/>
      <c r="L33" s="138"/>
      <c r="M33" s="635" t="s">
        <v>73</v>
      </c>
      <c r="N33" s="637" t="s">
        <v>56</v>
      </c>
      <c r="O33" s="637">
        <v>1.7689999999999999</v>
      </c>
      <c r="P33" s="637">
        <v>0.34193541</v>
      </c>
      <c r="Q33" s="637">
        <v>0.25980249001622935</v>
      </c>
      <c r="R33" s="637"/>
      <c r="U33" s="548" t="s">
        <v>440</v>
      </c>
      <c r="V33" s="638">
        <v>0.4711609007481079</v>
      </c>
      <c r="W33" s="639">
        <v>0.70616332302940477</v>
      </c>
      <c r="X33" s="761"/>
      <c r="Y33" s="732"/>
      <c r="Z33" s="698"/>
    </row>
    <row r="34" spans="1:26">
      <c r="B34" s="138"/>
      <c r="C34" s="138"/>
      <c r="D34" s="138"/>
      <c r="E34" s="138"/>
      <c r="F34" s="138"/>
      <c r="G34" s="138"/>
      <c r="H34" s="138"/>
      <c r="I34" s="138"/>
      <c r="J34" s="138"/>
      <c r="K34" s="138"/>
      <c r="L34" s="138"/>
      <c r="M34" s="635" t="s">
        <v>60</v>
      </c>
      <c r="N34" s="637" t="s">
        <v>56</v>
      </c>
      <c r="O34" s="637">
        <v>9.9830000000000005</v>
      </c>
      <c r="P34" s="637">
        <v>0.13734635750000002</v>
      </c>
      <c r="Q34" s="637">
        <v>1.8491968268098777E-2</v>
      </c>
      <c r="R34" s="637"/>
      <c r="U34" s="548" t="s">
        <v>73</v>
      </c>
      <c r="V34" s="638">
        <v>0.32548450660128497</v>
      </c>
      <c r="W34" s="639">
        <v>0.12670029248927192</v>
      </c>
      <c r="X34" s="761"/>
      <c r="Y34" s="732"/>
      <c r="Z34" s="698"/>
    </row>
    <row r="35" spans="1:26">
      <c r="A35" s="136"/>
      <c r="B35" s="138"/>
      <c r="C35" s="138"/>
      <c r="D35" s="138"/>
      <c r="E35" s="138"/>
      <c r="F35" s="138"/>
      <c r="G35" s="138"/>
      <c r="H35" s="138"/>
      <c r="I35" s="138"/>
      <c r="J35" s="138"/>
      <c r="K35" s="138"/>
      <c r="L35" s="138"/>
      <c r="M35" s="635" t="s">
        <v>401</v>
      </c>
      <c r="N35" s="637" t="s">
        <v>210</v>
      </c>
      <c r="O35" s="636">
        <v>132.30000000000001</v>
      </c>
      <c r="P35" s="637">
        <v>41.140110500000006</v>
      </c>
      <c r="Q35" s="637">
        <v>0.4179580305837986</v>
      </c>
      <c r="R35" s="637"/>
      <c r="T35" s="548" t="s">
        <v>418</v>
      </c>
      <c r="U35" s="548" t="s">
        <v>451</v>
      </c>
      <c r="V35" s="638">
        <v>0.49671659077856295</v>
      </c>
      <c r="W35" s="639">
        <v>0.39804458190715486</v>
      </c>
      <c r="X35" s="761"/>
      <c r="Y35" s="732"/>
      <c r="Z35" s="698"/>
    </row>
    <row r="36" spans="1:26" ht="10.95" customHeight="1">
      <c r="A36" s="136"/>
      <c r="B36" s="138"/>
      <c r="C36" s="138"/>
      <c r="D36" s="138"/>
      <c r="E36" s="138"/>
      <c r="F36" s="138"/>
      <c r="G36" s="138"/>
      <c r="H36" s="138"/>
      <c r="I36" s="138"/>
      <c r="J36" s="138"/>
      <c r="K36" s="138"/>
      <c r="L36" s="138"/>
      <c r="M36" s="635" t="s">
        <v>74</v>
      </c>
      <c r="N36" s="637" t="s">
        <v>210</v>
      </c>
      <c r="O36" s="636">
        <v>97.15</v>
      </c>
      <c r="P36" s="637">
        <v>31.322070052499999</v>
      </c>
      <c r="Q36" s="637">
        <v>0.43334592405741035</v>
      </c>
      <c r="R36" s="637"/>
      <c r="U36" s="548" t="s">
        <v>76</v>
      </c>
      <c r="V36" s="638">
        <v>0.48642194953198709</v>
      </c>
      <c r="W36" s="639">
        <v>0.47234800801423144</v>
      </c>
      <c r="X36" s="761"/>
      <c r="Y36" s="732"/>
      <c r="Z36" s="698"/>
    </row>
    <row r="37" spans="1:26">
      <c r="A37" s="136"/>
      <c r="B37" s="138"/>
      <c r="C37" s="138"/>
      <c r="D37" s="138"/>
      <c r="E37" s="138"/>
      <c r="F37" s="138"/>
      <c r="G37" s="138"/>
      <c r="H37" s="138"/>
      <c r="I37" s="138"/>
      <c r="J37" s="138"/>
      <c r="K37" s="138"/>
      <c r="L37" s="138"/>
      <c r="M37" s="635" t="s">
        <v>75</v>
      </c>
      <c r="N37" s="637" t="s">
        <v>210</v>
      </c>
      <c r="O37" s="636">
        <v>83.15</v>
      </c>
      <c r="P37" s="637">
        <v>18.620082547499997</v>
      </c>
      <c r="Q37" s="637">
        <v>0.3009860814356099</v>
      </c>
      <c r="R37" s="637"/>
      <c r="U37" s="548" t="s">
        <v>74</v>
      </c>
      <c r="V37" s="638">
        <v>0.47592054422200147</v>
      </c>
      <c r="W37" s="639">
        <v>0.61676690181270777</v>
      </c>
      <c r="X37" s="761"/>
      <c r="Y37" s="732"/>
      <c r="Z37" s="698"/>
    </row>
    <row r="38" spans="1:26" ht="11.25" customHeight="1">
      <c r="A38" s="136"/>
      <c r="B38" s="138"/>
      <c r="C38" s="138"/>
      <c r="D38" s="138"/>
      <c r="E38" s="138"/>
      <c r="F38" s="138"/>
      <c r="G38" s="138"/>
      <c r="H38" s="138"/>
      <c r="I38" s="138"/>
      <c r="J38" s="138"/>
      <c r="K38" s="138"/>
      <c r="L38" s="138"/>
      <c r="M38" s="635" t="s">
        <v>77</v>
      </c>
      <c r="N38" s="637" t="s">
        <v>210</v>
      </c>
      <c r="O38" s="636">
        <v>30.86</v>
      </c>
      <c r="P38" s="637">
        <v>12.78597182</v>
      </c>
      <c r="Q38" s="637">
        <v>0.55688418647516713</v>
      </c>
      <c r="R38" s="640"/>
      <c r="U38" s="548" t="s">
        <v>450</v>
      </c>
      <c r="V38" s="638">
        <v>0.40764125346006097</v>
      </c>
      <c r="W38" s="639">
        <v>0.29668817783600898</v>
      </c>
      <c r="X38" s="761"/>
      <c r="Y38" s="732"/>
      <c r="Z38" s="698"/>
    </row>
    <row r="39" spans="1:26">
      <c r="A39" s="136"/>
      <c r="B39" s="138"/>
      <c r="C39" s="138"/>
      <c r="D39" s="138"/>
      <c r="E39" s="138"/>
      <c r="F39" s="138"/>
      <c r="G39" s="138"/>
      <c r="H39" s="138"/>
      <c r="I39" s="138"/>
      <c r="J39" s="138"/>
      <c r="K39" s="138"/>
      <c r="L39" s="138"/>
      <c r="M39" s="635" t="s">
        <v>76</v>
      </c>
      <c r="N39" s="637" t="s">
        <v>210</v>
      </c>
      <c r="O39" s="636">
        <v>32</v>
      </c>
      <c r="P39" s="637">
        <v>10.331136975</v>
      </c>
      <c r="Q39" s="637">
        <v>0.43393552482358866</v>
      </c>
      <c r="U39" s="548" t="s">
        <v>401</v>
      </c>
      <c r="V39" s="638">
        <v>0.3563553956042585</v>
      </c>
      <c r="W39" s="639">
        <v>0.65135147161519757</v>
      </c>
      <c r="X39" s="761"/>
      <c r="Y39" s="732"/>
      <c r="Z39" s="698"/>
    </row>
    <row r="40" spans="1:26">
      <c r="A40" s="136"/>
      <c r="B40" s="138"/>
      <c r="C40" s="138"/>
      <c r="D40" s="138"/>
      <c r="E40" s="138"/>
      <c r="F40" s="138"/>
      <c r="G40" s="138"/>
      <c r="H40" s="138"/>
      <c r="I40" s="138"/>
      <c r="J40" s="138"/>
      <c r="K40" s="138"/>
      <c r="L40" s="138"/>
      <c r="M40" s="635" t="s">
        <v>451</v>
      </c>
      <c r="N40" s="637" t="s">
        <v>210</v>
      </c>
      <c r="O40" s="636">
        <v>18.37</v>
      </c>
      <c r="P40" s="637">
        <v>9.9918544349999987</v>
      </c>
      <c r="Q40" s="637">
        <v>0.73107849074578113</v>
      </c>
      <c r="U40" s="548" t="s">
        <v>77</v>
      </c>
      <c r="V40" s="638">
        <v>0.33126905411612401</v>
      </c>
      <c r="W40" s="639">
        <v>0.46211037040923997</v>
      </c>
      <c r="X40" s="761"/>
      <c r="Y40" s="732"/>
      <c r="Z40" s="698"/>
    </row>
    <row r="41" spans="1:26">
      <c r="A41" s="136"/>
      <c r="B41" s="138"/>
      <c r="C41" s="138"/>
      <c r="D41" s="138"/>
      <c r="E41" s="138"/>
      <c r="F41" s="138"/>
      <c r="G41" s="138"/>
      <c r="H41" s="138"/>
      <c r="I41" s="138"/>
      <c r="J41" s="138"/>
      <c r="K41" s="138"/>
      <c r="L41" s="138"/>
      <c r="M41" s="548" t="s">
        <v>450</v>
      </c>
      <c r="N41" s="637" t="s">
        <v>210</v>
      </c>
      <c r="O41" s="636">
        <v>18.37</v>
      </c>
      <c r="P41" s="637">
        <v>8.3628390424999992</v>
      </c>
      <c r="Q41" s="637">
        <v>0.61188759156906125</v>
      </c>
      <c r="U41" s="548" t="s">
        <v>75</v>
      </c>
      <c r="V41" s="638">
        <v>0.32216814364242846</v>
      </c>
      <c r="W41" s="639">
        <v>0.5204689795205294</v>
      </c>
      <c r="X41" s="761"/>
      <c r="Y41" s="732"/>
      <c r="Z41" s="698"/>
    </row>
    <row r="42" spans="1:26">
      <c r="A42" s="136"/>
      <c r="B42" s="138"/>
      <c r="C42" s="138"/>
      <c r="D42" s="138"/>
      <c r="E42" s="138"/>
      <c r="F42" s="138"/>
      <c r="G42" s="138"/>
      <c r="H42" s="138"/>
      <c r="I42" s="138"/>
      <c r="J42" s="138"/>
      <c r="K42" s="138"/>
      <c r="L42" s="138"/>
      <c r="M42" s="548" t="s">
        <v>402</v>
      </c>
      <c r="N42" s="637" t="s">
        <v>78</v>
      </c>
      <c r="O42" s="636">
        <v>144.47999999999999</v>
      </c>
      <c r="P42" s="637">
        <v>33.307657750000004</v>
      </c>
      <c r="Q42" s="637">
        <v>0.30985850768867823</v>
      </c>
      <c r="T42" s="548" t="s">
        <v>410</v>
      </c>
      <c r="U42" s="548" t="s">
        <v>79</v>
      </c>
      <c r="V42" s="638">
        <v>0.31663127386129125</v>
      </c>
      <c r="W42" s="639">
        <v>0.25986147766529555</v>
      </c>
      <c r="X42" s="761"/>
      <c r="Y42" s="732"/>
      <c r="Z42" s="698"/>
    </row>
    <row r="43" spans="1:26" ht="36" customHeight="1">
      <c r="A43" s="867"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julio 2023.
Nota: Son consideradas las centrales adjudicadas por subasta RER y cuenten con operación comercial</v>
      </c>
      <c r="B43" s="867"/>
      <c r="C43" s="867"/>
      <c r="D43" s="867"/>
      <c r="E43" s="867"/>
      <c r="F43" s="867"/>
      <c r="G43" s="867"/>
      <c r="H43" s="867"/>
      <c r="I43" s="867"/>
      <c r="J43" s="867"/>
      <c r="K43" s="867"/>
      <c r="L43" s="867"/>
      <c r="M43" s="635" t="s">
        <v>403</v>
      </c>
      <c r="N43" s="637" t="s">
        <v>78</v>
      </c>
      <c r="O43" s="636">
        <v>44.54</v>
      </c>
      <c r="P43" s="637">
        <v>8.2139864599999992</v>
      </c>
      <c r="Q43" s="637">
        <v>0.24787391966143757</v>
      </c>
      <c r="U43" s="548" t="s">
        <v>402</v>
      </c>
      <c r="V43" s="638">
        <v>0.31229922202296073</v>
      </c>
      <c r="W43" s="639">
        <v>0.32601098844174203</v>
      </c>
      <c r="X43" s="761"/>
      <c r="Y43" s="732"/>
      <c r="Z43" s="698"/>
    </row>
    <row r="44" spans="1:26" ht="18" customHeight="1">
      <c r="A44" s="136"/>
      <c r="B44" s="138"/>
      <c r="C44" s="138"/>
      <c r="D44" s="138"/>
      <c r="E44" s="138"/>
      <c r="F44" s="138"/>
      <c r="G44" s="138"/>
      <c r="H44" s="138"/>
      <c r="I44" s="138"/>
      <c r="J44" s="138"/>
      <c r="K44" s="138"/>
      <c r="L44" s="138"/>
      <c r="M44" s="635" t="s">
        <v>225</v>
      </c>
      <c r="N44" s="637" t="s">
        <v>78</v>
      </c>
      <c r="O44" s="636">
        <v>20</v>
      </c>
      <c r="P44" s="637">
        <v>4.2201009999999997</v>
      </c>
      <c r="Q44" s="637">
        <v>0.28360893817204297</v>
      </c>
      <c r="U44" s="548" t="s">
        <v>225</v>
      </c>
      <c r="V44" s="638">
        <v>0.30975721558077829</v>
      </c>
      <c r="W44" s="639">
        <v>0.30937800208824684</v>
      </c>
      <c r="X44" s="761"/>
      <c r="Y44" s="732"/>
      <c r="Z44" s="698"/>
    </row>
    <row r="45" spans="1:26" ht="12">
      <c r="A45" s="136"/>
      <c r="B45" s="138"/>
      <c r="C45" s="871" t="str">
        <f>"Factor de planta de las centrales RER  Acumulado al "&amp;'1. Resumen'!Q7&amp;" de "&amp;'1. Resumen'!Q4</f>
        <v>Factor de planta de las centrales RER  Acumulado al 31 de julio</v>
      </c>
      <c r="D45" s="871"/>
      <c r="E45" s="871"/>
      <c r="F45" s="871"/>
      <c r="G45" s="871"/>
      <c r="H45" s="871"/>
      <c r="I45" s="871"/>
      <c r="J45" s="871"/>
      <c r="K45" s="138"/>
      <c r="L45" s="138"/>
      <c r="M45" s="635" t="s">
        <v>226</v>
      </c>
      <c r="N45" s="637" t="s">
        <v>78</v>
      </c>
      <c r="O45" s="636">
        <v>20</v>
      </c>
      <c r="P45" s="637">
        <v>3.7470653</v>
      </c>
      <c r="Q45" s="637">
        <v>0.25181890456989248</v>
      </c>
      <c r="U45" s="548" t="s">
        <v>224</v>
      </c>
      <c r="V45" s="638">
        <v>0.29857219401041662</v>
      </c>
      <c r="W45" s="639">
        <v>0.30079617988404089</v>
      </c>
      <c r="X45" s="761"/>
      <c r="Y45" s="732"/>
      <c r="Z45" s="698"/>
    </row>
    <row r="46" spans="1:26" ht="9.75" customHeight="1">
      <c r="A46" s="136"/>
      <c r="B46" s="138"/>
      <c r="C46" s="138"/>
      <c r="D46" s="138"/>
      <c r="E46" s="138"/>
      <c r="F46" s="138"/>
      <c r="G46" s="138"/>
      <c r="H46" s="138"/>
      <c r="I46" s="138"/>
      <c r="J46" s="138"/>
      <c r="K46" s="138"/>
      <c r="L46" s="138"/>
      <c r="M46" s="635" t="s">
        <v>80</v>
      </c>
      <c r="N46" s="637" t="s">
        <v>78</v>
      </c>
      <c r="O46" s="636">
        <v>20</v>
      </c>
      <c r="P46" s="637">
        <v>3.7262939925</v>
      </c>
      <c r="Q46" s="637">
        <v>0.25042298336693547</v>
      </c>
      <c r="U46" s="547" t="s">
        <v>226</v>
      </c>
      <c r="V46" s="638">
        <v>0.2493410642688679</v>
      </c>
      <c r="W46" s="639">
        <v>0.25513494103773587</v>
      </c>
      <c r="X46" s="761"/>
      <c r="Y46" s="732"/>
      <c r="Z46" s="698"/>
    </row>
    <row r="47" spans="1:26" ht="9.75" customHeight="1">
      <c r="A47" s="136"/>
      <c r="B47" s="138"/>
      <c r="C47" s="138"/>
      <c r="D47" s="138"/>
      <c r="E47" s="138"/>
      <c r="F47" s="138"/>
      <c r="G47" s="138"/>
      <c r="H47" s="138"/>
      <c r="I47" s="138"/>
      <c r="J47" s="138"/>
      <c r="K47" s="138"/>
      <c r="L47" s="138"/>
      <c r="M47" s="635" t="s">
        <v>79</v>
      </c>
      <c r="N47" s="637" t="s">
        <v>78</v>
      </c>
      <c r="O47" s="636">
        <v>16</v>
      </c>
      <c r="P47" s="637">
        <v>3.5158252499999998</v>
      </c>
      <c r="Q47" s="637">
        <v>0.29534822328629029</v>
      </c>
      <c r="U47" s="548" t="s">
        <v>80</v>
      </c>
      <c r="V47" s="638">
        <v>0.24340010822032235</v>
      </c>
      <c r="W47" s="639">
        <v>0.24119552643474843</v>
      </c>
      <c r="Y47" s="732"/>
      <c r="Z47" s="698"/>
    </row>
    <row r="48" spans="1:26" ht="9.75" customHeight="1">
      <c r="A48" s="136"/>
      <c r="B48" s="138"/>
      <c r="C48" s="138"/>
      <c r="D48" s="138"/>
      <c r="E48" s="138"/>
      <c r="F48" s="138"/>
      <c r="G48" s="138"/>
      <c r="H48" s="138"/>
      <c r="I48" s="138"/>
      <c r="J48" s="138"/>
      <c r="K48" s="138"/>
      <c r="L48" s="138"/>
      <c r="M48" s="635" t="s">
        <v>224</v>
      </c>
      <c r="N48" s="637" t="s">
        <v>78</v>
      </c>
      <c r="O48" s="636">
        <v>20</v>
      </c>
      <c r="P48" s="637">
        <v>3.4422667499999999</v>
      </c>
      <c r="Q48" s="637">
        <v>0.23133513104838707</v>
      </c>
      <c r="U48" s="548" t="s">
        <v>403</v>
      </c>
      <c r="V48" s="638">
        <v>0.2427689035459081</v>
      </c>
      <c r="W48" s="639">
        <v>0.32085668275845125</v>
      </c>
      <c r="Y48" s="732"/>
      <c r="Z48" s="698"/>
    </row>
    <row r="49" spans="1:26" ht="9.75" customHeight="1">
      <c r="A49" s="136"/>
      <c r="B49" s="138"/>
      <c r="C49" s="138"/>
      <c r="D49" s="138"/>
      <c r="E49" s="138"/>
      <c r="F49" s="138"/>
      <c r="G49" s="138"/>
      <c r="H49" s="138"/>
      <c r="I49" s="138"/>
      <c r="J49" s="138"/>
      <c r="K49" s="138"/>
      <c r="L49" s="138"/>
      <c r="M49" s="635" t="s">
        <v>81</v>
      </c>
      <c r="N49" s="637" t="s">
        <v>383</v>
      </c>
      <c r="O49" s="636">
        <v>12.74105</v>
      </c>
      <c r="P49" s="637">
        <v>10.18044031</v>
      </c>
      <c r="Q49" s="637">
        <v>1.0739607421241468</v>
      </c>
      <c r="T49" s="548" t="s">
        <v>411</v>
      </c>
      <c r="U49" s="548" t="s">
        <v>81</v>
      </c>
      <c r="V49" s="663">
        <v>0.87764053564952815</v>
      </c>
      <c r="W49" s="639">
        <v>0.78658107537732935</v>
      </c>
      <c r="Y49" s="732"/>
      <c r="Z49" s="698"/>
    </row>
    <row r="50" spans="1:26" ht="9.75" customHeight="1">
      <c r="A50" s="136"/>
      <c r="B50" s="138"/>
      <c r="C50" s="138"/>
      <c r="D50" s="138"/>
      <c r="E50" s="138"/>
      <c r="F50" s="138"/>
      <c r="G50" s="138"/>
      <c r="H50" s="138"/>
      <c r="I50" s="138"/>
      <c r="J50" s="138"/>
      <c r="K50" s="138"/>
      <c r="L50" s="138"/>
      <c r="M50" s="635" t="s">
        <v>82</v>
      </c>
      <c r="N50" s="637" t="s">
        <v>383</v>
      </c>
      <c r="O50" s="636">
        <v>4.2625000000000002</v>
      </c>
      <c r="P50" s="637">
        <v>2.0376750499999998</v>
      </c>
      <c r="Q50" s="637">
        <v>0.64253619966575215</v>
      </c>
      <c r="U50" s="548" t="s">
        <v>404</v>
      </c>
      <c r="V50" s="663">
        <v>0.73385465249115556</v>
      </c>
      <c r="W50" s="639">
        <v>0.67649702424823122</v>
      </c>
    </row>
    <row r="51" spans="1:26" ht="20.25" customHeight="1">
      <c r="A51" s="136"/>
      <c r="B51" s="138"/>
      <c r="C51" s="138"/>
      <c r="D51" s="138"/>
      <c r="E51" s="138"/>
      <c r="F51" s="138"/>
      <c r="G51" s="138"/>
      <c r="H51" s="138"/>
      <c r="I51" s="138"/>
      <c r="J51" s="138"/>
      <c r="K51" s="138"/>
      <c r="L51" s="138"/>
      <c r="M51" s="635" t="s">
        <v>404</v>
      </c>
      <c r="N51" s="637" t="s">
        <v>383</v>
      </c>
      <c r="O51" s="636">
        <v>2.4</v>
      </c>
      <c r="P51" s="637">
        <v>1.5869423</v>
      </c>
      <c r="Q51" s="637">
        <v>0.88874456765232979</v>
      </c>
      <c r="U51" s="548" t="s">
        <v>439</v>
      </c>
      <c r="V51" s="663">
        <v>0.72747941439006814</v>
      </c>
      <c r="W51" s="639">
        <v>0.66510751809813951</v>
      </c>
    </row>
    <row r="52" spans="1:26" ht="9.75" customHeight="1">
      <c r="A52" s="136"/>
      <c r="B52" s="138"/>
      <c r="C52" s="138"/>
      <c r="D52" s="138"/>
      <c r="E52" s="138"/>
      <c r="F52" s="138"/>
      <c r="G52" s="138"/>
      <c r="H52" s="138"/>
      <c r="I52" s="138"/>
      <c r="J52" s="138"/>
      <c r="K52" s="138"/>
      <c r="L52" s="138"/>
      <c r="M52" s="635" t="s">
        <v>439</v>
      </c>
      <c r="N52" s="637" t="s">
        <v>383</v>
      </c>
      <c r="O52" s="636">
        <v>2.4</v>
      </c>
      <c r="P52" s="637">
        <v>1.4387384249999999</v>
      </c>
      <c r="Q52" s="637">
        <v>0.80574508568548386</v>
      </c>
      <c r="U52" s="548" t="s">
        <v>82</v>
      </c>
      <c r="V52" s="663">
        <v>0.72231032444807153</v>
      </c>
      <c r="W52" s="639">
        <v>0.76366560413354267</v>
      </c>
    </row>
    <row r="53" spans="1:26" ht="9.75" customHeight="1">
      <c r="B53" s="138"/>
      <c r="C53" s="138"/>
      <c r="D53" s="138"/>
      <c r="E53" s="138"/>
      <c r="F53" s="138"/>
      <c r="G53" s="138"/>
      <c r="H53" s="138"/>
      <c r="I53" s="138"/>
      <c r="J53" s="138"/>
      <c r="K53" s="138"/>
      <c r="L53" s="138"/>
      <c r="M53" s="635" t="s">
        <v>83</v>
      </c>
      <c r="N53" s="637" t="s">
        <v>383</v>
      </c>
      <c r="O53" s="636">
        <v>2.9537</v>
      </c>
      <c r="P53" s="637">
        <v>0.86460182499999993</v>
      </c>
      <c r="Q53" s="637">
        <v>0.39343847619952521</v>
      </c>
      <c r="U53" s="548" t="s">
        <v>83</v>
      </c>
      <c r="V53" s="663">
        <v>0.3779152022418103</v>
      </c>
      <c r="W53" s="639">
        <v>0.70506012640863902</v>
      </c>
    </row>
    <row r="54" spans="1:26" ht="30.75" customHeight="1">
      <c r="N54" s="637"/>
      <c r="O54" s="636"/>
      <c r="P54" s="637"/>
      <c r="Q54" s="637"/>
    </row>
    <row r="55" spans="1:26" ht="9.75" customHeight="1">
      <c r="V55" s="663"/>
    </row>
    <row r="56" spans="1:26" ht="9.75" customHeight="1">
      <c r="V56" s="663"/>
    </row>
    <row r="57" spans="1:26" ht="9.75" customHeight="1">
      <c r="V57" s="663"/>
    </row>
    <row r="58" spans="1:26" ht="9.75" customHeight="1"/>
    <row r="59" spans="1:26" ht="9.75" customHeight="1"/>
    <row r="60" spans="1:26" ht="9.75" customHeight="1"/>
    <row r="61" spans="1:26" ht="9.75" customHeight="1"/>
    <row r="62" spans="1:26" ht="9.75" customHeight="1"/>
    <row r="64" spans="1:26" ht="26.25" customHeight="1">
      <c r="A64" s="867"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julio.
Nota: Son consideradas las centrales adjudicadas por subasta RER y cuenten con operación comercial</v>
      </c>
      <c r="B64" s="867"/>
      <c r="C64" s="867"/>
      <c r="D64" s="867"/>
      <c r="E64" s="867"/>
      <c r="F64" s="867"/>
      <c r="G64" s="867"/>
      <c r="H64" s="867"/>
      <c r="I64" s="867"/>
      <c r="J64" s="867"/>
      <c r="K64" s="867"/>
      <c r="L64" s="867"/>
    </row>
  </sheetData>
  <mergeCells count="4">
    <mergeCell ref="A43:L43"/>
    <mergeCell ref="A2:L2"/>
    <mergeCell ref="C45:J45"/>
    <mergeCell ref="A64:L6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3"/>
  <sheetViews>
    <sheetView showGridLines="0" view="pageBreakPreview" zoomScaleNormal="100" zoomScaleSheetLayoutView="100" workbookViewId="0">
      <selection activeCell="A18" sqref="A18"/>
    </sheetView>
  </sheetViews>
  <sheetFormatPr baseColWidth="10"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662" customWidth="1"/>
    <col min="13" max="13" width="19.140625" style="277" customWidth="1"/>
    <col min="14" max="14" width="10.42578125" style="277" bestFit="1" customWidth="1"/>
    <col min="15" max="15" width="9.42578125" style="277" bestFit="1" customWidth="1"/>
    <col min="16" max="18" width="9.28515625" style="662"/>
  </cols>
  <sheetData>
    <row r="1" spans="1:15" ht="11.25" customHeight="1">
      <c r="A1" s="868" t="s">
        <v>228</v>
      </c>
      <c r="B1" s="868"/>
      <c r="C1" s="868"/>
      <c r="D1" s="868"/>
      <c r="E1" s="868"/>
      <c r="F1" s="868"/>
      <c r="G1" s="868"/>
      <c r="H1" s="868"/>
      <c r="I1" s="868"/>
      <c r="J1" s="868"/>
      <c r="K1" s="17"/>
    </row>
    <row r="2" spans="1:15" ht="6" customHeight="1">
      <c r="A2" s="17"/>
      <c r="B2" s="17"/>
      <c r="C2" s="17"/>
      <c r="D2" s="17"/>
      <c r="E2" s="17"/>
      <c r="F2" s="17"/>
      <c r="G2" s="17"/>
      <c r="H2" s="17"/>
      <c r="I2" s="17"/>
      <c r="J2" s="17"/>
      <c r="K2" s="17"/>
      <c r="L2" s="664"/>
      <c r="M2" s="707"/>
    </row>
    <row r="3" spans="1:15" ht="11.25" customHeight="1">
      <c r="A3" s="874" t="s">
        <v>238</v>
      </c>
      <c r="B3" s="875" t="str">
        <f>+'1. Resumen'!Q4</f>
        <v>julio</v>
      </c>
      <c r="C3" s="876"/>
      <c r="D3" s="876"/>
      <c r="E3" s="138"/>
      <c r="F3" s="138"/>
      <c r="G3" s="877" t="s">
        <v>553</v>
      </c>
      <c r="H3" s="877"/>
      <c r="I3" s="877"/>
      <c r="J3" s="877"/>
      <c r="K3" s="138"/>
      <c r="M3" s="708"/>
      <c r="N3" s="709">
        <v>2023</v>
      </c>
      <c r="O3" s="709">
        <v>2022</v>
      </c>
    </row>
    <row r="4" spans="1:15" ht="11.25" customHeight="1">
      <c r="A4" s="874"/>
      <c r="B4" s="367">
        <f>+'1. Resumen'!Q5</f>
        <v>2023</v>
      </c>
      <c r="C4" s="368">
        <f>+B4-1</f>
        <v>2022</v>
      </c>
      <c r="D4" s="368" t="s">
        <v>34</v>
      </c>
      <c r="E4" s="138"/>
      <c r="F4" s="138"/>
      <c r="G4" s="138"/>
      <c r="H4" s="138"/>
      <c r="I4" s="138"/>
      <c r="J4" s="138"/>
      <c r="K4" s="138"/>
      <c r="L4" s="714"/>
      <c r="M4" s="710" t="s">
        <v>406</v>
      </c>
      <c r="N4" s="711">
        <v>2.6413177499999999E-2</v>
      </c>
      <c r="O4" s="711">
        <v>5.080751985</v>
      </c>
    </row>
    <row r="5" spans="1:15" ht="10.5" customHeight="1">
      <c r="A5" s="585" t="s">
        <v>390</v>
      </c>
      <c r="B5" s="734">
        <v>956.11985581999988</v>
      </c>
      <c r="C5" s="735">
        <v>901.88333675000013</v>
      </c>
      <c r="D5" s="586">
        <f>IF(C5=0,"",B5/C5-1)</f>
        <v>6.0136956588470625E-2</v>
      </c>
      <c r="E5" s="138"/>
      <c r="F5" s="138"/>
      <c r="G5" s="138"/>
      <c r="H5" s="138"/>
      <c r="I5" s="138"/>
      <c r="J5" s="138"/>
      <c r="K5" s="138"/>
      <c r="L5" s="715"/>
      <c r="M5" s="710" t="s">
        <v>517</v>
      </c>
      <c r="N5" s="711">
        <v>0.20089525</v>
      </c>
      <c r="O5" s="711">
        <v>0.25421700000000003</v>
      </c>
    </row>
    <row r="6" spans="1:15" ht="10.5" customHeight="1">
      <c r="A6" s="587" t="s">
        <v>85</v>
      </c>
      <c r="B6" s="736">
        <v>799.14524528499999</v>
      </c>
      <c r="C6" s="736">
        <v>723.53303170250001</v>
      </c>
      <c r="D6" s="588">
        <f t="shared" ref="D6:D64" si="0">IF(C6=0,"",B6/C6-1)</f>
        <v>0.10450416258754847</v>
      </c>
      <c r="E6" s="322"/>
      <c r="F6" s="138"/>
      <c r="G6" s="138"/>
      <c r="H6" s="138"/>
      <c r="I6" s="138"/>
      <c r="J6" s="138"/>
      <c r="K6" s="138"/>
      <c r="M6" s="711" t="s">
        <v>446</v>
      </c>
      <c r="N6" s="711">
        <v>0.34193541</v>
      </c>
      <c r="O6" s="711">
        <v>3.9139159999999999E-2</v>
      </c>
    </row>
    <row r="7" spans="1:15" ht="10.5" customHeight="1">
      <c r="A7" s="585" t="s">
        <v>86</v>
      </c>
      <c r="B7" s="735">
        <v>733.79536225000015</v>
      </c>
      <c r="C7" s="735">
        <v>629.58779824999999</v>
      </c>
      <c r="D7" s="586">
        <f t="shared" si="0"/>
        <v>0.16551712769792415</v>
      </c>
      <c r="E7" s="138"/>
      <c r="F7" s="138"/>
      <c r="G7" s="138"/>
      <c r="H7" s="138"/>
      <c r="I7" s="138"/>
      <c r="J7" s="138"/>
      <c r="K7" s="138"/>
      <c r="M7" s="710" t="s">
        <v>114</v>
      </c>
      <c r="N7" s="711">
        <v>0.62787380749999999</v>
      </c>
      <c r="O7" s="711">
        <v>0.34142812750000001</v>
      </c>
    </row>
    <row r="8" spans="1:15" ht="10.5" customHeight="1">
      <c r="A8" s="587" t="s">
        <v>87</v>
      </c>
      <c r="B8" s="736">
        <v>495.55853544000001</v>
      </c>
      <c r="C8" s="736">
        <v>622.6185468000001</v>
      </c>
      <c r="D8" s="588">
        <f t="shared" si="0"/>
        <v>-0.20407360495930549</v>
      </c>
      <c r="E8" s="138"/>
      <c r="F8" s="138"/>
      <c r="G8" s="138"/>
      <c r="H8" s="138"/>
      <c r="I8" s="138"/>
      <c r="J8" s="138"/>
      <c r="K8" s="138"/>
      <c r="M8" s="711" t="s">
        <v>516</v>
      </c>
      <c r="N8" s="711">
        <v>1.1236381025</v>
      </c>
      <c r="O8" s="711">
        <v>1.1714932549999999</v>
      </c>
    </row>
    <row r="9" spans="1:15" ht="10.5" customHeight="1">
      <c r="A9" s="585" t="s">
        <v>232</v>
      </c>
      <c r="B9" s="735">
        <v>362.04767728750005</v>
      </c>
      <c r="C9" s="735">
        <v>386.13993942000002</v>
      </c>
      <c r="D9" s="586">
        <f t="shared" si="0"/>
        <v>-6.2392567235307617E-2</v>
      </c>
      <c r="E9" s="138"/>
      <c r="F9" s="138"/>
      <c r="G9" s="138"/>
      <c r="H9" s="138"/>
      <c r="I9" s="138"/>
      <c r="J9" s="138"/>
      <c r="K9" s="138"/>
      <c r="L9" s="714"/>
      <c r="M9" s="711" t="s">
        <v>113</v>
      </c>
      <c r="N9" s="711">
        <v>1.4547262500000002</v>
      </c>
      <c r="O9" s="711">
        <v>1.0183355000000001</v>
      </c>
    </row>
    <row r="10" spans="1:15" ht="10.5" customHeight="1">
      <c r="A10" s="587" t="s">
        <v>98</v>
      </c>
      <c r="B10" s="736">
        <v>167.19300050000001</v>
      </c>
      <c r="C10" s="736">
        <v>203.61788077749998</v>
      </c>
      <c r="D10" s="588">
        <f t="shared" si="0"/>
        <v>-0.17888841656938093</v>
      </c>
      <c r="E10" s="138"/>
      <c r="F10" s="138"/>
      <c r="G10" s="138"/>
      <c r="H10" s="138"/>
      <c r="I10" s="138"/>
      <c r="J10" s="138"/>
      <c r="K10" s="138"/>
      <c r="L10" s="715"/>
      <c r="M10" s="711" t="s">
        <v>236</v>
      </c>
      <c r="N10" s="711">
        <v>1.4867419925000001</v>
      </c>
      <c r="O10" s="711">
        <v>4.2955957500000003E-2</v>
      </c>
    </row>
    <row r="11" spans="1:15" ht="10.5" customHeight="1">
      <c r="A11" s="585" t="s">
        <v>237</v>
      </c>
      <c r="B11" s="735">
        <v>166.64082796000002</v>
      </c>
      <c r="C11" s="735">
        <v>0.73738550000000003</v>
      </c>
      <c r="D11" s="586">
        <f t="shared" si="0"/>
        <v>224.98875074164059</v>
      </c>
      <c r="E11" s="138"/>
      <c r="F11" s="138"/>
      <c r="G11" s="138"/>
      <c r="H11" s="138"/>
      <c r="I11" s="138"/>
      <c r="J11" s="138"/>
      <c r="K11" s="138"/>
      <c r="L11" s="715"/>
      <c r="M11" s="710" t="s">
        <v>111</v>
      </c>
      <c r="N11" s="711">
        <v>1.79883755</v>
      </c>
      <c r="O11" s="711">
        <v>1.3968615999999998</v>
      </c>
    </row>
    <row r="12" spans="1:15" ht="10.5" customHeight="1">
      <c r="A12" s="587" t="s">
        <v>88</v>
      </c>
      <c r="B12" s="736">
        <v>134.3878920375</v>
      </c>
      <c r="C12" s="736">
        <v>160.5206073075</v>
      </c>
      <c r="D12" s="589">
        <f t="shared" si="0"/>
        <v>-0.16279975330481455</v>
      </c>
      <c r="E12" s="138"/>
      <c r="F12" s="138"/>
      <c r="G12" s="138"/>
      <c r="H12" s="138"/>
      <c r="I12" s="138"/>
      <c r="J12" s="138"/>
      <c r="K12" s="138"/>
      <c r="L12" s="715"/>
      <c r="M12" s="710" t="s">
        <v>116</v>
      </c>
      <c r="N12" s="711">
        <v>2.1957373750000002</v>
      </c>
      <c r="O12" s="711">
        <v>4.8327452150000001</v>
      </c>
    </row>
    <row r="13" spans="1:15" ht="10.5" customHeight="1">
      <c r="A13" s="585" t="s">
        <v>234</v>
      </c>
      <c r="B13" s="735">
        <v>104.48852179499998</v>
      </c>
      <c r="C13" s="735">
        <v>92.641226000000003</v>
      </c>
      <c r="D13" s="586">
        <f t="shared" si="0"/>
        <v>0.12788362488855642</v>
      </c>
      <c r="E13" s="138"/>
      <c r="F13" s="138"/>
      <c r="G13" s="138"/>
      <c r="H13" s="138"/>
      <c r="I13" s="138"/>
      <c r="J13" s="138"/>
      <c r="K13" s="138"/>
      <c r="L13" s="715"/>
      <c r="M13" s="711" t="s">
        <v>112</v>
      </c>
      <c r="N13" s="711">
        <v>2.5579999999999998</v>
      </c>
      <c r="O13" s="711">
        <v>2.4704000000000002</v>
      </c>
    </row>
    <row r="14" spans="1:15" ht="10.5" customHeight="1">
      <c r="A14" s="587" t="s">
        <v>96</v>
      </c>
      <c r="B14" s="736">
        <v>83.133008250000017</v>
      </c>
      <c r="C14" s="736">
        <v>89.310361749999998</v>
      </c>
      <c r="D14" s="588">
        <f t="shared" si="0"/>
        <v>-6.91672654657004E-2</v>
      </c>
      <c r="E14" s="138"/>
      <c r="F14" s="138"/>
      <c r="G14" s="138"/>
      <c r="H14" s="138"/>
      <c r="I14" s="138"/>
      <c r="J14" s="138"/>
      <c r="K14" s="138"/>
      <c r="L14" s="715"/>
      <c r="M14" s="711" t="s">
        <v>229</v>
      </c>
      <c r="N14" s="711">
        <v>2.7671006849999999</v>
      </c>
      <c r="O14" s="711">
        <v>0</v>
      </c>
    </row>
    <row r="15" spans="1:15" ht="10.5" customHeight="1">
      <c r="A15" s="585" t="s">
        <v>90</v>
      </c>
      <c r="B15" s="735">
        <v>71.728401999999988</v>
      </c>
      <c r="C15" s="735">
        <v>61.397826499999994</v>
      </c>
      <c r="D15" s="586">
        <f t="shared" si="0"/>
        <v>0.16825637142057448</v>
      </c>
      <c r="E15" s="138"/>
      <c r="F15" s="138"/>
      <c r="G15" s="138"/>
      <c r="H15" s="138"/>
      <c r="I15" s="138"/>
      <c r="J15" s="138"/>
      <c r="K15" s="138" t="s">
        <v>8</v>
      </c>
      <c r="L15" s="715"/>
      <c r="M15" s="711" t="s">
        <v>107</v>
      </c>
      <c r="N15" s="711">
        <v>3.4422667499999999</v>
      </c>
      <c r="O15" s="711">
        <v>3.6147354325000003</v>
      </c>
    </row>
    <row r="16" spans="1:15" ht="10.5" customHeight="1">
      <c r="A16" s="587" t="s">
        <v>94</v>
      </c>
      <c r="B16" s="736">
        <v>67.181308000000001</v>
      </c>
      <c r="C16" s="736">
        <v>61.934746249999996</v>
      </c>
      <c r="D16" s="588">
        <f t="shared" si="0"/>
        <v>8.4711120456071987E-2</v>
      </c>
      <c r="E16" s="138"/>
      <c r="F16" s="138"/>
      <c r="G16" s="138"/>
      <c r="H16" s="138"/>
      <c r="I16" s="138"/>
      <c r="J16" s="138"/>
      <c r="K16" s="138"/>
      <c r="L16" s="715"/>
      <c r="M16" s="711" t="s">
        <v>108</v>
      </c>
      <c r="N16" s="711">
        <v>3.5158252499999998</v>
      </c>
      <c r="O16" s="711">
        <v>3.5675417025000002</v>
      </c>
    </row>
    <row r="17" spans="1:15" ht="10.5" customHeight="1">
      <c r="A17" s="585" t="s">
        <v>89</v>
      </c>
      <c r="B17" s="735">
        <v>63.045357062499995</v>
      </c>
      <c r="C17" s="735">
        <v>72.347518112500026</v>
      </c>
      <c r="D17" s="586">
        <f t="shared" si="0"/>
        <v>-0.12857609068959652</v>
      </c>
      <c r="E17" s="138"/>
      <c r="F17" s="138"/>
      <c r="G17" s="138"/>
      <c r="H17" s="138"/>
      <c r="I17" s="138"/>
      <c r="J17" s="138"/>
      <c r="K17" s="138"/>
      <c r="L17" s="716"/>
      <c r="M17" s="710" t="s">
        <v>102</v>
      </c>
      <c r="N17" s="711">
        <v>3.6139667424999997</v>
      </c>
      <c r="O17" s="711">
        <v>5.8500055549999992</v>
      </c>
    </row>
    <row r="18" spans="1:15" ht="10.5" customHeight="1">
      <c r="A18" s="587" t="s">
        <v>92</v>
      </c>
      <c r="B18" s="736">
        <v>57.282882732499999</v>
      </c>
      <c r="C18" s="736">
        <v>53.605368005000003</v>
      </c>
      <c r="D18" s="588">
        <f t="shared" si="0"/>
        <v>6.8603478800051798E-2</v>
      </c>
      <c r="E18" s="138"/>
      <c r="F18" s="138"/>
      <c r="G18" s="138"/>
      <c r="H18" s="138"/>
      <c r="I18" s="138"/>
      <c r="J18" s="138"/>
      <c r="K18" s="138"/>
      <c r="L18" s="715"/>
      <c r="M18" s="711" t="s">
        <v>436</v>
      </c>
      <c r="N18" s="711">
        <v>3.622056905</v>
      </c>
      <c r="O18" s="711">
        <v>1.11755388</v>
      </c>
    </row>
    <row r="19" spans="1:15" ht="10.5" customHeight="1">
      <c r="A19" s="585" t="s">
        <v>103</v>
      </c>
      <c r="B19" s="735">
        <v>45.072545757500002</v>
      </c>
      <c r="C19" s="735">
        <v>42.195319210000001</v>
      </c>
      <c r="D19" s="586">
        <f t="shared" si="0"/>
        <v>6.8188287264292491E-2</v>
      </c>
      <c r="E19" s="138"/>
      <c r="F19" s="138"/>
      <c r="G19" s="138"/>
      <c r="H19" s="138"/>
      <c r="I19" s="138"/>
      <c r="J19" s="138"/>
      <c r="K19" s="138"/>
      <c r="L19" s="715"/>
      <c r="M19" s="710" t="s">
        <v>443</v>
      </c>
      <c r="N19" s="711">
        <v>3.7262939925</v>
      </c>
      <c r="O19" s="711">
        <v>3.4000642499999998</v>
      </c>
    </row>
    <row r="20" spans="1:15" ht="10.5" customHeight="1">
      <c r="A20" s="587" t="s">
        <v>405</v>
      </c>
      <c r="B20" s="736">
        <v>37.935866780000005</v>
      </c>
      <c r="C20" s="736">
        <v>37.1893454625</v>
      </c>
      <c r="D20" s="588">
        <f t="shared" si="0"/>
        <v>2.0073526657057306E-2</v>
      </c>
      <c r="E20" s="138"/>
      <c r="F20" s="138"/>
      <c r="G20" s="138"/>
      <c r="H20" s="138"/>
      <c r="I20" s="138"/>
      <c r="J20" s="138"/>
      <c r="K20" s="138"/>
      <c r="L20" s="715"/>
      <c r="M20" s="711" t="s">
        <v>442</v>
      </c>
      <c r="N20" s="711">
        <v>3.7470653</v>
      </c>
      <c r="O20" s="711">
        <v>3.5524762500000002</v>
      </c>
    </row>
    <row r="21" spans="1:15" ht="10.5" customHeight="1">
      <c r="A21" s="585" t="s">
        <v>91</v>
      </c>
      <c r="B21" s="735">
        <v>36.318952000000003</v>
      </c>
      <c r="C21" s="735">
        <v>48.269572249999996</v>
      </c>
      <c r="D21" s="586">
        <f t="shared" si="0"/>
        <v>-0.2475808194053345</v>
      </c>
      <c r="E21" s="138"/>
      <c r="F21" s="138"/>
      <c r="G21" s="138"/>
      <c r="H21" s="138"/>
      <c r="I21" s="138"/>
      <c r="J21" s="138"/>
      <c r="K21" s="138"/>
      <c r="L21" s="716"/>
      <c r="M21" s="710" t="s">
        <v>110</v>
      </c>
      <c r="N21" s="711">
        <v>3.78700715</v>
      </c>
      <c r="O21" s="711">
        <v>0.94245527749999991</v>
      </c>
    </row>
    <row r="22" spans="1:15" ht="10.5" customHeight="1">
      <c r="A22" s="587" t="s">
        <v>93</v>
      </c>
      <c r="B22" s="736">
        <v>33.701698112500004</v>
      </c>
      <c r="C22" s="736">
        <v>54.378397694999997</v>
      </c>
      <c r="D22" s="588">
        <f t="shared" si="0"/>
        <v>-0.38023738210295188</v>
      </c>
      <c r="E22" s="138"/>
      <c r="F22" s="138"/>
      <c r="G22" s="138"/>
      <c r="H22" s="138"/>
      <c r="I22" s="138"/>
      <c r="J22" s="138"/>
      <c r="K22" s="138"/>
      <c r="L22" s="715"/>
      <c r="M22" s="710" t="s">
        <v>115</v>
      </c>
      <c r="N22" s="711">
        <v>4.138567880000001</v>
      </c>
      <c r="O22" s="711">
        <v>0.89303510249999996</v>
      </c>
    </row>
    <row r="23" spans="1:15" ht="10.5" customHeight="1">
      <c r="A23" s="585" t="s">
        <v>95</v>
      </c>
      <c r="B23" s="735">
        <v>31.406054367499998</v>
      </c>
      <c r="C23" s="735">
        <v>39.432415949999999</v>
      </c>
      <c r="D23" s="586">
        <f t="shared" si="0"/>
        <v>-0.20354729450707165</v>
      </c>
      <c r="E23" s="138"/>
      <c r="F23" s="138"/>
      <c r="G23" s="138"/>
      <c r="H23" s="138"/>
      <c r="I23" s="138"/>
      <c r="J23" s="138"/>
      <c r="K23" s="138"/>
      <c r="L23" s="715"/>
      <c r="M23" s="710" t="s">
        <v>105</v>
      </c>
      <c r="N23" s="711">
        <v>4.2201009999999997</v>
      </c>
      <c r="O23" s="711">
        <v>4.2210632800000001</v>
      </c>
    </row>
    <row r="24" spans="1:15" ht="10.5" customHeight="1">
      <c r="A24" s="587" t="s">
        <v>97</v>
      </c>
      <c r="B24" s="736">
        <v>31.322070052499999</v>
      </c>
      <c r="C24" s="736">
        <v>47.098825007500004</v>
      </c>
      <c r="D24" s="588">
        <f t="shared" si="0"/>
        <v>-0.33497130666184816</v>
      </c>
      <c r="E24" s="138"/>
      <c r="F24" s="138"/>
      <c r="G24" s="138"/>
      <c r="H24" s="138"/>
      <c r="I24" s="138"/>
      <c r="J24" s="138"/>
      <c r="K24" s="138"/>
      <c r="L24" s="715"/>
      <c r="M24" s="711" t="s">
        <v>428</v>
      </c>
      <c r="N24" s="711">
        <v>4.8165581050000004</v>
      </c>
      <c r="O24" s="711">
        <v>4.4777463525000005</v>
      </c>
    </row>
    <row r="25" spans="1:15" ht="10.5" customHeight="1">
      <c r="A25" s="585" t="s">
        <v>231</v>
      </c>
      <c r="B25" s="735">
        <v>31.317128437499999</v>
      </c>
      <c r="C25" s="735">
        <v>30.474016205000002</v>
      </c>
      <c r="D25" s="586">
        <f t="shared" si="0"/>
        <v>2.7666593954283725E-2</v>
      </c>
      <c r="E25" s="138"/>
      <c r="F25" s="138"/>
      <c r="G25" s="138"/>
      <c r="H25" s="138"/>
      <c r="I25" s="138"/>
      <c r="J25" s="138"/>
      <c r="K25" s="138"/>
      <c r="L25" s="715"/>
      <c r="M25" s="710" t="s">
        <v>391</v>
      </c>
      <c r="N25" s="711">
        <v>5.9279576</v>
      </c>
      <c r="O25" s="711">
        <v>6.5636348249999994</v>
      </c>
    </row>
    <row r="26" spans="1:15" ht="10.5" customHeight="1">
      <c r="A26" s="587" t="s">
        <v>230</v>
      </c>
      <c r="B26" s="736">
        <v>25.392656694999999</v>
      </c>
      <c r="C26" s="736">
        <v>63.2682485375</v>
      </c>
      <c r="D26" s="588">
        <f t="shared" si="0"/>
        <v>-0.59865086703088666</v>
      </c>
      <c r="E26" s="138"/>
      <c r="F26" s="138"/>
      <c r="G26" s="138"/>
      <c r="H26" s="138"/>
      <c r="I26" s="138"/>
      <c r="J26" s="138"/>
      <c r="K26" s="138"/>
      <c r="L26" s="715"/>
      <c r="M26" s="710" t="s">
        <v>427</v>
      </c>
      <c r="N26" s="711">
        <v>6.727875</v>
      </c>
      <c r="O26" s="711">
        <v>7.0058393524999998</v>
      </c>
    </row>
    <row r="27" spans="1:15" ht="10.5" customHeight="1">
      <c r="A27" s="590" t="s">
        <v>100</v>
      </c>
      <c r="B27" s="735">
        <v>20.064550467500002</v>
      </c>
      <c r="C27" s="735">
        <v>21.905936242500001</v>
      </c>
      <c r="D27" s="586">
        <f t="shared" si="0"/>
        <v>-8.4058757161335151E-2</v>
      </c>
      <c r="E27" s="138"/>
      <c r="F27" s="138"/>
      <c r="G27" s="138"/>
      <c r="H27" s="138"/>
      <c r="I27" s="138"/>
      <c r="J27" s="138"/>
      <c r="K27" s="138"/>
      <c r="L27" s="715"/>
      <c r="M27" s="710" t="s">
        <v>419</v>
      </c>
      <c r="N27" s="711">
        <v>7.4611049299999994</v>
      </c>
      <c r="O27" s="711">
        <v>7.4880096125</v>
      </c>
    </row>
    <row r="28" spans="1:15" ht="10.5" customHeight="1">
      <c r="A28" s="591" t="s">
        <v>99</v>
      </c>
      <c r="B28" s="736">
        <v>18.347328192500001</v>
      </c>
      <c r="C28" s="736">
        <v>22.146209187499998</v>
      </c>
      <c r="D28" s="588">
        <f t="shared" si="0"/>
        <v>-0.17153639987940705</v>
      </c>
      <c r="E28" s="138"/>
      <c r="F28" s="138"/>
      <c r="G28" s="138"/>
      <c r="H28" s="138"/>
      <c r="I28" s="138"/>
      <c r="J28" s="138"/>
      <c r="K28" s="138"/>
      <c r="L28" s="715"/>
      <c r="M28" s="711" t="s">
        <v>397</v>
      </c>
      <c r="N28" s="711">
        <v>7.9616368949999998</v>
      </c>
      <c r="O28" s="711">
        <v>7.5690614974999999</v>
      </c>
    </row>
    <row r="29" spans="1:15" ht="10.5" customHeight="1">
      <c r="A29" s="592" t="s">
        <v>109</v>
      </c>
      <c r="B29" s="735">
        <v>15.162614177499998</v>
      </c>
      <c r="C29" s="735">
        <v>12.679938280000002</v>
      </c>
      <c r="D29" s="586">
        <f t="shared" si="0"/>
        <v>0.19579558217691861</v>
      </c>
      <c r="E29" s="138"/>
      <c r="F29" s="138"/>
      <c r="G29" s="138"/>
      <c r="H29" s="138"/>
      <c r="I29" s="138"/>
      <c r="J29" s="138"/>
      <c r="K29" s="138"/>
      <c r="L29" s="715"/>
      <c r="M29" s="711" t="s">
        <v>444</v>
      </c>
      <c r="N29" s="711">
        <v>8.3628390424999992</v>
      </c>
      <c r="O29" s="711">
        <v>5.8974592525</v>
      </c>
    </row>
    <row r="30" spans="1:15" ht="10.5" customHeight="1">
      <c r="A30" s="591" t="s">
        <v>452</v>
      </c>
      <c r="B30" s="736">
        <v>15.065557250000001</v>
      </c>
      <c r="C30" s="736">
        <v>20.548771370000001</v>
      </c>
      <c r="D30" s="588">
        <f t="shared" si="0"/>
        <v>-0.26683902513048396</v>
      </c>
      <c r="E30" s="138"/>
      <c r="F30" s="138"/>
      <c r="G30" s="138"/>
      <c r="H30" s="138"/>
      <c r="I30" s="138"/>
      <c r="J30" s="138"/>
      <c r="K30" s="138"/>
      <c r="L30" s="715"/>
      <c r="M30" s="711" t="s">
        <v>448</v>
      </c>
      <c r="N30" s="711">
        <v>9.2706510874999992</v>
      </c>
      <c r="O30" s="711">
        <v>9.4033734525000003</v>
      </c>
    </row>
    <row r="31" spans="1:15" ht="10.5" customHeight="1">
      <c r="A31" s="592" t="s">
        <v>382</v>
      </c>
      <c r="B31" s="735">
        <v>14.624096485000001</v>
      </c>
      <c r="C31" s="735">
        <v>14.5736953325</v>
      </c>
      <c r="D31" s="586">
        <f t="shared" si="0"/>
        <v>3.458364632311417E-3</v>
      </c>
      <c r="E31" s="138"/>
      <c r="F31" s="138"/>
      <c r="G31" s="138"/>
      <c r="H31" s="138"/>
      <c r="I31" s="138"/>
      <c r="J31" s="138"/>
      <c r="K31" s="138"/>
      <c r="L31" s="715"/>
      <c r="M31" s="710" t="s">
        <v>445</v>
      </c>
      <c r="N31" s="711">
        <v>9.9918544349999987</v>
      </c>
      <c r="O31" s="711">
        <v>7.7392757825</v>
      </c>
    </row>
    <row r="32" spans="1:15" ht="10.5" customHeight="1">
      <c r="A32" s="593" t="s">
        <v>106</v>
      </c>
      <c r="B32" s="736">
        <v>14.047123819999999</v>
      </c>
      <c r="C32" s="736">
        <v>15.572167762500001</v>
      </c>
      <c r="D32" s="588">
        <f t="shared" si="0"/>
        <v>-9.7933952790601464E-2</v>
      </c>
      <c r="E32" s="138"/>
      <c r="F32" s="138"/>
      <c r="G32" s="138"/>
      <c r="H32" s="138"/>
      <c r="I32" s="138"/>
      <c r="J32" s="138"/>
      <c r="K32" s="138"/>
      <c r="L32" s="715"/>
      <c r="M32" s="710" t="s">
        <v>117</v>
      </c>
      <c r="N32" s="711">
        <v>10.1064407375</v>
      </c>
      <c r="O32" s="711">
        <v>6.4049256474999998</v>
      </c>
    </row>
    <row r="33" spans="1:15" ht="10.5" customHeight="1">
      <c r="A33" s="594" t="s">
        <v>101</v>
      </c>
      <c r="B33" s="735">
        <v>12.992286697499999</v>
      </c>
      <c r="C33" s="735">
        <v>13.238314907500001</v>
      </c>
      <c r="D33" s="586">
        <f t="shared" si="0"/>
        <v>-1.8584556397024388E-2</v>
      </c>
      <c r="E33" s="138"/>
      <c r="F33" s="138"/>
      <c r="G33" s="138"/>
      <c r="H33" s="138"/>
      <c r="I33" s="138"/>
      <c r="J33" s="138"/>
      <c r="K33" s="138"/>
      <c r="L33" s="717"/>
      <c r="M33" s="710" t="s">
        <v>233</v>
      </c>
      <c r="N33" s="711">
        <v>10.116444999999999</v>
      </c>
      <c r="O33" s="711">
        <v>10.371566</v>
      </c>
    </row>
    <row r="34" spans="1:15" ht="10.5" customHeight="1">
      <c r="A34" s="593" t="s">
        <v>447</v>
      </c>
      <c r="B34" s="736">
        <v>11.44939194</v>
      </c>
      <c r="C34" s="736">
        <v>12.304680177499998</v>
      </c>
      <c r="D34" s="588">
        <f t="shared" si="0"/>
        <v>-6.9509180666390225E-2</v>
      </c>
      <c r="E34" s="138"/>
      <c r="F34" s="138"/>
      <c r="G34" s="138"/>
      <c r="H34" s="138"/>
      <c r="I34" s="138"/>
      <c r="J34" s="138"/>
      <c r="K34" s="138"/>
      <c r="L34" s="717"/>
      <c r="M34" s="710" t="s">
        <v>104</v>
      </c>
      <c r="N34" s="711">
        <v>10.18044031</v>
      </c>
      <c r="O34" s="711">
        <v>9.7768640599999994</v>
      </c>
    </row>
    <row r="35" spans="1:15" ht="10.5" customHeight="1">
      <c r="A35" s="594" t="s">
        <v>235</v>
      </c>
      <c r="B35" s="735">
        <v>10.331136975</v>
      </c>
      <c r="C35" s="735">
        <v>15.3886731175</v>
      </c>
      <c r="D35" s="586">
        <f t="shared" si="0"/>
        <v>-0.32865316612311235</v>
      </c>
      <c r="E35" s="138"/>
      <c r="F35" s="138"/>
      <c r="G35" s="138"/>
      <c r="H35" s="138"/>
      <c r="I35" s="138"/>
      <c r="J35" s="138"/>
      <c r="K35" s="138"/>
      <c r="L35" s="716"/>
      <c r="M35" s="711" t="s">
        <v>235</v>
      </c>
      <c r="N35" s="711">
        <v>10.331136975</v>
      </c>
      <c r="O35" s="711">
        <v>15.3886731175</v>
      </c>
    </row>
    <row r="36" spans="1:15" ht="10.5" customHeight="1">
      <c r="A36" s="593" t="s">
        <v>104</v>
      </c>
      <c r="B36" s="736">
        <v>10.18044031</v>
      </c>
      <c r="C36" s="736">
        <v>9.7768640599999994</v>
      </c>
      <c r="D36" s="588">
        <f t="shared" si="0"/>
        <v>4.1278701178954602E-2</v>
      </c>
      <c r="E36" s="138"/>
      <c r="F36" s="138"/>
      <c r="G36" s="138"/>
      <c r="H36" s="138"/>
      <c r="I36" s="138"/>
      <c r="J36" s="138"/>
      <c r="K36" s="138"/>
      <c r="L36" s="716"/>
      <c r="M36" s="710" t="s">
        <v>447</v>
      </c>
      <c r="N36" s="711">
        <v>11.44939194</v>
      </c>
      <c r="O36" s="711">
        <v>12.304680177499998</v>
      </c>
    </row>
    <row r="37" spans="1:15" ht="10.5" customHeight="1">
      <c r="A37" s="594" t="s">
        <v>233</v>
      </c>
      <c r="B37" s="735">
        <v>10.116444999999999</v>
      </c>
      <c r="C37" s="735">
        <v>10.371566</v>
      </c>
      <c r="D37" s="586">
        <f t="shared" si="0"/>
        <v>-2.4598117584172075E-2</v>
      </c>
      <c r="E37" s="138"/>
      <c r="F37" s="138"/>
      <c r="G37" s="138"/>
      <c r="H37" s="138"/>
      <c r="I37" s="138"/>
      <c r="J37" s="138"/>
      <c r="K37" s="138"/>
      <c r="L37" s="716"/>
      <c r="M37" s="711" t="s">
        <v>101</v>
      </c>
      <c r="N37" s="711">
        <v>12.992286697499999</v>
      </c>
      <c r="O37" s="711">
        <v>13.238314907500001</v>
      </c>
    </row>
    <row r="38" spans="1:15" ht="10.5" customHeight="1">
      <c r="A38" s="593" t="s">
        <v>117</v>
      </c>
      <c r="B38" s="736">
        <v>10.1064407375</v>
      </c>
      <c r="C38" s="736">
        <v>6.4049256474999998</v>
      </c>
      <c r="D38" s="588">
        <f t="shared" si="0"/>
        <v>0.57791694919125125</v>
      </c>
      <c r="E38" s="138"/>
      <c r="F38" s="138"/>
      <c r="G38" s="138"/>
      <c r="H38" s="138"/>
      <c r="I38" s="138"/>
      <c r="J38" s="138"/>
      <c r="K38" s="138"/>
      <c r="L38" s="717"/>
      <c r="M38" s="710" t="s">
        <v>106</v>
      </c>
      <c r="N38" s="711">
        <v>14.047123819999999</v>
      </c>
      <c r="O38" s="711">
        <v>15.572167762500001</v>
      </c>
    </row>
    <row r="39" spans="1:15" ht="10.5" customHeight="1">
      <c r="A39" s="594" t="s">
        <v>445</v>
      </c>
      <c r="B39" s="735">
        <v>9.9918544349999987</v>
      </c>
      <c r="C39" s="735">
        <v>7.7392757825</v>
      </c>
      <c r="D39" s="586">
        <f t="shared" si="0"/>
        <v>0.29105806742195628</v>
      </c>
      <c r="E39" s="138"/>
      <c r="F39" s="138"/>
      <c r="G39" s="138"/>
      <c r="H39" s="138"/>
      <c r="I39" s="138"/>
      <c r="J39" s="138"/>
      <c r="K39" s="138"/>
      <c r="L39" s="717"/>
      <c r="M39" s="711" t="s">
        <v>382</v>
      </c>
      <c r="N39" s="711">
        <v>14.624096485000001</v>
      </c>
      <c r="O39" s="711">
        <v>14.5736953325</v>
      </c>
    </row>
    <row r="40" spans="1:15" ht="10.5" customHeight="1">
      <c r="A40" s="591" t="s">
        <v>448</v>
      </c>
      <c r="B40" s="736">
        <v>9.2706510874999992</v>
      </c>
      <c r="C40" s="736">
        <v>9.4033734525000003</v>
      </c>
      <c r="D40" s="588">
        <f t="shared" si="0"/>
        <v>-1.411433520857508E-2</v>
      </c>
      <c r="E40" s="138"/>
      <c r="F40" s="138"/>
      <c r="G40" s="138"/>
      <c r="H40" s="138"/>
      <c r="I40" s="138"/>
      <c r="J40" s="138"/>
      <c r="K40" s="138"/>
      <c r="L40" s="717"/>
      <c r="M40" s="710" t="s">
        <v>452</v>
      </c>
      <c r="N40" s="711">
        <v>15.065557250000001</v>
      </c>
      <c r="O40" s="711">
        <v>20.548771370000001</v>
      </c>
    </row>
    <row r="41" spans="1:15" ht="10.5" customHeight="1">
      <c r="A41" s="592" t="s">
        <v>444</v>
      </c>
      <c r="B41" s="735">
        <v>8.3628390424999992</v>
      </c>
      <c r="C41" s="735">
        <v>5.8974592525</v>
      </c>
      <c r="D41" s="586">
        <f t="shared" si="0"/>
        <v>0.41804100451476578</v>
      </c>
      <c r="E41" s="138"/>
      <c r="F41" s="138"/>
      <c r="G41" s="138"/>
      <c r="H41" s="138"/>
      <c r="I41" s="138"/>
      <c r="J41" s="138"/>
      <c r="K41" s="138"/>
      <c r="M41" s="710" t="s">
        <v>109</v>
      </c>
      <c r="N41" s="711">
        <v>15.162614177499998</v>
      </c>
      <c r="O41" s="711">
        <v>12.679938280000002</v>
      </c>
    </row>
    <row r="42" spans="1:15" ht="10.5" customHeight="1">
      <c r="A42" s="591" t="s">
        <v>397</v>
      </c>
      <c r="B42" s="736">
        <v>7.9616368949999998</v>
      </c>
      <c r="C42" s="736">
        <v>7.5690614974999999</v>
      </c>
      <c r="D42" s="588">
        <f t="shared" si="0"/>
        <v>5.1865795730377418E-2</v>
      </c>
      <c r="E42" s="138"/>
      <c r="F42" s="138"/>
      <c r="G42" s="138"/>
      <c r="H42" s="138"/>
      <c r="I42" s="138"/>
      <c r="J42" s="138"/>
      <c r="K42" s="138"/>
      <c r="M42" s="712" t="s">
        <v>99</v>
      </c>
      <c r="N42" s="711">
        <v>18.347328192500001</v>
      </c>
      <c r="O42" s="711">
        <v>22.146209187499998</v>
      </c>
    </row>
    <row r="43" spans="1:15" ht="10.5" customHeight="1">
      <c r="A43" s="592" t="s">
        <v>419</v>
      </c>
      <c r="B43" s="735">
        <v>7.4611049299999994</v>
      </c>
      <c r="C43" s="735">
        <v>7.4880096125</v>
      </c>
      <c r="D43" s="586">
        <f t="shared" si="0"/>
        <v>-3.5930352513287023E-3</v>
      </c>
      <c r="E43" s="138"/>
      <c r="F43" s="138"/>
      <c r="G43" s="138"/>
      <c r="H43" s="138"/>
      <c r="I43" s="138"/>
      <c r="J43" s="138"/>
      <c r="K43" s="138"/>
      <c r="M43" s="710" t="s">
        <v>100</v>
      </c>
      <c r="N43" s="711">
        <v>20.064550467500002</v>
      </c>
      <c r="O43" s="711">
        <v>21.905936242500001</v>
      </c>
    </row>
    <row r="44" spans="1:15" ht="10.5" customHeight="1">
      <c r="A44" s="591" t="s">
        <v>427</v>
      </c>
      <c r="B44" s="736">
        <v>6.727875</v>
      </c>
      <c r="C44" s="736">
        <v>7.0058393524999998</v>
      </c>
      <c r="D44" s="588">
        <f t="shared" si="0"/>
        <v>-3.9676095684496371E-2</v>
      </c>
      <c r="E44" s="138"/>
      <c r="F44" s="138"/>
      <c r="G44" s="138"/>
      <c r="H44" s="138"/>
      <c r="I44" s="138"/>
      <c r="J44" s="138"/>
      <c r="K44" s="138"/>
      <c r="M44" s="710" t="s">
        <v>230</v>
      </c>
      <c r="N44" s="711">
        <v>25.392656694999999</v>
      </c>
      <c r="O44" s="711">
        <v>63.2682485375</v>
      </c>
    </row>
    <row r="45" spans="1:15" ht="10.5" customHeight="1">
      <c r="A45" s="592" t="s">
        <v>391</v>
      </c>
      <c r="B45" s="735">
        <v>5.9279576</v>
      </c>
      <c r="C45" s="735">
        <v>6.5636348249999994</v>
      </c>
      <c r="D45" s="586">
        <f t="shared" si="0"/>
        <v>-9.6848353381694952E-2</v>
      </c>
      <c r="E45" s="138"/>
      <c r="F45" s="138"/>
      <c r="G45" s="138"/>
      <c r="H45" s="138"/>
      <c r="I45" s="138"/>
      <c r="J45" s="138"/>
      <c r="K45" s="138"/>
      <c r="M45" s="710" t="s">
        <v>231</v>
      </c>
      <c r="N45" s="711">
        <v>31.317128437499999</v>
      </c>
      <c r="O45" s="711">
        <v>30.474016205000002</v>
      </c>
    </row>
    <row r="46" spans="1:15" ht="10.5" customHeight="1">
      <c r="A46" s="591" t="s">
        <v>428</v>
      </c>
      <c r="B46" s="736">
        <v>4.8165581050000004</v>
      </c>
      <c r="C46" s="736">
        <v>4.4777463525000005</v>
      </c>
      <c r="D46" s="588">
        <f t="shared" si="0"/>
        <v>7.5665686670893129E-2</v>
      </c>
      <c r="E46" s="138"/>
      <c r="F46" s="138"/>
      <c r="G46" s="138"/>
      <c r="H46" s="138"/>
      <c r="I46" s="138"/>
      <c r="J46" s="138"/>
      <c r="K46" s="138"/>
      <c r="M46" s="711" t="s">
        <v>97</v>
      </c>
      <c r="N46" s="711">
        <v>31.322070052499999</v>
      </c>
      <c r="O46" s="711">
        <v>47.098825007500004</v>
      </c>
    </row>
    <row r="47" spans="1:15" ht="10.5" customHeight="1">
      <c r="A47" s="594" t="s">
        <v>105</v>
      </c>
      <c r="B47" s="735">
        <v>4.2201009999999997</v>
      </c>
      <c r="C47" s="735">
        <v>4.2210632800000001</v>
      </c>
      <c r="D47" s="586">
        <f t="shared" si="0"/>
        <v>-2.2797099597149373E-4</v>
      </c>
      <c r="E47" s="138"/>
      <c r="F47" s="138"/>
      <c r="G47" s="138"/>
      <c r="H47" s="138"/>
      <c r="I47" s="138"/>
      <c r="J47" s="138"/>
      <c r="K47" s="138"/>
      <c r="M47" s="713" t="s">
        <v>95</v>
      </c>
      <c r="N47" s="711">
        <v>31.406054367499998</v>
      </c>
      <c r="O47" s="711">
        <v>39.432415949999999</v>
      </c>
    </row>
    <row r="48" spans="1:15" ht="10.5" customHeight="1">
      <c r="A48" s="591" t="s">
        <v>115</v>
      </c>
      <c r="B48" s="736">
        <v>4.138567880000001</v>
      </c>
      <c r="C48" s="736">
        <v>0.89303510249999996</v>
      </c>
      <c r="D48" s="588">
        <f t="shared" si="0"/>
        <v>3.6342723465341065</v>
      </c>
      <c r="E48" s="138"/>
      <c r="F48" s="138"/>
      <c r="G48" s="138"/>
      <c r="H48" s="138"/>
      <c r="I48" s="138"/>
      <c r="J48" s="138"/>
      <c r="K48" s="138"/>
      <c r="M48" s="710" t="s">
        <v>93</v>
      </c>
      <c r="N48" s="711">
        <v>33.701698112500004</v>
      </c>
      <c r="O48" s="711">
        <v>54.378397694999997</v>
      </c>
    </row>
    <row r="49" spans="1:15" ht="10.5" customHeight="1">
      <c r="A49" s="592" t="s">
        <v>110</v>
      </c>
      <c r="B49" s="735">
        <v>3.78700715</v>
      </c>
      <c r="C49" s="735">
        <v>0.94245527749999991</v>
      </c>
      <c r="D49" s="586">
        <f t="shared" si="0"/>
        <v>3.0182353904851471</v>
      </c>
      <c r="E49" s="138"/>
      <c r="F49" s="138"/>
      <c r="G49" s="138"/>
      <c r="H49" s="138"/>
      <c r="I49" s="138"/>
      <c r="J49" s="138"/>
      <c r="K49" s="138"/>
      <c r="M49" s="710" t="s">
        <v>91</v>
      </c>
      <c r="N49" s="711">
        <v>36.318952000000003</v>
      </c>
      <c r="O49" s="711">
        <v>48.269572249999996</v>
      </c>
    </row>
    <row r="50" spans="1:15" ht="10.5" customHeight="1">
      <c r="A50" s="593" t="s">
        <v>442</v>
      </c>
      <c r="B50" s="736">
        <v>3.7470653</v>
      </c>
      <c r="C50" s="736">
        <v>3.5524762500000002</v>
      </c>
      <c r="D50" s="588">
        <f t="shared" si="0"/>
        <v>5.477560898542233E-2</v>
      </c>
      <c r="E50" s="138"/>
      <c r="F50" s="138"/>
      <c r="G50" s="138"/>
      <c r="H50" s="138"/>
      <c r="I50" s="138"/>
      <c r="J50" s="138"/>
      <c r="K50" s="138"/>
      <c r="M50" s="710" t="s">
        <v>405</v>
      </c>
      <c r="N50" s="711">
        <v>37.935866780000005</v>
      </c>
      <c r="O50" s="711">
        <v>37.1893454625</v>
      </c>
    </row>
    <row r="51" spans="1:15" ht="10.5" customHeight="1">
      <c r="A51" s="592" t="s">
        <v>443</v>
      </c>
      <c r="B51" s="735">
        <v>3.7262939925</v>
      </c>
      <c r="C51" s="735">
        <v>3.4000642499999998</v>
      </c>
      <c r="D51" s="586">
        <f t="shared" si="0"/>
        <v>9.5948111127605928E-2</v>
      </c>
      <c r="E51" s="138"/>
      <c r="F51" s="138"/>
      <c r="G51" s="138"/>
      <c r="H51" s="138"/>
      <c r="I51" s="138"/>
      <c r="J51" s="138"/>
      <c r="K51" s="138"/>
      <c r="M51" s="710" t="s">
        <v>103</v>
      </c>
      <c r="N51" s="711">
        <v>45.072545757500002</v>
      </c>
      <c r="O51" s="711">
        <v>42.195319210000001</v>
      </c>
    </row>
    <row r="52" spans="1:15" ht="10.5" customHeight="1">
      <c r="A52" s="591" t="s">
        <v>436</v>
      </c>
      <c r="B52" s="736">
        <v>3.622056905</v>
      </c>
      <c r="C52" s="736">
        <v>1.11755388</v>
      </c>
      <c r="D52" s="588">
        <f t="shared" si="0"/>
        <v>2.2410579658136931</v>
      </c>
      <c r="E52" s="138"/>
      <c r="F52" s="138"/>
      <c r="G52" s="138"/>
      <c r="H52" s="138"/>
      <c r="I52" s="138"/>
      <c r="J52" s="138"/>
      <c r="K52" s="138"/>
      <c r="M52" s="710" t="s">
        <v>92</v>
      </c>
      <c r="N52" s="711">
        <v>57.282882732499999</v>
      </c>
      <c r="O52" s="711">
        <v>53.605368005000003</v>
      </c>
    </row>
    <row r="53" spans="1:15" ht="10.5" customHeight="1">
      <c r="A53" s="592" t="s">
        <v>102</v>
      </c>
      <c r="B53" s="735">
        <v>3.6139667424999997</v>
      </c>
      <c r="C53" s="735">
        <v>5.8500055549999992</v>
      </c>
      <c r="D53" s="586">
        <f t="shared" si="0"/>
        <v>-0.38222849388388314</v>
      </c>
      <c r="E53" s="138"/>
      <c r="F53" s="138"/>
      <c r="G53" s="138"/>
      <c r="H53" s="138"/>
      <c r="I53" s="138"/>
      <c r="J53" s="138"/>
      <c r="K53" s="138"/>
      <c r="M53" s="710" t="s">
        <v>89</v>
      </c>
      <c r="N53" s="711">
        <v>63.045357062499995</v>
      </c>
      <c r="O53" s="711">
        <v>72.347518112500026</v>
      </c>
    </row>
    <row r="54" spans="1:15" ht="10.5" customHeight="1">
      <c r="A54" s="591" t="s">
        <v>108</v>
      </c>
      <c r="B54" s="736">
        <v>3.5158252499999998</v>
      </c>
      <c r="C54" s="736">
        <v>3.5675417025000002</v>
      </c>
      <c r="D54" s="588">
        <f t="shared" si="0"/>
        <v>-1.4496383451876538E-2</v>
      </c>
      <c r="E54" s="138"/>
      <c r="F54" s="138"/>
      <c r="G54" s="138"/>
      <c r="H54" s="138"/>
      <c r="I54" s="138"/>
      <c r="J54" s="138"/>
      <c r="K54" s="138"/>
      <c r="M54" s="711" t="s">
        <v>94</v>
      </c>
      <c r="N54" s="711">
        <v>67.181308000000001</v>
      </c>
      <c r="O54" s="711">
        <v>61.934746249999996</v>
      </c>
    </row>
    <row r="55" spans="1:15" ht="10.5" customHeight="1">
      <c r="A55" s="594" t="s">
        <v>107</v>
      </c>
      <c r="B55" s="735">
        <v>3.4422667499999999</v>
      </c>
      <c r="C55" s="735">
        <v>3.6147354325000003</v>
      </c>
      <c r="D55" s="586">
        <f t="shared" si="0"/>
        <v>-4.7712671015792352E-2</v>
      </c>
      <c r="E55" s="138"/>
      <c r="F55" s="138"/>
      <c r="G55" s="138"/>
      <c r="H55" s="138"/>
      <c r="I55" s="138"/>
      <c r="J55" s="138"/>
      <c r="K55" s="138"/>
      <c r="M55" s="710" t="s">
        <v>90</v>
      </c>
      <c r="N55" s="711">
        <v>71.728401999999988</v>
      </c>
      <c r="O55" s="711">
        <v>61.397826499999994</v>
      </c>
    </row>
    <row r="56" spans="1:15" ht="10.5" customHeight="1">
      <c r="A56" s="591" t="s">
        <v>229</v>
      </c>
      <c r="B56" s="736">
        <v>2.7671006849999999</v>
      </c>
      <c r="C56" s="736">
        <v>0</v>
      </c>
      <c r="D56" s="588" t="str">
        <f t="shared" si="0"/>
        <v/>
      </c>
      <c r="E56" s="138"/>
      <c r="F56" s="138"/>
      <c r="G56" s="138"/>
      <c r="H56" s="138"/>
      <c r="I56" s="138"/>
      <c r="J56" s="138"/>
      <c r="K56" s="138"/>
      <c r="M56" s="710" t="s">
        <v>96</v>
      </c>
      <c r="N56" s="711">
        <v>83.133008250000017</v>
      </c>
      <c r="O56" s="711">
        <v>89.310361749999998</v>
      </c>
    </row>
    <row r="57" spans="1:15" ht="10.5" customHeight="1">
      <c r="A57" s="592" t="s">
        <v>112</v>
      </c>
      <c r="B57" s="735">
        <v>2.5579999999999998</v>
      </c>
      <c r="C57" s="735">
        <v>2.4704000000000002</v>
      </c>
      <c r="D57" s="586">
        <f t="shared" si="0"/>
        <v>3.5459844559585285E-2</v>
      </c>
      <c r="E57" s="138"/>
      <c r="F57" s="138"/>
      <c r="G57" s="138"/>
      <c r="H57" s="138"/>
      <c r="I57" s="138"/>
      <c r="J57" s="138"/>
      <c r="K57" s="138"/>
      <c r="M57" s="711" t="s">
        <v>234</v>
      </c>
      <c r="N57" s="711">
        <v>104.48852179499998</v>
      </c>
      <c r="O57" s="711">
        <v>92.641226000000003</v>
      </c>
    </row>
    <row r="58" spans="1:15" ht="10.5" customHeight="1">
      <c r="A58" s="591" t="s">
        <v>116</v>
      </c>
      <c r="B58" s="736">
        <v>2.1957373750000002</v>
      </c>
      <c r="C58" s="736">
        <v>4.8327452150000001</v>
      </c>
      <c r="D58" s="588">
        <f t="shared" si="0"/>
        <v>-0.54565422398333485</v>
      </c>
      <c r="E58" s="138"/>
      <c r="F58" s="138"/>
      <c r="G58" s="138"/>
      <c r="H58" s="138"/>
      <c r="I58" s="138"/>
      <c r="J58" s="138"/>
      <c r="K58" s="138"/>
      <c r="M58" s="710" t="s">
        <v>88</v>
      </c>
      <c r="N58" s="711">
        <v>134.3878920375</v>
      </c>
      <c r="O58" s="711">
        <v>160.5206073075</v>
      </c>
    </row>
    <row r="59" spans="1:15" ht="10.5" customHeight="1">
      <c r="A59" s="592" t="s">
        <v>111</v>
      </c>
      <c r="B59" s="737">
        <v>1.79883755</v>
      </c>
      <c r="C59" s="737">
        <v>1.3968615999999998</v>
      </c>
      <c r="D59" s="595">
        <f t="shared" si="0"/>
        <v>0.28777077843646093</v>
      </c>
      <c r="E59" s="138"/>
      <c r="F59" s="138"/>
      <c r="G59" s="138"/>
      <c r="H59" s="138"/>
      <c r="I59" s="138"/>
      <c r="J59" s="138"/>
      <c r="K59" s="138"/>
      <c r="M59" s="710" t="s">
        <v>237</v>
      </c>
      <c r="N59" s="711">
        <v>166.64082796000002</v>
      </c>
      <c r="O59" s="711">
        <v>0.73738550000000003</v>
      </c>
    </row>
    <row r="60" spans="1:15" ht="10.5" customHeight="1">
      <c r="A60" s="596" t="s">
        <v>236</v>
      </c>
      <c r="B60" s="736">
        <v>1.4867419925000001</v>
      </c>
      <c r="C60" s="736">
        <v>4.2955957500000003E-2</v>
      </c>
      <c r="D60" s="588">
        <f t="shared" si="0"/>
        <v>33.610845131318513</v>
      </c>
      <c r="E60" s="138"/>
      <c r="F60" s="138"/>
      <c r="G60" s="138"/>
      <c r="H60" s="138"/>
      <c r="I60" s="138"/>
      <c r="J60" s="138"/>
      <c r="K60" s="138"/>
      <c r="M60" s="710" t="s">
        <v>98</v>
      </c>
      <c r="N60" s="711">
        <v>167.19300050000001</v>
      </c>
      <c r="O60" s="711">
        <v>203.61788077749998</v>
      </c>
    </row>
    <row r="61" spans="1:15" ht="10.5" customHeight="1">
      <c r="A61" s="592" t="s">
        <v>113</v>
      </c>
      <c r="B61" s="737">
        <v>1.4547262500000002</v>
      </c>
      <c r="C61" s="737">
        <v>1.0183355000000001</v>
      </c>
      <c r="D61" s="595">
        <f t="shared" si="0"/>
        <v>0.42853337627923227</v>
      </c>
      <c r="E61" s="138"/>
      <c r="F61" s="138"/>
      <c r="G61" s="138"/>
      <c r="H61" s="138"/>
      <c r="I61" s="138"/>
      <c r="J61" s="138"/>
      <c r="K61" s="138"/>
      <c r="M61" s="710" t="s">
        <v>232</v>
      </c>
      <c r="N61" s="711">
        <v>362.04767728750005</v>
      </c>
      <c r="O61" s="711">
        <v>386.13993942000002</v>
      </c>
    </row>
    <row r="62" spans="1:15" ht="10.5" customHeight="1">
      <c r="A62" s="596" t="s">
        <v>516</v>
      </c>
      <c r="B62" s="736">
        <v>1.1236381025</v>
      </c>
      <c r="C62" s="736">
        <v>1.1714932549999999</v>
      </c>
      <c r="D62" s="588">
        <f t="shared" si="0"/>
        <v>-4.0849703825226014E-2</v>
      </c>
      <c r="E62" s="138"/>
      <c r="F62" s="138"/>
      <c r="G62" s="138"/>
      <c r="H62" s="138"/>
      <c r="I62" s="138"/>
      <c r="J62" s="138"/>
      <c r="K62" s="138"/>
      <c r="M62" s="710" t="s">
        <v>87</v>
      </c>
      <c r="N62" s="711">
        <v>495.55853544000001</v>
      </c>
      <c r="O62" s="711">
        <v>622.6185468000001</v>
      </c>
    </row>
    <row r="63" spans="1:15" ht="10.5" customHeight="1">
      <c r="A63" s="592" t="s">
        <v>114</v>
      </c>
      <c r="B63" s="737">
        <v>0.62787380749999999</v>
      </c>
      <c r="C63" s="737">
        <v>0.34142812750000001</v>
      </c>
      <c r="D63" s="595">
        <f t="shared" si="0"/>
        <v>0.83896333350567298</v>
      </c>
      <c r="E63" s="138"/>
      <c r="F63" s="138"/>
      <c r="G63" s="138"/>
      <c r="H63" s="138"/>
      <c r="I63" s="138"/>
      <c r="J63" s="138"/>
      <c r="K63" s="138"/>
      <c r="M63" s="710" t="s">
        <v>86</v>
      </c>
      <c r="N63" s="711">
        <v>733.79536225000015</v>
      </c>
      <c r="O63" s="711">
        <v>629.58779824999999</v>
      </c>
    </row>
    <row r="64" spans="1:15" ht="10.5" customHeight="1">
      <c r="A64" s="596" t="s">
        <v>446</v>
      </c>
      <c r="B64" s="736">
        <v>0.34193541</v>
      </c>
      <c r="C64" s="736">
        <v>3.9139159999999999E-2</v>
      </c>
      <c r="D64" s="588">
        <f t="shared" si="0"/>
        <v>7.7364013433093604</v>
      </c>
      <c r="E64" s="138"/>
      <c r="F64" s="138"/>
      <c r="G64" s="138"/>
      <c r="H64" s="138"/>
      <c r="I64" s="138"/>
      <c r="J64" s="138"/>
      <c r="K64" s="138"/>
      <c r="M64" s="710" t="s">
        <v>85</v>
      </c>
      <c r="N64" s="711">
        <v>799.14524528499999</v>
      </c>
      <c r="O64" s="711">
        <v>723.53303170250001</v>
      </c>
    </row>
    <row r="65" spans="1:15" ht="10.5" customHeight="1">
      <c r="A65" s="592" t="s">
        <v>517</v>
      </c>
      <c r="B65" s="737">
        <v>0.20089525</v>
      </c>
      <c r="C65" s="737">
        <v>0.25421700000000003</v>
      </c>
      <c r="D65" s="595">
        <f>IF(C65=0,"",B65/C65-1)</f>
        <v>-0.2097489546332465</v>
      </c>
      <c r="E65" s="138"/>
      <c r="F65" s="138"/>
      <c r="G65" s="138"/>
      <c r="H65" s="138"/>
      <c r="I65" s="138"/>
      <c r="J65" s="138"/>
      <c r="K65" s="138"/>
      <c r="M65" s="710" t="s">
        <v>390</v>
      </c>
      <c r="N65" s="711">
        <v>956.11985581999988</v>
      </c>
      <c r="O65" s="711">
        <v>901.88333675000013</v>
      </c>
    </row>
    <row r="66" spans="1:15" ht="10.5" customHeight="1">
      <c r="A66" s="596" t="s">
        <v>406</v>
      </c>
      <c r="B66" s="736">
        <v>2.6413177499999999E-2</v>
      </c>
      <c r="C66" s="736">
        <v>5.080751985</v>
      </c>
      <c r="D66" s="588">
        <f>IF(C66=0,"",B66/C66-1)</f>
        <v>-0.99480132516249953</v>
      </c>
      <c r="E66" s="138"/>
      <c r="F66" s="138"/>
      <c r="G66" s="138"/>
      <c r="H66" s="138"/>
      <c r="I66" s="138"/>
      <c r="J66" s="138"/>
      <c r="K66" s="138"/>
      <c r="M66" s="710"/>
      <c r="N66" s="711"/>
      <c r="O66" s="711"/>
    </row>
    <row r="67" spans="1:15" ht="10.5" customHeight="1">
      <c r="A67" s="597" t="s">
        <v>41</v>
      </c>
      <c r="B67" s="738">
        <f>+SUM(B5:B66)</f>
        <v>4805.6177883399996</v>
      </c>
      <c r="C67" s="738">
        <f>+SUM(C5:C66)</f>
        <v>4697.045114184999</v>
      </c>
      <c r="D67" s="598">
        <f>IF(C67=0,"",B67/C67-1)</f>
        <v>2.3115101412825023E-2</v>
      </c>
      <c r="E67" s="138"/>
      <c r="F67" s="138"/>
      <c r="G67" s="138"/>
      <c r="H67" s="138"/>
      <c r="I67" s="138"/>
      <c r="J67" s="138"/>
      <c r="K67" s="138"/>
    </row>
    <row r="68" spans="1:15" ht="10.5" customHeight="1">
      <c r="E68" s="138"/>
      <c r="F68" s="138"/>
      <c r="G68" s="138"/>
      <c r="H68" s="138"/>
      <c r="I68" s="138"/>
      <c r="J68" s="138"/>
      <c r="K68" s="138"/>
      <c r="M68" s="710"/>
      <c r="N68" s="711"/>
      <c r="O68" s="711"/>
    </row>
    <row r="69" spans="1:15" ht="40.5" customHeight="1">
      <c r="A69" s="879" t="str">
        <f>"Cuadro N° 6: Participación de las empresas generadoras del COES en la producción de energía eléctrica (GWh) en "&amp;'1. Resumen'!Q4</f>
        <v>Cuadro N° 6: Participación de las empresas generadoras del COES en la producción de energía eléctrica (GWh) en julio</v>
      </c>
      <c r="B69" s="879"/>
      <c r="C69" s="879"/>
      <c r="D69" s="410"/>
      <c r="E69" s="878" t="str">
        <f>"Gráfico N° 10: Comparación de producción energética (GWh) de las empresas generadoras del COES en "&amp;'1. Resumen'!Q4</f>
        <v>Gráfico N° 10: Comparación de producción energética (GWh) de las empresas generadoras del COES en julio</v>
      </c>
      <c r="F69" s="878"/>
      <c r="G69" s="878"/>
      <c r="H69" s="878"/>
      <c r="I69" s="878"/>
      <c r="J69" s="878"/>
      <c r="K69" s="878"/>
    </row>
    <row r="70" spans="1:15">
      <c r="A70" s="872"/>
      <c r="B70" s="872"/>
      <c r="C70" s="872"/>
      <c r="D70" s="872"/>
      <c r="E70" s="872"/>
      <c r="F70" s="872"/>
      <c r="G70" s="872"/>
      <c r="H70" s="872"/>
      <c r="I70" s="872"/>
      <c r="J70" s="872"/>
      <c r="K70" s="872"/>
    </row>
    <row r="71" spans="1:15">
      <c r="A71" s="873"/>
      <c r="B71" s="873"/>
      <c r="C71" s="873"/>
      <c r="D71" s="873"/>
      <c r="E71" s="873"/>
      <c r="F71" s="873"/>
      <c r="G71" s="873"/>
      <c r="H71" s="873"/>
      <c r="I71" s="873"/>
      <c r="J71" s="873"/>
      <c r="K71" s="873"/>
    </row>
    <row r="72" spans="1:15">
      <c r="A72" s="872"/>
      <c r="B72" s="872"/>
      <c r="C72" s="872"/>
      <c r="D72" s="872"/>
      <c r="E72" s="872"/>
      <c r="F72" s="872"/>
      <c r="G72" s="872"/>
      <c r="H72" s="872"/>
      <c r="I72" s="872"/>
      <c r="J72" s="872"/>
      <c r="K72" s="872"/>
    </row>
    <row r="73" spans="1:15">
      <c r="A73" s="873"/>
      <c r="B73" s="873"/>
      <c r="C73" s="873"/>
      <c r="D73" s="873"/>
      <c r="E73" s="873"/>
      <c r="F73" s="873"/>
      <c r="G73" s="873"/>
      <c r="H73" s="873"/>
      <c r="I73" s="873"/>
      <c r="J73" s="873"/>
      <c r="K73" s="873"/>
    </row>
  </sheetData>
  <autoFilter ref="M3:O66" xr:uid="{00000000-0001-0000-0800-000000000000}"/>
  <mergeCells count="10">
    <mergeCell ref="A70:K70"/>
    <mergeCell ref="A71:K71"/>
    <mergeCell ref="A72:K72"/>
    <mergeCell ref="A73:K73"/>
    <mergeCell ref="A1:J1"/>
    <mergeCell ref="A3:A4"/>
    <mergeCell ref="B3:D3"/>
    <mergeCell ref="G3:J3"/>
    <mergeCell ref="E69:K69"/>
    <mergeCell ref="A69:C6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julio 2023
INFSGI-MES-07-2023
14/08/2023
Versión: 01</oddHeader>
    <oddFooter>&amp;LCOES, 2023&amp;RDirección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2.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21</vt:i4>
      </vt:variant>
    </vt:vector>
  </HeadingPairs>
  <TitlesOfParts>
    <vt:vector size="51"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2023-07-31T19:15:36Z</cp:lastPrinted>
  <dcterms:created xsi:type="dcterms:W3CDTF">2018-02-13T14:18:17Z</dcterms:created>
  <dcterms:modified xsi:type="dcterms:W3CDTF">2023-08-13T20:13:57Z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