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5. MAYO\"/>
    </mc:Choice>
  </mc:AlternateContent>
  <xr:revisionPtr revIDLastSave="0" documentId="13_ncr:1_{EA38EAAF-1E2F-47BE-98C1-43F7FA96856A}"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ANEXOI-3'!$A$1:$G$50</definedName>
    <definedName name="_xlnm.Print_Area" localSheetId="22">'21. ANEXOII-1'!$A$1:$F$80</definedName>
    <definedName name="_xlnm.Print_Area" localSheetId="24">'23. ANEXOII-3'!$A$1:$F$66</definedName>
    <definedName name="_xlnm.Print_Area" localSheetId="26">'25.ANEXO III -1'!$A$1:$F$14</definedName>
    <definedName name="_xlnm.Print_Area" localSheetId="27">'26.ANEXO III-2'!$A$1:$F$14</definedName>
    <definedName name="_xlnm.Print_Area" localSheetId="28">'27.ANEXO III-3'!$A$1:$F$13</definedName>
    <definedName name="_xlnm.Print_Area" localSheetId="29">'28.ANEXO III-4'!$A$1:$F$6</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21" l="1"/>
  <c r="G13" i="21"/>
  <c r="H13" i="21"/>
  <c r="H14" i="21"/>
  <c r="G15" i="21"/>
  <c r="H15" i="21"/>
  <c r="G16" i="21"/>
  <c r="H19" i="21"/>
  <c r="D20" i="21"/>
  <c r="E20" i="21"/>
  <c r="F20" i="21"/>
  <c r="F79" i="36" l="1"/>
  <c r="C2" i="23" l="1"/>
  <c r="D22" i="6" l="1"/>
  <c r="I15" i="6" l="1"/>
  <c r="H15" i="6"/>
  <c r="C9" i="22" l="1"/>
  <c r="D9" i="22"/>
  <c r="E9" i="22"/>
  <c r="F9" i="22"/>
  <c r="G9" i="22"/>
  <c r="H9" i="22"/>
  <c r="B9" i="22"/>
  <c r="J9" i="22" l="1"/>
  <c r="I8" i="22"/>
  <c r="I8" i="6" l="1"/>
  <c r="H8" i="6"/>
  <c r="C32" i="16" l="1"/>
  <c r="F31" i="16" l="1"/>
  <c r="C68" i="11" l="1"/>
  <c r="B68" i="11"/>
  <c r="B26" i="6" l="1"/>
  <c r="G42" i="38" l="1"/>
  <c r="F42" i="38"/>
  <c r="C70" i="13" l="1"/>
  <c r="B70" i="13"/>
  <c r="D69" i="13"/>
  <c r="D68" i="13"/>
  <c r="D67" i="13"/>
  <c r="D66" i="13"/>
  <c r="F18" i="16" l="1"/>
  <c r="G41" i="38" l="1"/>
  <c r="F72" i="13" l="1"/>
  <c r="A72" i="13"/>
  <c r="A57" i="7"/>
  <c r="J12" i="7" l="1"/>
  <c r="F41" i="38" l="1"/>
  <c r="J14"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E25" i="6" l="1"/>
  <c r="D25"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8" i="12" l="1"/>
  <c r="F73" i="45" l="1"/>
  <c r="F72" i="45"/>
  <c r="F71" i="45"/>
  <c r="F69" i="45"/>
  <c r="F68" i="45"/>
  <c r="D20" i="6" l="1"/>
  <c r="F77" i="36" l="1"/>
  <c r="F76" i="36"/>
  <c r="F75"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70" i="45"/>
  <c r="I7" i="22" l="1"/>
  <c r="I9" i="22" s="1"/>
  <c r="B16" i="7" l="1"/>
  <c r="C16" i="7"/>
  <c r="E16" i="7"/>
  <c r="E5" i="36" l="1"/>
  <c r="E4" i="36"/>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3" i="8"/>
  <c r="N14" i="18" l="1"/>
  <c r="J11" i="9" l="1"/>
  <c r="H11" i="9"/>
  <c r="G11" i="9"/>
  <c r="D6" i="16" l="1"/>
  <c r="C28" i="14" l="1"/>
  <c r="A34" i="22" l="1"/>
  <c r="F6" i="36" l="1"/>
  <c r="A70" i="11" l="1"/>
  <c r="F21" i="8" l="1"/>
  <c r="E12" i="9"/>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54" i="21" l="1"/>
  <c r="A63" i="9" l="1"/>
  <c r="A35" i="9"/>
  <c r="A63" i="8"/>
  <c r="B49" i="4" l="1"/>
  <c r="F2" i="38" l="1"/>
  <c r="N29" i="18" l="1"/>
  <c r="N28" i="18"/>
  <c r="N27" i="18"/>
  <c r="N26" i="18"/>
  <c r="N25" i="18"/>
  <c r="N24" i="18"/>
  <c r="N23" i="18"/>
  <c r="N20" i="18"/>
  <c r="N19" i="18"/>
  <c r="N18" i="18"/>
  <c r="N17" i="18"/>
  <c r="N16" i="18"/>
  <c r="N15" i="18"/>
  <c r="N12" i="18"/>
  <c r="N11" i="18"/>
  <c r="N10" i="18"/>
  <c r="N9" i="18"/>
  <c r="H47" i="4" l="1"/>
  <c r="A49" i="22" l="1"/>
  <c r="B58" i="18"/>
  <c r="B40" i="18"/>
  <c r="B21" i="18"/>
  <c r="B18" i="12" l="1"/>
  <c r="B20" i="12" s="1"/>
  <c r="C18" i="12"/>
  <c r="D18" i="12"/>
  <c r="D20" i="12" s="1"/>
  <c r="E18" i="12"/>
  <c r="E20" i="12" s="1"/>
  <c r="G18" i="12"/>
  <c r="G20" i="12" s="1"/>
  <c r="H18" i="12"/>
  <c r="H20" i="12" s="1"/>
  <c r="J20" i="12"/>
  <c r="F22" i="6" l="1"/>
  <c r="F24" i="6"/>
  <c r="F11" i="14" l="1"/>
  <c r="F23" i="6" l="1"/>
  <c r="F21" i="6"/>
  <c r="E20" i="6" l="1"/>
  <c r="E70" i="11" l="1"/>
  <c r="C45" i="10"/>
  <c r="D3" i="36" l="1"/>
  <c r="C3" i="36"/>
  <c r="F2" i="37"/>
  <c r="F3" i="23"/>
  <c r="C1" i="37"/>
  <c r="C1" i="38" s="1"/>
  <c r="E13" i="22"/>
  <c r="A13" i="22"/>
  <c r="A10" i="22"/>
  <c r="A21" i="21"/>
  <c r="F6" i="21"/>
  <c r="E6" i="21"/>
  <c r="D6" i="21"/>
  <c r="B47" i="18"/>
  <c r="B28" i="18"/>
  <c r="B10" i="18"/>
  <c r="E6" i="16"/>
  <c r="B3" i="13"/>
  <c r="B4" i="11"/>
  <c r="C4" i="11" s="1"/>
  <c r="B3" i="11"/>
  <c r="G6" i="7"/>
  <c r="G4" i="8" s="1"/>
  <c r="G4" i="9" s="1"/>
  <c r="D7" i="7"/>
  <c r="E7" i="7" s="1"/>
  <c r="A58"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5"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J18" i="8"/>
  <c r="I12" i="7"/>
  <c r="E5" i="8"/>
  <c r="I18" i="8" l="1"/>
  <c r="E5" i="9"/>
  <c r="I20" i="12"/>
  <c r="K20" i="12"/>
  <c r="F41" i="9"/>
  <c r="M40" i="9" s="1"/>
  <c r="F20" i="12"/>
  <c r="K18" i="8"/>
  <c r="J12" i="9"/>
  <c r="G12" i="9"/>
  <c r="K12" i="7"/>
  <c r="I11" i="9"/>
  <c r="H12" i="9"/>
  <c r="F11" i="9"/>
  <c r="K11" i="9"/>
  <c r="D68" i="11" l="1"/>
  <c r="D70" i="13"/>
</calcChain>
</file>

<file path=xl/sharedStrings.xml><?xml version="1.0" encoding="utf-8"?>
<sst xmlns="http://schemas.openxmlformats.org/spreadsheetml/2006/main" count="1665" uniqueCount="735">
  <si>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</si>
  <si>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</si>
  <si>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</si>
  <si>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</si>
  <si>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</si>
  <si>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</si>
  <si>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</si>
  <si>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</si>
  <si>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</si>
  <si>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</si>
  <si>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</si>
  <si>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</si>
  <si>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</si>
  <si>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</si>
  <si>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</si>
  <si>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</si>
  <si>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</si>
  <si>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</si>
  <si>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</si>
  <si>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</si>
  <si>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</si>
  <si>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</si>
  <si>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</si>
  <si>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</si>
  <si>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</si>
  <si>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</si>
  <si>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</si>
  <si>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</si>
  <si>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</si>
  <si>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</si>
  <si>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</si>
  <si>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</si>
  <si>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</si>
  <si>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</si>
  <si>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</si>
  <si>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</si>
  <si>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</si>
  <si>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</si>
  <si>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</si>
  <si>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</si>
  <si>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</si>
  <si>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</si>
  <si>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</si>
  <si>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</si>
  <si>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</si>
  <si>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</si>
  <si>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</si>
  <si>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</si>
  <si>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</si>
  <si>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</si>
  <si>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</si>
  <si>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</si>
  <si>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</si>
  <si>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</si>
  <si>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</si>
  <si>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</si>
  <si>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</si>
  <si>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</si>
  <si>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</si>
  <si>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</si>
  <si>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</si>
  <si>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</si>
  <si>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</si>
  <si>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</si>
  <si>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</si>
  <si>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</si>
  <si>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</si>
  <si>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</si>
  <si>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</si>
  <si>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</si>
  <si>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</si>
  <si>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</si>
  <si>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</si>
  <si>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</si>
  <si>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</si>
  <si>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</si>
  <si>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</si>
  <si>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</si>
  <si>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</si>
  <si>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</si>
  <si>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</si>
  <si>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</si>
  <si>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</si>
  <si>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</si>
  <si>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</si>
  <si>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</si>
  <si>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</si>
  <si>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</si>
  <si>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</si>
  <si>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</si>
  <si>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</si>
  <si>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</si>
  <si>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</si>
  <si>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</si>
  <si>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</si>
  <si>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</si>
  <si>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</si>
  <si>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</si>
  <si>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</si>
  <si>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</si>
  <si>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</si>
  <si>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</si>
  <si>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</si>
  <si>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</si>
  <si>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</si>
  <si>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</si>
  <si>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</si>
  <si>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</si>
  <si>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</si>
  <si>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</si>
  <si>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</si>
  <si>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</si>
  <si>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</si>
  <si>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</si>
  <si>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</si>
  <si>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</si>
  <si>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</si>
  <si>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</si>
  <si>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</si>
  <si>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</si>
  <si>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</si>
  <si>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</si>
  <si>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</si>
  <si>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</si>
  <si>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</si>
  <si>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</si>
  <si>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</si>
  <si>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</si>
  <si>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</si>
  <si>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</si>
  <si>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</si>
  <si>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</si>
  <si>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</si>
  <si>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</si>
  <si>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</si>
  <si>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</si>
  <si>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</si>
  <si>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</si>
  <si>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</si>
  <si>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</si>
  <si>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</si>
  <si>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</si>
  <si>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</si>
  <si>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</si>
  <si>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</si>
  <si>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</si>
  <si>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</si>
  <si>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</si>
  <si>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</si>
  <si>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</si>
  <si>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</si>
  <si>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</si>
  <si>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</si>
  <si>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</si>
  <si>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</si>
  <si>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</si>
  <si>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</si>
  <si>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</si>
  <si>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</si>
  <si>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</si>
  <si>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</si>
  <si>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</si>
  <si>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</si>
  <si>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</si>
  <si>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</si>
  <si>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</si>
  <si>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</si>
  <si>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</si>
  <si>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</si>
  <si>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</si>
  <si>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</si>
  <si>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</si>
  <si>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</si>
  <si>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</si>
  <si>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</si>
  <si>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</si>
  <si>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</si>
  <si>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</si>
  <si>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</si>
  <si>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</si>
  <si>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</si>
  <si>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</si>
  <si>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</si>
  <si>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</si>
  <si>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</si>
  <si>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</si>
  <si>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</si>
  <si>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</si>
  <si>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</si>
  <si>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</si>
  <si>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</si>
  <si>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</si>
  <si>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</si>
  <si>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</si>
  <si>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</si>
  <si>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</si>
  <si>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</si>
  <si>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</si>
  <si>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</si>
  <si>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</si>
  <si>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</si>
  <si>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</si>
  <si>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</si>
  <si>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</si>
  <si>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</si>
  <si>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</si>
  <si>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</si>
  <si>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</si>
  <si>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</si>
  <si>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</si>
  <si>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</si>
  <si>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</si>
  <si>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</si>
  <si>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</si>
  <si>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</si>
  <si>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</si>
  <si>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</si>
  <si>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</si>
  <si>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</si>
  <si>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</si>
  <si>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</si>
  <si>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</si>
  <si>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</si>
  <si>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</si>
  <si>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</si>
  <si>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</si>
  <si>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</si>
  <si>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</si>
  <si>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</si>
  <si>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</si>
  <si>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</si>
  <si>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</si>
  <si>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</si>
  <si>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</si>
  <si>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</si>
  <si>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</si>
  <si>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</si>
  <si>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</si>
  <si>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</si>
  <si>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</si>
  <si>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</si>
  <si>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</si>
  <si>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</si>
  <si>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</si>
  <si>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</si>
  <si>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</si>
  <si>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</si>
  <si>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</si>
  <si>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</si>
  <si>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</si>
  <si>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</si>
  <si>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</si>
  <si>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</si>
  <si>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</si>
  <si>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</si>
  <si>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</si>
  <si>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</si>
  <si>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</si>
  <si>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</si>
  <si>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</si>
  <si>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</si>
  <si>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</si>
  <si>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</si>
  <si>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</si>
  <si>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</si>
  <si>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</si>
  <si>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</si>
  <si>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</si>
  <si>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</si>
  <si>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</si>
  <si>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</si>
  <si>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</si>
  <si>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</si>
  <si>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</si>
  <si>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</si>
  <si>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</si>
  <si>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</si>
  <si>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</si>
  <si>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</si>
  <si>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</si>
  <si>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</si>
  <si>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</si>
  <si>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</si>
  <si>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</si>
  <si>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</si>
  <si>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</si>
  <si>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</si>
  <si>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</si>
  <si>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</si>
  <si>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</si>
  <si>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</si>
  <si>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</si>
  <si>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</si>
  <si>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</si>
  <si>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</si>
  <si>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</si>
  <si>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</si>
  <si>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</si>
  <si>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</si>
  <si>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</si>
  <si>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</si>
  <si>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</si>
  <si>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</si>
  <si>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</si>
  <si>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</si>
  <si>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</si>
  <si>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</si>
  <si>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</si>
  <si>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</si>
  <si>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</si>
  <si>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</si>
  <si>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</si>
  <si>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</si>
  <si>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</si>
  <si>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</si>
  <si>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</si>
  <si>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</si>
  <si>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</si>
  <si>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</si>
  <si>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</si>
  <si>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</si>
  <si>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</si>
  <si>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</si>
  <si>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</si>
  <si>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</si>
  <si>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</si>
  <si>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</si>
  <si>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</si>
  <si>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</si>
  <si>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</si>
  <si>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</si>
  <si>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</si>
  <si>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</si>
  <si>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</si>
  <si>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</si>
  <si>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</si>
  <si>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</si>
  <si>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</si>
  <si>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</si>
  <si>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</si>
  <si>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</si>
  <si>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</si>
  <si>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</si>
  <si>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</si>
  <si>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</si>
  <si>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</si>
  <si>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</si>
  <si>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</si>
  <si>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</si>
  <si>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</si>
  <si>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</si>
  <si>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</si>
  <si>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</si>
  <si>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</si>
  <si>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</si>
  <si>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</si>
  <si>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</si>
  <si>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</si>
  <si>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</si>
  <si>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</si>
  <si>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</si>
  <si>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</si>
  <si>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</si>
  <si>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</si>
  <si>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</si>
  <si>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</si>
  <si>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</si>
  <si>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</si>
  <si>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</si>
  <si>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</si>
  <si>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</si>
  <si>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</si>
  <si>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</si>
  <si>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</si>
  <si>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</si>
  <si>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</si>
  <si>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</si>
  <si>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</si>
  <si>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</si>
  <si>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</si>
  <si>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</si>
  <si>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</si>
  <si>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</si>
  <si>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</si>
  <si>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</si>
  <si>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</si>
  <si>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</si>
  <si>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</si>
  <si>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</si>
  <si>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</si>
  <si>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</si>
  <si>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</si>
  <si>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</si>
  <si>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</si>
  <si>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</si>
  <si>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</si>
  <si>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</si>
  <si>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</si>
  <si>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</si>
  <si>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</si>
  <si>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</si>
  <si>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</si>
  <si>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</si>
  <si>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</si>
  <si>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</si>
  <si>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</si>
  <si>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</si>
  <si>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</si>
  <si>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</si>
  <si>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</si>
  <si>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</si>
  <si>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</si>
  <si>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</si>
  <si>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</si>
  <si>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</si>
  <si>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</si>
  <si>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</si>
  <si>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</si>
  <si>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</si>
  <si>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</si>
  <si>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</si>
  <si>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</si>
  <si>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</si>
  <si>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</si>
  <si>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</si>
  <si>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</si>
  <si>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</si>
  <si>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</si>
  <si>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</si>
  <si>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</si>
  <si>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</si>
  <si>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</si>
  <si>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</si>
  <si>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</si>
  <si>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</si>
  <si>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</si>
  <si>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</si>
  <si>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</si>
  <si>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</si>
  <si>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</si>
  <si>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</si>
  <si>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</si>
  <si>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</si>
  <si>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</si>
  <si>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</si>
  <si>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</si>
  <si>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</si>
  <si>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</si>
  <si>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</si>
  <si>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</si>
  <si>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</si>
  <si>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</si>
  <si>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</si>
  <si>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</si>
  <si>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</si>
  <si>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</si>
  <si>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</si>
  <si>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</si>
  <si>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</si>
  <si>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</si>
  <si>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</si>
  <si>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</si>
  <si>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</si>
  <si>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</si>
  <si>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</si>
  <si>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</si>
  <si>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</si>
  <si>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</si>
  <si>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</si>
  <si>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</si>
  <si>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</si>
  <si>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</si>
  <si>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</si>
  <si>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</si>
  <si>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</si>
  <si>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</si>
  <si>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</si>
  <si>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</si>
  <si>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</si>
  <si>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</si>
  <si>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</si>
  <si>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</si>
  <si>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</si>
  <si>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</si>
  <si>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</si>
  <si>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</si>
  <si>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</si>
  <si>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</si>
  <si>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</si>
  <si>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</si>
  <si>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</si>
  <si>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</si>
  <si>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</si>
  <si>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</si>
  <si>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</si>
  <si>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</si>
  <si>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</si>
  <si>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</si>
  <si>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</si>
  <si>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</si>
  <si>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</si>
  <si>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</si>
  <si>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</si>
  <si>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</si>
  <si>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</si>
  <si>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</si>
  <si>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</si>
  <si>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</si>
  <si>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</si>
  <si>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</si>
  <si>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</si>
  <si>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</si>
  <si>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</si>
  <si>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</si>
  <si>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</si>
  <si>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</si>
  <si>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</si>
  <si>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</si>
  <si>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</si>
  <si>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</si>
  <si>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</si>
  <si>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</si>
  <si>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</si>
  <si>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</si>
  <si>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</si>
  <si>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</si>
  <si>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</si>
  <si>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Var. (2022/2021)</t>
  </si>
  <si>
    <t>2. MODIFICACIÓN DE LA OFERTA DE GENERACIÓN ELÉCTRICA DEL SEIN EN EL 2022</t>
  </si>
  <si>
    <t>C.H. SANTA ROSA I</t>
  </si>
  <si>
    <t>C.H. SANTA ROSA II</t>
  </si>
  <si>
    <t>C.S. YARUCAYA</t>
  </si>
  <si>
    <t>C.H. LA VIRGEN</t>
  </si>
  <si>
    <t>STATKRAFT S.A</t>
  </si>
  <si>
    <t>20:45</t>
  </si>
  <si>
    <t>20:00</t>
  </si>
  <si>
    <t>INDEPENDENCIA</t>
  </si>
  <si>
    <t>LINEA DE TRANSMISION</t>
  </si>
  <si>
    <t>T-30  T3-261  T4-261</t>
  </si>
  <si>
    <t>Natural Tarma</t>
  </si>
  <si>
    <t>Descargado Yuracmayo</t>
  </si>
  <si>
    <t>TAMBORAQUE (RÍMAC)</t>
  </si>
  <si>
    <t>SHEQUE (SANTA EULALIA)</t>
  </si>
  <si>
    <t>Ingreso Toma Sheque (Santa Eulalia)</t>
  </si>
  <si>
    <t>Ingreso Toma Tamboraque (Rímac)</t>
  </si>
  <si>
    <t>NATURAL ARICOTA</t>
  </si>
  <si>
    <t>NATURAL VILCANOTA</t>
  </si>
  <si>
    <t>NATURAL SAN GABÁN</t>
  </si>
  <si>
    <t>15:45</t>
  </si>
  <si>
    <t>Diesel2/Residual500</t>
  </si>
  <si>
    <t>Var (%)
2023/2022</t>
  </si>
  <si>
    <t>NORTE</t>
  </si>
  <si>
    <t>L-2240</t>
  </si>
  <si>
    <t>CARHUAQUERO - CHICLAYO OESTE</t>
  </si>
  <si>
    <t>C.H. PATAPO</t>
  </si>
  <si>
    <t>C.E. PUNTA LOMITAS (1)</t>
  </si>
  <si>
    <t>M.C.H. TUPURI</t>
  </si>
  <si>
    <t>(1) Operación por pruebas de la C.E. Punta Lomitas propiedad de ENGIE.</t>
  </si>
  <si>
    <t xml:space="preserve">C.T. ILO 2  </t>
  </si>
  <si>
    <t>C.T. LAS FLORES</t>
  </si>
  <si>
    <t>2023 / 2022</t>
  </si>
  <si>
    <t>00:15</t>
  </si>
  <si>
    <t>RED DE ENERGIA DEL PERU S.A.</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</si>
  <si>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</si>
  <si>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</si>
  <si>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</si>
  <si>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</si>
  <si>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</si>
  <si>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</si>
  <si>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</si>
  <si>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</si>
  <si>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</si>
  <si>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</si>
  <si>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</si>
  <si>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</si>
  <si>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</si>
  <si>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</si>
  <si>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</si>
  <si>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</si>
  <si>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</si>
  <si>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</si>
  <si>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</si>
  <si>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</si>
  <si>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</si>
  <si>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</si>
  <si>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</si>
  <si>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</si>
  <si>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(2) Inicio de Operación comercial de la unidad TV de C.T. Oquendo, propiedad de SDF Energía, desde el 16/02/2023</t>
  </si>
  <si>
    <t>19:00</t>
  </si>
  <si>
    <t>L-1122</t>
  </si>
  <si>
    <t>TINGO MARÍA - AUCAYACU</t>
  </si>
  <si>
    <t>Var. (2023/2022)</t>
  </si>
  <si>
    <t xml:space="preserve">SINERSA </t>
  </si>
  <si>
    <t>L. POECHOS - SULLANA - LINEA L-6668</t>
  </si>
  <si>
    <t>Nota: La generación de energia de la TV de C.T. Oquendo producto del vapor de agua sumistrado por Sudamericana de Fibras S.A. es considerada en el recurso de Gas Natural de Camisea</t>
  </si>
  <si>
    <t>Fecha de Ingreso</t>
  </si>
  <si>
    <t>Fecha de Retiro</t>
  </si>
  <si>
    <t>TG1</t>
  </si>
  <si>
    <t>24.03.2023</t>
  </si>
  <si>
    <t>(3) Retiro de Operación comercial de la unidad TG1 de C.T. Oquendo, propiedad de SDF Energía, desde el 24/03/2023</t>
  </si>
  <si>
    <t>C.T. OQUENDO (2) (3)</t>
  </si>
  <si>
    <t>12:15</t>
  </si>
  <si>
    <t>L-2018</t>
  </si>
  <si>
    <t>SAN JUAN - LOS INDUSTRIALES</t>
  </si>
  <si>
    <t>L-2011</t>
  </si>
  <si>
    <t>SAN JUAN - SANTA ROSA N.</t>
  </si>
  <si>
    <t>L-2003  L-2004</t>
  </si>
  <si>
    <t>SANTA ROSA N. - CHAVARRÍA</t>
  </si>
  <si>
    <t>L-2010</t>
  </si>
  <si>
    <t>SANTA ROSA N. - LOS INDUSTRIALES</t>
  </si>
  <si>
    <t>(4) Operación por pruebas de la C.E. Punta Lomitas Expansión, propiedad de ENGIE.</t>
  </si>
  <si>
    <t>(5) Operación por pruebas de la C.S. Clemesi, propiedad de ENEL GREEN PERU</t>
  </si>
  <si>
    <t>C.E. PUNTA LOMITAS EXP. (4)</t>
  </si>
  <si>
    <t>C.S. CLEMESI  (5)</t>
  </si>
  <si>
    <t>C.E. PUNTA LOMITAS_EXP (4)</t>
  </si>
  <si>
    <t>18:45</t>
  </si>
  <si>
    <t>12:45</t>
  </si>
  <si>
    <t>19:15</t>
  </si>
  <si>
    <t>11:15</t>
  </si>
  <si>
    <t>L. TRUJILLO NORTE - MOTIL - LINEA L-1115</t>
  </si>
  <si>
    <t>ISA PERU</t>
  </si>
  <si>
    <t>L. CARHUAMAYO - HUARÓN - LINEA L-6514</t>
  </si>
  <si>
    <t>mayo</t>
  </si>
  <si>
    <t>El total de la producción de energía eléctrica de la empresas generadoras integrantes del COES en el mes de mayo 2023 fue de 4 894,22  GWh, lo que representa un incremento de 299,26 GWh (6,51%) en comparación con el año 2022.</t>
  </si>
  <si>
    <t>La producción de electricidad con centrales hidroeléctricas durante el mes de mayo 2023 fue de 2 437,81 GWh (6,84% menor al registrado durante mayo del año 2022).</t>
  </si>
  <si>
    <t>La producción de electricidad con centrales termoeléctricas durante el mes de mayo 2023 fue de 2 174,22 GWh, 24,66% mayor al registrado durante mayo del año 2022. La participación del gas natural de Camisea fue de 41,57%, mientras que las del gas que proviene de los yacimientos de Aguaytía y Malacas fue del 1,96%, la producción con diesel, residual, carbón, biogás y bagazo tuvieron una intervención del 0,43%, 0,04%, 0,00%, 0,12%, 0,30% respectivamente.</t>
  </si>
  <si>
    <t>La producción de energía eléctrica con centrales eólicas fue de 224,24 GWh y con centrales solares fue de 57,96 GWh, los cuales tuvieron una participación de 4,58% y 1,18% respectivamente.</t>
  </si>
  <si>
    <t>1.1. Producción de energía eléctrica en mayo de 2023 en comparación al mismo mes del año anterior</t>
  </si>
  <si>
    <t>L-6627  L-6628</t>
  </si>
  <si>
    <t>MARCONA - SAN NICOLÁS</t>
  </si>
  <si>
    <t>T62-161  T6-261</t>
  </si>
  <si>
    <t>MARCONA</t>
  </si>
  <si>
    <t>T5P</t>
  </si>
  <si>
    <t>CHILCA-CTM</t>
  </si>
  <si>
    <t>CHILCA - ASIA</t>
  </si>
  <si>
    <t>L-1010</t>
  </si>
  <si>
    <t>AZÁNGARO - SAN GABÁN II</t>
  </si>
  <si>
    <t>CENTRAL EOLICA</t>
  </si>
  <si>
    <t>ATLANTICA TRANSMISION SUR S.A.</t>
  </si>
  <si>
    <t>L. SAN JOSE - MONTALVO - LINEA L-5037</t>
  </si>
  <si>
    <t>Se produjo un recierre exitoso en la línea L-5037 (San José - Montalvo) de 500 kV por falla monofásica en la fase "S", debido a pérdida de aislamiento en la cadena de aisladores, según lo informado por ATLÁNTICA TRANSMISIÓN SUR, titular de la línea. Como consecuencia Minera Cerro Verde redujo su carga en 98 MW, Southern Perú en 19.8 MW, Anglo American Quellaveco en 5.8 MW y Marcobre en 13.5 MW. A las 22:39 h, se coordinó recuperar toda la carga interrumpida.</t>
  </si>
  <si>
    <t>Se produjo un recierre exitoso en la línea L-5037 (San José - Montalvo) de 500 kV por falla monofásica en la fase "S", debido a pérdida de aislamiento en la cadena de aisladores, según lo informado por ATLÁNTICA TRANSMISIÓN SUR, titular de la línea. Como consecuencia Minera Cerro Verde redujo su carga en 96.05 MW y Southern Perú redujo su carga en 16.2 MW. A las 23:41 h, se coordinó normalizar la carga afectada.</t>
  </si>
  <si>
    <t>SEAL</t>
  </si>
  <si>
    <t>L. MARCONA - BELLA UNIÓN - LINEA L-6672</t>
  </si>
  <si>
    <t>Desconectó la línea L-6672 (Marcona - Bella Unión) de 60 kV por falla en la fase "S" en el pórtico de la S.E.T. Jahuay de Shougesa, debido a desprendimiento del conductor en el pórtico de llegada, según lo informado por SEAL, titular de la línea. Como consecuencia se interrumpió el suministro de las SS.EE Bella Unión y Chala con un total de 13.9 MW. A las 22:34:46 h, se conectó la línea L-6672 y se inició la recuperación de la carga interrumpida.</t>
  </si>
  <si>
    <t>L. CHIMBOTE 1 - CHIMBOTE SUR - LINEA L-1111</t>
  </si>
  <si>
    <t>Desconectó la línea L-1111 (Chimbote 1 - Chimbote Sur) de 138 kV por falla bifásica entre las fase "S" y "T" a 9 km de la S.E. Chimbote 1, debido a causa se encuentra en investigación por Hidrandina, titular de la línea. Como consecuencia se interrumpió el suministro de las SS.EE. Chimbote Sur, Trapecio, Nepeña Casma y San Jacinto con una carga de 37.3 MW aproximadamente. Asimismo, el usuario Sider Perú reportó una reducción de 4 MW de carga. A las 14:53:13 h, la línea se puso en servicio y se coordinó restablecer los suministros interrumpidos.</t>
  </si>
  <si>
    <t>ENEL GREEN POWER PERU S.A.C</t>
  </si>
  <si>
    <t>C.E. CENTRAL EOLICA WAYRA I - CE CENTRAL</t>
  </si>
  <si>
    <t>Se produjo la desconexión de los circuitos N° 5 y 6 de la C.E. Wayra con un total de 30.58 MW por falla en terminales de dos celdas de media tensión por cortocircuito bifásico a tierra ENEL GREEN POWER, titular de la central. Los circuitos quedaron indisponibles para su inspección. Asimismo, el usuario libre Mina Justa reportó reducción de su carga en 3.3 MW. A las 07:42 h, se coordinó con Mina Justa recuperar su carga. Los circuitos N° 5 y 6 quedaron indisponibles. A las 19:05 h del 09.05.2023, se conectaron los circuitos.</t>
  </si>
  <si>
    <t>Desconectaron las líneas L-6520 (Paragsha I - Excelsior), L-6514/L-6515/L-6516/L-6517 (Carhuamayo - Excelsior) de 50 kV por falla debido a descargas atmosféricas, según lo informado por Statkraft, titular de las líneas. Como consecuencia se interrumpieron los suministros de las SS.EE. Carhuamayo, Shelby, Santander, Vista Alegre, San Juan y Excelsior con 10.85 MW aproximadamente. A las 18:25 h se conectaron las líneas y se procedió a restablecer los suministros interrumpidos.</t>
  </si>
  <si>
    <t>L. CHILCA CTM - POROMA - LINEA L-5032</t>
  </si>
  <si>
    <t>Se produjo recierre exitoso en el extremo de la S.E. Chilca de la línea L-5032 (Chilca - Poroma) de 500 kV por falla monofásica en la fase "S", debido a pérdida de aislamiento en la cadena de aisladores, según lo informado por Atlántica Transmisión Sur, titular de la línea. Como consecuenciael usuario libre Mina Justa redujo 1 MW. Así mismo el interruptor INT-5251 de la S.E. Chilca quedó en estado abierto. A las 19:43 h se coordinó recuperar la carga de el usuario libre Mina Justa. A las 19:43 h se declaró disponible el interruptor INT-5251 y se procedió con el cierre.</t>
  </si>
  <si>
    <t>Se produjo recierre exitoso en el extremo de la S.E. Chilca de la línea L-5032 (Chilca - Poroma) de 500 kV por falla monofásica en la fase "R", debido a pérdida de aislamiento en la cadena de aisladores, según lo informado por Atlántica Transmisión Sur, titular de la línea. Como consecuencia el usuario libre Mina Justa redujo su carga en 0.3 MW. Durante el evento, el interruptor INT-5251 de la S.E. Chilca quedó abierto. A las 20:53 h se declaró disponible el interruptor INT-5251 y se procedió con el cierre. A las 20:57 h se coordinó recuperar la carga de el usuario libre Mina Justa.</t>
  </si>
  <si>
    <t>Se produjo recierre exitoso en el extremo de la S.E. Chilca de la línea L-5032 (Chilca - Poroma) de 500 kV por falla monofásica en la fase "S", debido a pérdida de aislamiento en la cadena de aisladores, según lo informado por Atlántica Transmisión Sur, titular de la línea. Como consecuenciael usuario libre Mina Justa redujo su carga en 0.3 MW. Así mismo el interruptor INT-5251 en la S.E. Chilca quedó abierto. A las 21:03 h se coordinó recuperar la carga de el usuario libre Mina Justa. A las 21:04 h se declaró disponible el interruptor INT-5251 y se cerró.</t>
  </si>
  <si>
    <t>L. MARCONA - MINA - LINEA L-6629</t>
  </si>
  <si>
    <t>Se produjo la desconexión de la línea L-6629 (Marcona – Mina) de 60 kV por falla monofásica en la fase "S" debido a la alta humedad y contaminación en la zona, según lo informado por REP, titular de la línea. Como consecuencia se interrumpió el suministro de Minera Shougang en la S.E. Mina con un total de 16 MW. A las 05:37:29 h, se conectó la línea L-6629.</t>
  </si>
  <si>
    <t>L. POROMA - MARCONA - LINEA L-2293</t>
  </si>
  <si>
    <t>Se produjo recierre exitoso en la fase "S" de la línea L-2293 (Poroma – Marcona) de 220 kV por falla debido a pérdida de aislamiento en la cadena de aisladores, según lo informado por ATLÁNTICA TRANSMISIÓN SUR, titular de la línea. Como consecuencia, el usuario libre Marcobre disminuyó su carga en la S.E. Mina Justa un total de 17.6 MW. A las 05:57 h, se coordinó con Marcobre normalizar su carga interrumpida.</t>
  </si>
  <si>
    <t>L. CHIMBOTE 1 - HUALLANCA - LINEA L-1105</t>
  </si>
  <si>
    <t>Se produjo la desconexión de la línea L-1105 (Chimbote 1 - Huallanca) de 138 kV por falla bifásica entre las fases "R" y "S" a 11,3 km de la S.E. Chimbote 1 debido a quema de caña en la zona, según lo informado por ISA PERÚ, titular de la línea. Como consecuencia el usuario libre Sider Perú redujo su carga en 5 MW. A las 17:48 h, se coordinó con Sider Perú recuperar su carga reducida. A las 18:30:35 h se procedió a poner en servicio la línea.</t>
  </si>
  <si>
    <t>L. REPARTICION - MOLLENDO - LINEA L-1030</t>
  </si>
  <si>
    <t>Se produjo la desconexión de la línea L-1030 (Repartición - Mollendo) de 138 kV por falla monofásica en la fase "S" a 6.3 km de la S.E. Repartición debido al acercamiento de un brazo de grúa, según lo informado por Red de Energía del Perú, titular de la línea. Como consecuencia se interrumpió el suministro de las SS.EE. Mollendo, Agua Lima, Matarani, Mejia, La Curva, Corachacra y Chucarapi con un total de 8.92 MW. A las 12:25:42 h, se conectó la línea L-1030 y se coordinó normalizar el suministro interrumpido.</t>
  </si>
  <si>
    <t>L. CARHUAMAYO - YAUPI - LINEA L-1701</t>
  </si>
  <si>
    <t>Se produjo la desconexión de la línea L-1701 (Santa Isabel - Yaupi) de 138 kV por falla monofásica en la fase "R", debido al seccionamiento de conductor de la fase "R" que conecta el transformador de tensión y porta barra de 138 kV, según lo informado por STATKRAFT, titular de la línea. Como consecuencia desconectó la C.H. Yaupi con 106.64 MW y se interrumpió el suministro de las SS.EE. Oxapampa, Villa Rica, Puerto Bermúdez y Ciudad Constitución con 4.72 MW.</t>
  </si>
  <si>
    <t>Se produjo la desconexión de la línea L-1701 (Santa Isabel - Yaupi) de 138 kV por falla monofásica en la fase "R", debido al seccionamiento de conductor de la fase "R" que conecta el transformador de tensión y porta barra de 138 kV, según lo informado por STATKRAFT, titular de la línea. Como consecuencia desconectó la C.H. Yaupi con 10.51 MW y se interrumpió el suministro de las SS.EE. Oxapampa, Villa Rica, Puerto Bermudez y Ciudad Constitución con 3.95 MW. A las 02:51:39 h, se conectó la línea L-1701. A las 02:57:06 h, se conectó la línea L-1203 (Yaupi - Oxapampa) y se coordinó la normalización del suministro interrumpido.</t>
  </si>
  <si>
    <t>L. SANTUARIO - SOCABAYA - LINEA L-1021</t>
  </si>
  <si>
    <t xml:space="preserve">Se produjo la desconexión de las líneas L-1021 (Santuario - Socabaya) y L-1022 (Santuario - Jesus) de 138 kV por falla bifásica a tierra entre las fases "S" y "T" a 20.46 km de la S.E. Socabaya, debido a descargas atmosféricas, según lo informado por Red de Energía del Perú, titular de las líneas. Como consecuencia el usuario libre Minera Cerro Verde disminuyó su carga en 22.9 MW. A las 12:50 h, se coordinó recuperar el suministro reducido. A las 13:34:41 h y 13:38:17h, se conectaron las líneas L-1021 y L-1022, respectivamente. </t>
  </si>
  <si>
    <t>REDESUR</t>
  </si>
  <si>
    <t>L. CHILOTA-MOQUEGUA - LINEA L-2030</t>
  </si>
  <si>
    <t>Se produjo recierre exitoso de la línea L-2030 (Chilota - Moquegua) de 220 kV por falla monofásica en la fase "R" a 29.12 km de la S.E. Chilota, debido a descargas atmosféricas, según lo informado por REDESUR, titular de la línea. Como consecuencia, el usuario libre Anglo American Quellaveco redujo su carga en 6.5 MW.A las 14:47 h se conectó la línea. A las 14:50 h, se coordinó recuperar el suministro reducido.</t>
  </si>
  <si>
    <t xml:space="preserve">Se coordinó la desconexión de la línea L-1701 (Santa Isabel - Yaupi) de 138 kV por mantenimiento correctivo en la celda CL-1701 en la S.E. Yaupi, a solicitud de la empresa Statkraft, titular de la línea. Como consecuencia, se interrumpió el suministro de las SS.EE. Oxapampa, Villa Rica, Puerto Bermudez y Ciudad Constitución con 7 MW. A las 20:21 h, se declaró disponible la línea L-1701. </t>
  </si>
  <si>
    <t>Se produjo recierre en la línea L-5032 (Chilca CTM - Poroma) de 500 kV por falla monofásica en la fase "R" a 38.15 km de la S.E Poroma, debido a pérdida de aislamiento en la cadena de aisladores, según lo informado por ATLÁNTICA TRANSMISIÓN SUR, titular de la línea. Durante el evento, el interruptor INT-5251 de la S.E. Chilca quedó en estado abierto. Como consecuencia, el usuario libre Mina Justa redujo su carga en 13.15 MW y el usuario libre Minera Cerro Verde en 70 MW.A las 03:59 h se coordinó recuperar la carga del usuario libre Mina Justa. A las 03:59 h se declaró disponible el interruptor INT-5251 y se procedió con el cierre. A las 04:00 h se coordinó recuperar la carga del usuario libre Minera Cerro Verde.</t>
  </si>
  <si>
    <t>L. NEPEÑA - CASMA - LINEA L-1113</t>
  </si>
  <si>
    <t>Se produjo la desconexión de la línea L-1113 (Nepeña - Casma) de 138 kV por falla monofásica en la fase "R" originada por posible quema de caña en la zona, según lo informado por HIDRANDINA, titular del equipo. Como consecuencia se interrumpió el suministro de la S.E. Casma con un total de 6.99 MW. A las 10:13 h, se conectó la línea con lo cual se procedió a normalizar los suministros interrumpidos.</t>
  </si>
  <si>
    <t>Se produjo la desconexión la línea L-1115 (Trujillo Norte - Motil) de 138 kV por falla bifásica entre las fases "R" y "S" a 22.8 km de la S.E. Trujillo Norte, debido a contacto de DRON con el conductor de la línea, según lo informado por HIDRANDINA, titular de la línea. Como consecuencia se interrumpió el suministro de la S.E. Motil con un total de 2.7 MW. A las 08:25:39h, se conectó la línea y se procedió a normalizar el suministro interrumpido.</t>
  </si>
  <si>
    <t>L. POROMA - MARCONA - LINEA L-2292</t>
  </si>
  <si>
    <t>Desconectó la línea L-2292 (Poroma - Marcona) de 220 kV en la S.E. Marcona, por falla monofásica en la fase "S" a 6.5 km de la S.E Poroma, debido a pérdida de aislamiento en cadena de aisladores, según lo informado ATLÁNTICA TRANSMISIÓN SUR. La línea quedó energizada desde la S.E. Poroma al efectuarse un recierre monofásico. Como consecuencia, Mina Justa redujo carga en 19.92 MW aproximadamente. A las 03:10 h se le autoriza a Mina Justa poder recuperar la caga interrumpida. A las 03:15 h, se cerró la línea en la S.E. Marcona.</t>
  </si>
  <si>
    <t>Se produjo un recierre exitoso en la línea L-2030 (Moquegua - Chilota) de 220 kV por falla monofásica en la fase "T" a 88.63 km de la S.E Chilota, debido a condiciones atmosféricas adversas, según lo informado por REDESUR, titular de la línea. Como consecuencia de la perturbación, los Usuarios Libres SPCC, Anglo American Quellaveco y Minera Cerro Verde redujeron sus cargas en 21.4 MW, 110 MW y 50 MW, respectivamente. A las 06:41 h se autorizó recuperar la carga reducida de los usuarios.</t>
  </si>
  <si>
    <t>Se produjo la desconexión de la línea L-6668 (Poechos - Sullana) de 60 kV por falla monofásica en la fase "R" a 20.1 km de la S.E. Sullana, cuya causa se encuentra en investigación, según lo informado por SINERSA, titular del equipo. Como consecuencia se interrumpió el suministro de las SS.EE. Poechos y desconectaron las CC.HH. Poechos I y II con 16 MW y 6.9 MW respectivamente, Las Lomas y Quiroz con un total de 10.88 MW. A las 17:08:20 h, se conectó la línea y se normalizó el suministro interrumpido. A las 17:16:42 h y 17:18:29 h, conectaron las unidades G1 y G2 de la C.H. Poechos I, a las 17:31:00 h y 17:54:08 h, conectaron las unidades G2 y G1 de la C.H. Poechos II.</t>
  </si>
  <si>
    <t>L. MALPASO - JUNÍN -CARHUAMAYO - LINEA L-6501</t>
  </si>
  <si>
    <t>Se produjo la desconexión de la línea L-6501B (Carhuamayo - Junín) de 50 kV por falla monofásica a tierra en la fase "S" a 14.3 km de la S.E. Carhuamayo, debido al contacto de aves con el conductor de la fase "S", según lo informado por STATKARFT, titular de la línea. Como consecuencia, se interrumpió el suministro de la S.E. Junín con un total de 0.33 MW de Electro Centro.</t>
  </si>
  <si>
    <t>ELECTRO SUR ESTE</t>
  </si>
  <si>
    <t>L. MAZUCO - PTO MALDONADO - LINEA L-1015</t>
  </si>
  <si>
    <t>Desconectó la línea L-1015 (Mazuko - Puerto Maldonado) de 138 kV por falla monofásica en la fase "S" a 46.9 km de la S.E. Mazuko, debido a causa que se encuentra en investigación, según lo informado por Electro Sur Este, titular de la línea. Como consecuencia se interrumpió 15.23 MW en la S.E. Puerto Maldonado y desconectó la C.H. Angel III con 9.4 MW. A las 11:10 h se energizó la barra de 10 kV de la S.E. Puerto Maldonado a traves de la C.T.R.F. Puerto Maldonado para su operación en sistema asilado. A las 12:06 h se energizó la línea L-1015 desde la S.E. Mazuko y a las 12:15 h se conectó en la S.E. Puerto Maldonado, sincronizando el sistema aislado con el SEIN. A las 11:21 h la C.H Ángel III sincronizó con el SEIN.</t>
  </si>
  <si>
    <t>L. PARAMONGA N. - 09 DE OCTUBRE - LINEA L-6655</t>
  </si>
  <si>
    <t>Desconectó la línea L-6655 (Paramonga Nueva-9 de Octubre) de 60 kV por falla monofásica en la fase "T" a 77.9 km de la S.E. Paramonga Nueva, cuya causa se encuentra en investigación, según lo informado por Hidrandina, titular de la línea. Como consecuencia, se interrumpió el suministro de las subestaciones Huarmey y Pto. Antamina con un total de 4.79 MW. A las 06:39:37 h la línea L-6655 entró en servicio y se procedió a recuperar la carga interrumpida.</t>
  </si>
  <si>
    <t>L. CHIMBOTE SUR - NEPEÑA - LINEA L-1112</t>
  </si>
  <si>
    <t xml:space="preserve">Desconectó la línea L-1112 (Chimbote Sur - Nepeña) en 138 kV por falla monofásica en la fase "S" a 11.3 km de la S.E. Chimbote Sur, debido a contacto de cable de fibra óptica con la línea de transmisión, según lo informado por HIDRANDINA, propietario de la línea. Como consecuencia se interrumpió el suministro de las SSEE Nepeña, Casma y San Jacinto con un total de 10.8 MW, asimismo, la C.T. San Jacinto quedó operando en sistema aislado. A las 09:04:15 h se conectó la línea L-1112 y se procede a recuperar el suministro interrumpido. </t>
  </si>
  <si>
    <t>Desconectó la línea L-1113 (Nepeña - Casma) de 138 kV por falla monofásica a tierra en la fase "R" cuya causa se encuentra en investigación, según lo informado por HIDRANDINA, titular del equipo. Como consecuencia, se interrumpió el suministro de la SE. Casma con una carga de 6.92 MW. A las 10:37:50 h, se conectó la línea L-1113 y se procedió a recuperar los suministros interrumpidos.</t>
  </si>
  <si>
    <t>Se produjo un recierre monofásico en la línea L-5037 (San José - Montalvo) de 500 kV por falla monofásica en la fase "S" a 74.48 km de la S.E. Montalvo, debido a pérdida de aislamiento en la cadena de aisladores, según lo informado por ATLÁNTICA TRANSMISION SUR, titular de la línea. Como consecuencia los Usuarios Libres Minera Cerro Verde, Quellaveco y Mina Justa redujeron su carga en 176.6 MW, 14 MW y 3 MW, respectivamente, la frecuencia en el SEIN subió hasta 60,44 Hz. A partir de las 03:07 h se coordinó normalizar los suministros interrumpidos. A las 03:42 h, Southern Peru informó que redujo 10.2 MW. Se coordinó recuperar carga.</t>
  </si>
  <si>
    <t>Se produjo un recierre monofásico en la línea L-5037 (San José - Montalvo) de 500 kV por falla en la fase "S" a 75.14 km de la S.E. Montalvo debido pérdida de aislamiento en la cadena de aisladores, según lo informado por ATLÁNTICA, titular de la línea. Como consecuencia los Usuarios Libres Minera Cerro Verde, Quellaveco, Marcobre y Southern redujeron su carga en 63.5 MW, 13 MW, 3 MW y 3.9 MW, respectivamente. A las 03:51 h se coordinó con Minera Cerro Verde recuperar carga, a las 03:52 h conMarcobre y a las 03:55 h, con Minera Quellaveco. A las 03:58 h, se coordinó con Southern Peru recuperar carga.</t>
  </si>
  <si>
    <t>Desconectó la línea L-2030 (Chilota- Moquegua) de 220 kV por falla monofásica a tierra en la fase "T" a 94.5 km de la S.E. Chilota, debido a descargas atmosféricas, según lo informado por Redesur, titular de la línea. Como consecuencia se produjo la reducción de carga de Quellaveco en 119 MW, Minera Cerro Verde en 113.6 MW, Mina Justa en 6.44 MW y las unidades operativas Cuajone, Toquepala e Ilo de Southern en 64.1 MW, y la frecuencia del SEIN incrementó hasta 60.336 Hz. A las 03:36 h, se declaró disponible la línea L-2030, sin embargo, quedó fuera de servicio por regulación de tensión. A las 03:56:42 h se conectó la línea L-2030. A las 03:30 h, 03:31 h, 03:32 h el CCO-COES autorizó a Anglo American Quellaveco, Southern y Minera Cerro Verde, respectivamente, recuperar las cargas afectadas.</t>
  </si>
  <si>
    <t>L. SOCABAYA - MOQUEGUA - LINEA L-2026</t>
  </si>
  <si>
    <t>Se produjo un recierre exitoso en la fase "T" de la línea L-2026 (Socabaya - Moquegua) de 220 kV por falla debido a descargas atmosféricas, según lo informado por Redesur, titular de la línea. Como consecuencia se produjo la reducción de carga de Minera Cerro Verde en 12 MW. A las 05:54 h, el CCO-COES autorizó a Minera Cerro Verde recuperar la carga afectada.</t>
  </si>
  <si>
    <t>Se produjo un recierre exitoso en la fase "R"de la línea L-2030 (Chilota - Moquegua) de 220 kV por falla debido a descargas atmosféricas, según lo informado por Redesur, titular de la línea. Como consecuencia se produjo la reducción de carga de Minera Cerro Verde en 157.53 MW, Mina Justa en 8.19 MW y las unidades operativas Cuajone, Toquepala e Ilo de Southern en 49.6 MW, y la frecuencia del SEIN incrementó hasta 60.36 Hz. A las 06:39 h, 06:40 h y 06:41 h, el CCO-COES autorizó a Southern, Minera Cerro Verde y Marcobre, respectivamente, a recuperar las cargas afectadas.</t>
  </si>
  <si>
    <t xml:space="preserve">Desconectó la línea L-1111 (Chimbote 1 - Chimbote Sur) de 138 kV debido al intento fallido de energizar la línea L-1129 (Chimbote Sur - Trapecio), debido a falla en el pararrayo fase "S" de la línea L-1129 en la S.E Chimbote Sur, según lo informado por HIDRANDINA, titular de la línea. Como consecuencia se interrumpió el suministro de las subestaciones Chimbote Sur, Nepeña, Casma y San Jacinto con un total de 27 MW. Asimismo, la C.T. San Jacinto quedó operando en modo aislado. </t>
  </si>
  <si>
    <t>11/05/2023</t>
  </si>
  <si>
    <t>01/05/2023</t>
  </si>
  <si>
    <t>02/05/2023</t>
  </si>
  <si>
    <t>03/05/2023</t>
  </si>
  <si>
    <t>04/05/2023</t>
  </si>
  <si>
    <t>05/05/2023</t>
  </si>
  <si>
    <t>06/05/2023</t>
  </si>
  <si>
    <t>07/05/2023</t>
  </si>
  <si>
    <t>12:30</t>
  </si>
  <si>
    <t>08/05/2023</t>
  </si>
  <si>
    <t>09/05/2023</t>
  </si>
  <si>
    <t>10/05/2023</t>
  </si>
  <si>
    <t>12/05/2023</t>
  </si>
  <si>
    <t>13/05/2023</t>
  </si>
  <si>
    <t>14/05/2023</t>
  </si>
  <si>
    <t>15/05/2023</t>
  </si>
  <si>
    <t>16:15</t>
  </si>
  <si>
    <t>16/05/2023</t>
  </si>
  <si>
    <t>14:30</t>
  </si>
  <si>
    <t>17/05/2023</t>
  </si>
  <si>
    <t>18/05/2023</t>
  </si>
  <si>
    <t>19/05/2023</t>
  </si>
  <si>
    <t>20/05/2023</t>
  </si>
  <si>
    <t>21:00</t>
  </si>
  <si>
    <t>21/05/2023</t>
  </si>
  <si>
    <t>22/05/2023</t>
  </si>
  <si>
    <t>23/05/2023</t>
  </si>
  <si>
    <t>24/05/2023</t>
  </si>
  <si>
    <t>25/05/2023</t>
  </si>
  <si>
    <t>18:30</t>
  </si>
  <si>
    <t>26/05/2023</t>
  </si>
  <si>
    <t>27/05/2023</t>
  </si>
  <si>
    <t>28/05/2023</t>
  </si>
  <si>
    <t>29/05/2023</t>
  </si>
  <si>
    <t>30/05/2023</t>
  </si>
  <si>
    <t>31/05/2023</t>
  </si>
  <si>
    <t>VOLUMEN ÚTIL
31-05-2023</t>
  </si>
  <si>
    <t>VOLUMEN ÚTIL
31-05-2022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</si>
</sst>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bottom style="hair">
        <color theme="4"/>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6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30" fillId="0" borderId="144" xfId="8" applyFont="1" applyBorder="1" applyAlignment="1">
      <alignment horizontal="center" vertical="center" wrapText="1"/>
    </xf>
    <xf numFmtId="22" fontId="30" fillId="0" borderId="144" xfId="8" applyNumberFormat="1" applyFont="1" applyBorder="1" applyAlignment="1">
      <alignment horizontal="center" vertical="center" wrapText="1"/>
    </xf>
    <xf numFmtId="0" fontId="44" fillId="0" borderId="144" xfId="8" applyFont="1" applyBorder="1" applyAlignment="1">
      <alignment horizontal="justify" vertical="center" wrapText="1"/>
    </xf>
    <xf numFmtId="0" fontId="44" fillId="0" borderId="144" xfId="8" applyFont="1" applyBorder="1" applyAlignment="1">
      <alignment horizontal="center" vertical="center" wrapText="1"/>
    </xf>
    <xf numFmtId="4" fontId="0" fillId="0" borderId="145" xfId="0" applyNumberFormat="1" applyBorder="1" applyAlignment="1">
      <alignment vertical="center"/>
    </xf>
    <xf numFmtId="4" fontId="0" fillId="0" borderId="146" xfId="0" applyNumberFormat="1" applyBorder="1" applyAlignment="1">
      <alignment vertical="center"/>
    </xf>
    <xf numFmtId="4" fontId="0" fillId="4" borderId="147" xfId="0" applyNumberFormat="1" applyFill="1" applyBorder="1" applyAlignment="1">
      <alignment vertical="center"/>
    </xf>
    <xf numFmtId="4" fontId="0" fillId="4" borderId="148" xfId="0" applyNumberFormat="1" applyFill="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 fontId="0" fillId="0" borderId="150"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3" xfId="0" applyNumberFormat="1" applyFont="1" applyFill="1" applyBorder="1" applyAlignment="1">
      <alignment vertical="center"/>
    </xf>
    <xf numFmtId="10" fontId="35" fillId="8" borderId="154"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5" xfId="0" applyNumberFormat="1" applyFont="1" applyFill="1" applyBorder="1" applyAlignment="1">
      <alignment horizontal="center" vertical="center" wrapText="1"/>
    </xf>
    <xf numFmtId="169" fontId="35" fillId="8" borderId="155" xfId="0" applyNumberFormat="1"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0" fillId="2" borderId="157" xfId="0" quotePrefix="1" applyFont="1" applyFill="1" applyBorder="1" applyAlignment="1">
      <alignment vertical="center" wrapText="1"/>
    </xf>
    <xf numFmtId="168" fontId="30" fillId="2" borderId="157" xfId="0" applyNumberFormat="1" applyFont="1" applyFill="1" applyBorder="1" applyAlignment="1">
      <alignment horizontal="center" vertical="center" wrapText="1"/>
    </xf>
    <xf numFmtId="0" fontId="30" fillId="2" borderId="157" xfId="1" applyNumberFormat="1" applyFont="1" applyFill="1" applyBorder="1" applyAlignment="1">
      <alignment horizontal="center" vertical="center" wrapText="1"/>
    </xf>
    <xf numFmtId="2" fontId="30" fillId="2" borderId="157" xfId="1" applyNumberFormat="1" applyFont="1" applyFill="1" applyBorder="1" applyAlignment="1">
      <alignment horizontal="center" vertical="center" wrapText="1"/>
    </xf>
    <xf numFmtId="174" fontId="30" fillId="2" borderId="157" xfId="0" applyNumberFormat="1" applyFont="1" applyFill="1" applyBorder="1" applyAlignment="1">
      <alignment horizontal="center" vertical="center" wrapText="1"/>
    </xf>
    <xf numFmtId="0" fontId="30" fillId="2"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1" applyNumberFormat="1" applyFont="1" applyFill="1" applyBorder="1" applyAlignment="1">
      <alignment horizontal="left" vertical="center"/>
    </xf>
    <xf numFmtId="0" fontId="35" fillId="8" borderId="160" xfId="1" applyNumberFormat="1" applyFont="1" applyFill="1" applyBorder="1" applyAlignment="1">
      <alignment horizontal="center" vertical="center"/>
    </xf>
    <xf numFmtId="174" fontId="35" fillId="8" borderId="157" xfId="0" applyNumberFormat="1" applyFont="1" applyFill="1" applyBorder="1" applyAlignment="1">
      <alignment horizontal="center" vertical="center"/>
    </xf>
    <xf numFmtId="0" fontId="35" fillId="8" borderId="157"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43" fontId="46" fillId="0" borderId="151" xfId="10" applyFont="1" applyBorder="1" applyAlignment="1">
      <alignment horizontal="center"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43" fontId="0" fillId="0" borderId="0" xfId="11" applyFont="1" applyAlignment="1">
      <alignment vertical="center"/>
    </xf>
    <xf numFmtId="43" fontId="46" fillId="0" borderId="151" xfId="10" applyFont="1" applyBorder="1" applyAlignment="1">
      <alignment vertical="center"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1" xfId="10" applyFont="1" applyBorder="1" applyAlignment="1">
      <alignment horizontal="center" vertical="center" wrapText="1"/>
    </xf>
    <xf numFmtId="43" fontId="46" fillId="0" borderId="152" xfId="10" applyFont="1" applyBorder="1" applyAlignment="1">
      <alignment horizontal="center" vertical="center" wrapText="1"/>
    </xf>
    <xf numFmtId="43" fontId="46" fillId="0" borderId="161"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2437.8056477075011</c:v>
                </c:pt>
                <c:pt idx="1">
                  <c:v>2130.8967148099996</c:v>
                </c:pt>
                <c:pt idx="2">
                  <c:v>0</c:v>
                </c:pt>
                <c:pt idx="3">
                  <c:v>23.049385517499996</c:v>
                </c:pt>
                <c:pt idx="4">
                  <c:v>20.270959267499997</c:v>
                </c:pt>
                <c:pt idx="5">
                  <c:v>224.23503268000002</c:v>
                </c:pt>
                <c:pt idx="6">
                  <c:v>57.958463240000007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2130.8967148099996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23.049385517499996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20.270959267499997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224.23503268000002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57.958463240000007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RER'!$P$42:$P$48</c:f>
              <c:numCache>
                <c:formatCode>0.00</c:formatCode>
                <c:ptCount val="7"/>
                <c:pt idx="0">
                  <c:v>31.416789250000001</c:v>
                </c:pt>
                <c:pt idx="1">
                  <c:v>7.5567521324999998</c:v>
                </c:pt>
                <c:pt idx="2">
                  <c:v>3.8275518525000001</c:v>
                </c:pt>
                <c:pt idx="3">
                  <c:v>3.5078406725</c:v>
                </c:pt>
                <c:pt idx="4">
                  <c:v>3.4053330000000002</c:v>
                </c:pt>
                <c:pt idx="5">
                  <c:v>3.1830456525000002</c:v>
                </c:pt>
                <c:pt idx="6">
                  <c:v>3.1035376800000001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RER'!$Q$42:$Q$48</c:f>
              <c:numCache>
                <c:formatCode>0.00</c:formatCode>
                <c:ptCount val="7"/>
                <c:pt idx="0">
                  <c:v>0.29226790747165965</c:v>
                </c:pt>
                <c:pt idx="1">
                  <c:v>0.2280405233335023</c:v>
                </c:pt>
                <c:pt idx="2">
                  <c:v>0.2572279470766129</c:v>
                </c:pt>
                <c:pt idx="3">
                  <c:v>0.23574198067876345</c:v>
                </c:pt>
                <c:pt idx="4">
                  <c:v>0.22885302419354839</c:v>
                </c:pt>
                <c:pt idx="5">
                  <c:v>0.26739294795866936</c:v>
                </c:pt>
                <c:pt idx="6">
                  <c:v>0.20857108064516128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LA GRINGA</c:v>
                </c:pt>
                <c:pt idx="3">
                  <c:v>C.T. DOÑA CATALINA</c:v>
                </c:pt>
                <c:pt idx="4">
                  <c:v>C.T. CALLAO</c:v>
                </c:pt>
              </c:strCache>
            </c:strRef>
          </c:cat>
          <c:val>
            <c:numRef>
              <c:f>'6. FP RER'!$P$49:$P$53</c:f>
              <c:numCache>
                <c:formatCode>0.00</c:formatCode>
                <c:ptCount val="5"/>
                <c:pt idx="0">
                  <c:v>4.3834259900000001</c:v>
                </c:pt>
                <c:pt idx="1">
                  <c:v>2.0994484674999998</c:v>
                </c:pt>
                <c:pt idx="2">
                  <c:v>1.5584336249999999</c:v>
                </c:pt>
                <c:pt idx="3">
                  <c:v>1.3844009075000001</c:v>
                </c:pt>
                <c:pt idx="4">
                  <c:v>0.71315105000000001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LA GRINGA</c:v>
                </c:pt>
                <c:pt idx="3">
                  <c:v>C.T. DOÑA CATALINA</c:v>
                </c:pt>
                <c:pt idx="4">
                  <c:v>C.T. CALLAO</c:v>
                </c:pt>
              </c:strCache>
            </c:strRef>
          </c:cat>
          <c:val>
            <c:numRef>
              <c:f>'6. FP RER'!$Q$49:$Q$53</c:f>
              <c:numCache>
                <c:formatCode>0.00</c:formatCode>
                <c:ptCount val="5"/>
                <c:pt idx="0">
                  <c:v>0.46241884298879338</c:v>
                </c:pt>
                <c:pt idx="1">
                  <c:v>0.66201509396777336</c:v>
                </c:pt>
                <c:pt idx="2">
                  <c:v>0.70916777289719723</c:v>
                </c:pt>
                <c:pt idx="3">
                  <c:v>0.77531412830421154</c:v>
                </c:pt>
                <c:pt idx="4">
                  <c:v>0.39939014896953412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RONCADOR</c:v>
                  </c:pt>
                  <c:pt idx="1">
                    <c:v>C.H. CHANCAY</c:v>
                  </c:pt>
                  <c:pt idx="2">
                    <c:v>C.H. CARHUAQUERO IV</c:v>
                  </c:pt>
                  <c:pt idx="3">
                    <c:v>C.H. POTRERO</c:v>
                  </c:pt>
                  <c:pt idx="4">
                    <c:v>C.H. YARUCAYA</c:v>
                  </c:pt>
                  <c:pt idx="5">
                    <c:v>C.H. RUCUY</c:v>
                  </c:pt>
                  <c:pt idx="6">
                    <c:v>C.H. RENOVANDES H1</c:v>
                  </c:pt>
                  <c:pt idx="7">
                    <c:v>C.H. RUNATULLO III</c:v>
                  </c:pt>
                  <c:pt idx="8">
                    <c:v>C.H. LAS PIZARRAS</c:v>
                  </c:pt>
                  <c:pt idx="9">
                    <c:v>C.H. 8 DE AGOSTO</c:v>
                  </c:pt>
                  <c:pt idx="10">
                    <c:v>C.H. ÁNGEL II</c:v>
                  </c:pt>
                  <c:pt idx="11">
                    <c:v>C.H. ÁNGEL III</c:v>
                  </c:pt>
                  <c:pt idx="12">
                    <c:v>C.H. YANAPAMPA</c:v>
                  </c:pt>
                  <c:pt idx="13">
                    <c:v>C.H. SANTA CRUZ II</c:v>
                  </c:pt>
                  <c:pt idx="14">
                    <c:v>C.H. IMPERIAL</c:v>
                  </c:pt>
                  <c:pt idx="15">
                    <c:v>C.H. RUNATULLO II</c:v>
                  </c:pt>
                  <c:pt idx="16">
                    <c:v>C.H. EL CARMEN</c:v>
                  </c:pt>
                  <c:pt idx="17">
                    <c:v>C.H. HUASAHUASI II</c:v>
                  </c:pt>
                  <c:pt idx="18">
                    <c:v>C.H. HUASAHUASI I</c:v>
                  </c:pt>
                  <c:pt idx="19">
                    <c:v>C.H. CANCHAYLLO</c:v>
                  </c:pt>
                  <c:pt idx="20">
                    <c:v>C.H. CAÑA BRAVA</c:v>
                  </c:pt>
                  <c:pt idx="21">
                    <c:v>C.H. ÁNGEL I</c:v>
                  </c:pt>
                  <c:pt idx="22">
                    <c:v>C.H. SANTA CRUZ I</c:v>
                  </c:pt>
                  <c:pt idx="23">
                    <c:v>C.H. HER 1</c:v>
                  </c:pt>
                  <c:pt idx="24">
                    <c:v>C.H. CARHUAC</c:v>
                  </c:pt>
                  <c:pt idx="25">
                    <c:v>C.H. POECHOS II</c:v>
                  </c:pt>
                  <c:pt idx="26">
                    <c:v>C.H. LA JOYA</c:v>
                  </c:pt>
                  <c:pt idx="27">
                    <c:v>C.H. MANTA I</c:v>
                  </c:pt>
                  <c:pt idx="28">
                    <c:v>C.H. PURMACANA</c:v>
                  </c:pt>
                  <c:pt idx="29">
                    <c:v>C.E. MARCONA</c:v>
                  </c:pt>
                  <c:pt idx="30">
                    <c:v>C.E. TRES HERMANAS</c:v>
                  </c:pt>
                  <c:pt idx="31">
                    <c:v>C.E. DUNA</c:v>
                  </c:pt>
                  <c:pt idx="32">
                    <c:v>C.E. WAYRA I</c:v>
                  </c:pt>
                  <c:pt idx="33">
                    <c:v>C.E. HUAMBOS</c:v>
                  </c:pt>
                  <c:pt idx="34">
                    <c:v>C.E. CUPISNIQUE</c:v>
                  </c:pt>
                  <c:pt idx="35">
                    <c:v>C.E. TALARA</c:v>
                  </c:pt>
                  <c:pt idx="36">
                    <c:v>C.S. TACNA SOLAR</c:v>
                  </c:pt>
                  <c:pt idx="37">
                    <c:v>C.S. MOQUEGUA FV</c:v>
                  </c:pt>
                  <c:pt idx="38">
                    <c:v>C.S. PANAMERICANA SOLAR</c:v>
                  </c:pt>
                  <c:pt idx="39">
                    <c:v>C.S. RUBI</c:v>
                  </c:pt>
                  <c:pt idx="40">
                    <c:v>C.S. MAJES SOLAR</c:v>
                  </c:pt>
                  <c:pt idx="41">
                    <c:v>C.S. INTIPAMPA</c:v>
                  </c:pt>
                  <c:pt idx="42">
                    <c:v>C.S. REPARTICION</c:v>
                  </c:pt>
                  <c:pt idx="43">
                    <c:v>C.T. PARAMONGA</c:v>
                  </c:pt>
                  <c:pt idx="44">
                    <c:v>C.T. DOÑA CATALINA</c:v>
                  </c:pt>
                  <c:pt idx="45">
                    <c:v>C.T. CALLAO</c:v>
                  </c:pt>
                  <c:pt idx="46">
                    <c:v>C.T. HUAYCOLORO</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0.9905547111898344</c:v>
                </c:pt>
                <c:pt idx="1">
                  <c:v>0.97131595454328912</c:v>
                </c:pt>
                <c:pt idx="2">
                  <c:v>0.95831888382435582</c:v>
                </c:pt>
                <c:pt idx="3">
                  <c:v>0.94570418884471041</c:v>
                </c:pt>
                <c:pt idx="4">
                  <c:v>0.93995758780758265</c:v>
                </c:pt>
                <c:pt idx="5">
                  <c:v>0.93762911640698265</c:v>
                </c:pt>
                <c:pt idx="6">
                  <c:v>0.9335657316988778</c:v>
                </c:pt>
                <c:pt idx="7">
                  <c:v>0.91725240497145366</c:v>
                </c:pt>
                <c:pt idx="8">
                  <c:v>0.91633401699518835</c:v>
                </c:pt>
                <c:pt idx="9">
                  <c:v>0.90989612184159385</c:v>
                </c:pt>
                <c:pt idx="10">
                  <c:v>0.87230723903285734</c:v>
                </c:pt>
                <c:pt idx="11">
                  <c:v>0.84414597348558118</c:v>
                </c:pt>
                <c:pt idx="12">
                  <c:v>0.83157483254085252</c:v>
                </c:pt>
                <c:pt idx="13">
                  <c:v>0.81685500551536872</c:v>
                </c:pt>
                <c:pt idx="14">
                  <c:v>0.81225701742834777</c:v>
                </c:pt>
                <c:pt idx="15">
                  <c:v>0.79939738475493394</c:v>
                </c:pt>
                <c:pt idx="16">
                  <c:v>0.79561719059546043</c:v>
                </c:pt>
                <c:pt idx="17">
                  <c:v>0.79004355286133443</c:v>
                </c:pt>
                <c:pt idx="18">
                  <c:v>0.76603636515166806</c:v>
                </c:pt>
                <c:pt idx="19">
                  <c:v>0.75728539916328341</c:v>
                </c:pt>
                <c:pt idx="20">
                  <c:v>0.74364344332901178</c:v>
                </c:pt>
                <c:pt idx="21">
                  <c:v>0.717032974311269</c:v>
                </c:pt>
                <c:pt idx="22">
                  <c:v>0.70654122508655715</c:v>
                </c:pt>
                <c:pt idx="23">
                  <c:v>0.64688554369011408</c:v>
                </c:pt>
                <c:pt idx="24">
                  <c:v>0.61742881959724882</c:v>
                </c:pt>
                <c:pt idx="25">
                  <c:v>0.59129025673097646</c:v>
                </c:pt>
                <c:pt idx="26">
                  <c:v>0.54970395400058136</c:v>
                </c:pt>
                <c:pt idx="27">
                  <c:v>0.54275951342498374</c:v>
                </c:pt>
                <c:pt idx="28">
                  <c:v>0.34111055021357528</c:v>
                </c:pt>
                <c:pt idx="29">
                  <c:v>0.80288459732149942</c:v>
                </c:pt>
                <c:pt idx="30">
                  <c:v>0.70892936930877481</c:v>
                </c:pt>
                <c:pt idx="31">
                  <c:v>0.70351544104120689</c:v>
                </c:pt>
                <c:pt idx="32">
                  <c:v>0.69777965032724165</c:v>
                </c:pt>
                <c:pt idx="33">
                  <c:v>0.30089376386230432</c:v>
                </c:pt>
                <c:pt idx="34">
                  <c:v>0.5031723132458954</c:v>
                </c:pt>
                <c:pt idx="35">
                  <c:v>0.49303451083529587</c:v>
                </c:pt>
                <c:pt idx="36">
                  <c:v>0.39927622854832173</c:v>
                </c:pt>
                <c:pt idx="37">
                  <c:v>0.33731572209457727</c:v>
                </c:pt>
                <c:pt idx="38">
                  <c:v>0.32254707224623597</c:v>
                </c:pt>
                <c:pt idx="39">
                  <c:v>0.31780875076658716</c:v>
                </c:pt>
                <c:pt idx="40">
                  <c:v>0.25054933521786782</c:v>
                </c:pt>
                <c:pt idx="41">
                  <c:v>0.32579277535182122</c:v>
                </c:pt>
                <c:pt idx="42">
                  <c:v>0.32542975299220472</c:v>
                </c:pt>
                <c:pt idx="43" formatCode="_(* #,##0.00_);_(* \(#,##0.00\);_(* &quot;-&quot;??_);_(@_)">
                  <c:v>0.32046804335678808</c:v>
                </c:pt>
                <c:pt idx="44" formatCode="_(* #,##0.00_);_(* \(#,##0.00\);_(* &quot;-&quot;??_);_(@_)">
                  <c:v>0.31447601910344847</c:v>
                </c:pt>
                <c:pt idx="45" formatCode="_(* #,##0.00_);_(* \(#,##0.00\);_(* &quot;-&quot;??_);_(@_)">
                  <c:v>0.24873263520971303</c:v>
                </c:pt>
                <c:pt idx="46" formatCode="_(* #,##0.00_);_(* \(#,##0.00\);_(* &quot;-&quot;??_);_(@_)">
                  <c:v>0.24216410307140146</c:v>
                </c:pt>
                <c:pt idx="47" formatCode="_(* #,##0.00_);_(* \(#,##0.00\);_(* &quot;-&quot;??_);_(@_)">
                  <c:v>0.24058387579332233</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RONCADOR</c:v>
                  </c:pt>
                  <c:pt idx="1">
                    <c:v>C.H. CHANCAY</c:v>
                  </c:pt>
                  <c:pt idx="2">
                    <c:v>C.H. CARHUAQUERO IV</c:v>
                  </c:pt>
                  <c:pt idx="3">
                    <c:v>C.H. POTRERO</c:v>
                  </c:pt>
                  <c:pt idx="4">
                    <c:v>C.H. YARUCAYA</c:v>
                  </c:pt>
                  <c:pt idx="5">
                    <c:v>C.H. RUCUY</c:v>
                  </c:pt>
                  <c:pt idx="6">
                    <c:v>C.H. RENOVANDES H1</c:v>
                  </c:pt>
                  <c:pt idx="7">
                    <c:v>C.H. RUNATULLO III</c:v>
                  </c:pt>
                  <c:pt idx="8">
                    <c:v>C.H. LAS PIZARRAS</c:v>
                  </c:pt>
                  <c:pt idx="9">
                    <c:v>C.H. 8 DE AGOSTO</c:v>
                  </c:pt>
                  <c:pt idx="10">
                    <c:v>C.H. ÁNGEL II</c:v>
                  </c:pt>
                  <c:pt idx="11">
                    <c:v>C.H. ÁNGEL III</c:v>
                  </c:pt>
                  <c:pt idx="12">
                    <c:v>C.H. YANAPAMPA</c:v>
                  </c:pt>
                  <c:pt idx="13">
                    <c:v>C.H. SANTA CRUZ II</c:v>
                  </c:pt>
                  <c:pt idx="14">
                    <c:v>C.H. IMPERIAL</c:v>
                  </c:pt>
                  <c:pt idx="15">
                    <c:v>C.H. RUNATULLO II</c:v>
                  </c:pt>
                  <c:pt idx="16">
                    <c:v>C.H. EL CARMEN</c:v>
                  </c:pt>
                  <c:pt idx="17">
                    <c:v>C.H. HUASAHUASI II</c:v>
                  </c:pt>
                  <c:pt idx="18">
                    <c:v>C.H. HUASAHUASI I</c:v>
                  </c:pt>
                  <c:pt idx="19">
                    <c:v>C.H. CANCHAYLLO</c:v>
                  </c:pt>
                  <c:pt idx="20">
                    <c:v>C.H. CAÑA BRAVA</c:v>
                  </c:pt>
                  <c:pt idx="21">
                    <c:v>C.H. ÁNGEL I</c:v>
                  </c:pt>
                  <c:pt idx="22">
                    <c:v>C.H. SANTA CRUZ I</c:v>
                  </c:pt>
                  <c:pt idx="23">
                    <c:v>C.H. HER 1</c:v>
                  </c:pt>
                  <c:pt idx="24">
                    <c:v>C.H. CARHUAC</c:v>
                  </c:pt>
                  <c:pt idx="25">
                    <c:v>C.H. POECHOS II</c:v>
                  </c:pt>
                  <c:pt idx="26">
                    <c:v>C.H. LA JOYA</c:v>
                  </c:pt>
                  <c:pt idx="27">
                    <c:v>C.H. MANTA I</c:v>
                  </c:pt>
                  <c:pt idx="28">
                    <c:v>C.H. PURMACANA</c:v>
                  </c:pt>
                  <c:pt idx="29">
                    <c:v>C.E. MARCONA</c:v>
                  </c:pt>
                  <c:pt idx="30">
                    <c:v>C.E. TRES HERMANAS</c:v>
                  </c:pt>
                  <c:pt idx="31">
                    <c:v>C.E. DUNA</c:v>
                  </c:pt>
                  <c:pt idx="32">
                    <c:v>C.E. WAYRA I</c:v>
                  </c:pt>
                  <c:pt idx="33">
                    <c:v>C.E. HUAMBOS</c:v>
                  </c:pt>
                  <c:pt idx="34">
                    <c:v>C.E. CUPISNIQUE</c:v>
                  </c:pt>
                  <c:pt idx="35">
                    <c:v>C.E. TALARA</c:v>
                  </c:pt>
                  <c:pt idx="36">
                    <c:v>C.S. TACNA SOLAR</c:v>
                  </c:pt>
                  <c:pt idx="37">
                    <c:v>C.S. MOQUEGUA FV</c:v>
                  </c:pt>
                  <c:pt idx="38">
                    <c:v>C.S. PANAMERICANA SOLAR</c:v>
                  </c:pt>
                  <c:pt idx="39">
                    <c:v>C.S. RUBI</c:v>
                  </c:pt>
                  <c:pt idx="40">
                    <c:v>C.S. MAJES SOLAR</c:v>
                  </c:pt>
                  <c:pt idx="41">
                    <c:v>C.S. INTIPAMPA</c:v>
                  </c:pt>
                  <c:pt idx="42">
                    <c:v>C.S. REPARTICION</c:v>
                  </c:pt>
                  <c:pt idx="43">
                    <c:v>C.T. PARAMONGA</c:v>
                  </c:pt>
                  <c:pt idx="44">
                    <c:v>C.T. DOÑA CATALINA</c:v>
                  </c:pt>
                  <c:pt idx="45">
                    <c:v>C.T. CALLAO</c:v>
                  </c:pt>
                  <c:pt idx="46">
                    <c:v>C.T. HUAYCOLORO</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0.64734967025771784</c:v>
                </c:pt>
                <c:pt idx="1">
                  <c:v>0.94964801497984364</c:v>
                </c:pt>
                <c:pt idx="2">
                  <c:v>0.97225573714000324</c:v>
                </c:pt>
                <c:pt idx="3">
                  <c:v>0.80213309440544533</c:v>
                </c:pt>
                <c:pt idx="4">
                  <c:v>0.86184249485223541</c:v>
                </c:pt>
                <c:pt idx="5">
                  <c:v>0.88624160243310246</c:v>
                </c:pt>
                <c:pt idx="6">
                  <c:v>0.85633062849228092</c:v>
                </c:pt>
                <c:pt idx="7">
                  <c:v>0.87896001106129862</c:v>
                </c:pt>
                <c:pt idx="8">
                  <c:v>0.83741832498339874</c:v>
                </c:pt>
                <c:pt idx="9">
                  <c:v>0.88870226296131827</c:v>
                </c:pt>
                <c:pt idx="10">
                  <c:v>0.86058488777725306</c:v>
                </c:pt>
                <c:pt idx="11">
                  <c:v>0.85058278542454935</c:v>
                </c:pt>
                <c:pt idx="12">
                  <c:v>0.90156376828053775</c:v>
                </c:pt>
                <c:pt idx="13">
                  <c:v>0.83070491756908893</c:v>
                </c:pt>
                <c:pt idx="14">
                  <c:v>0.83782974370599772</c:v>
                </c:pt>
                <c:pt idx="15">
                  <c:v>0.7741807804967048</c:v>
                </c:pt>
                <c:pt idx="16">
                  <c:v>0.7625363726252592</c:v>
                </c:pt>
                <c:pt idx="17">
                  <c:v>0.79242135166060068</c:v>
                </c:pt>
                <c:pt idx="18">
                  <c:v>0.77739131922266691</c:v>
                </c:pt>
                <c:pt idx="19">
                  <c:v>0.66124276400089854</c:v>
                </c:pt>
                <c:pt idx="20">
                  <c:v>0.93189133729282747</c:v>
                </c:pt>
                <c:pt idx="21">
                  <c:v>0.84726949714365718</c:v>
                </c:pt>
                <c:pt idx="22">
                  <c:v>0.74404148622155297</c:v>
                </c:pt>
                <c:pt idx="23">
                  <c:v>0.43786656204026742</c:v>
                </c:pt>
                <c:pt idx="24">
                  <c:v>0.69048767786564813</c:v>
                </c:pt>
                <c:pt idx="25">
                  <c:v>0.79491296891896379</c:v>
                </c:pt>
                <c:pt idx="26">
                  <c:v>0.68954938649358455</c:v>
                </c:pt>
                <c:pt idx="27">
                  <c:v>0.63843829879418423</c:v>
                </c:pt>
                <c:pt idx="28">
                  <c:v>0.1717787164459785</c:v>
                </c:pt>
                <c:pt idx="29">
                  <c:v>0.67130427844319129</c:v>
                </c:pt>
                <c:pt idx="30">
                  <c:v>0.62327571910088742</c:v>
                </c:pt>
                <c:pt idx="31">
                  <c:v>0.36311814506898299</c:v>
                </c:pt>
                <c:pt idx="32">
                  <c:v>0.51500016320607211</c:v>
                </c:pt>
                <c:pt idx="33">
                  <c:v>0.27114464005462879</c:v>
                </c:pt>
                <c:pt idx="34">
                  <c:v>0.44797744939529216</c:v>
                </c:pt>
                <c:pt idx="35">
                  <c:v>0.41164742655001074</c:v>
                </c:pt>
                <c:pt idx="36">
                  <c:v>0.32652902714541943</c:v>
                </c:pt>
                <c:pt idx="37">
                  <c:v>0.3344978093956954</c:v>
                </c:pt>
                <c:pt idx="38">
                  <c:v>0.32498136541114792</c:v>
                </c:pt>
                <c:pt idx="39">
                  <c:v>0.3383795840155393</c:v>
                </c:pt>
                <c:pt idx="40">
                  <c:v>0.26178993584437088</c:v>
                </c:pt>
                <c:pt idx="41">
                  <c:v>0.26734579359364952</c:v>
                </c:pt>
                <c:pt idx="42">
                  <c:v>0.24662783992135764</c:v>
                </c:pt>
                <c:pt idx="43">
                  <c:v>0.73787272874480148</c:v>
                </c:pt>
                <c:pt idx="44">
                  <c:v>0.67067745843681026</c:v>
                </c:pt>
                <c:pt idx="45">
                  <c:v>0.62968120803440042</c:v>
                </c:pt>
                <c:pt idx="46">
                  <c:v>0.72214144526875246</c:v>
                </c:pt>
                <c:pt idx="47">
                  <c:v>0.70727397572812656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HYDRO PATAPO</c:v>
                </c:pt>
                <c:pt idx="1">
                  <c:v>CERRO VERDE</c:v>
                </c:pt>
                <c:pt idx="2">
                  <c:v>AGROAURORA</c:v>
                </c:pt>
                <c:pt idx="3">
                  <c:v>COLCA SOLAR</c:v>
                </c:pt>
                <c:pt idx="4">
                  <c:v>IYEPSA</c:v>
                </c:pt>
                <c:pt idx="5">
                  <c:v>ATRIA</c:v>
                </c:pt>
                <c:pt idx="6">
                  <c:v>PLANTA  ETEN</c:v>
                </c:pt>
                <c:pt idx="7">
                  <c:v>CENTRALES SANTA ROSA</c:v>
                </c:pt>
                <c:pt idx="8">
                  <c:v>EGECSAC</c:v>
                </c:pt>
                <c:pt idx="9">
                  <c:v>HIDROCAÑETE</c:v>
                </c:pt>
                <c:pt idx="10">
                  <c:v>SHOUGESA</c:v>
                </c:pt>
                <c:pt idx="11">
                  <c:v>MAJA ENERGIA</c:v>
                </c:pt>
                <c:pt idx="12">
                  <c:v>ELECTRICA YANAPAMPA</c:v>
                </c:pt>
                <c:pt idx="13">
                  <c:v>TACNA SOLAR</c:v>
                </c:pt>
                <c:pt idx="14">
                  <c:v>MOQUEGUA FV</c:v>
                </c:pt>
                <c:pt idx="15">
                  <c:v>SAN JACINTO</c:v>
                </c:pt>
                <c:pt idx="16">
                  <c:v>MAJES</c:v>
                </c:pt>
                <c:pt idx="17">
                  <c:v>REPARTICION</c:v>
                </c:pt>
                <c:pt idx="18">
                  <c:v>SDF ENERGIA</c:v>
                </c:pt>
                <c:pt idx="19">
                  <c:v>PANAMERICANA SOLAR</c:v>
                </c:pt>
                <c:pt idx="20">
                  <c:v>AIPSA</c:v>
                </c:pt>
                <c:pt idx="21">
                  <c:v>HIDROELECTRICA HUANCHOR</c:v>
                </c:pt>
                <c:pt idx="22">
                  <c:v>INVERSION DE ENERGÍA RENOVABLES</c:v>
                </c:pt>
                <c:pt idx="23">
                  <c:v>PETRAMAS</c:v>
                </c:pt>
                <c:pt idx="24">
                  <c:v>ANDEAN POWER</c:v>
                </c:pt>
                <c:pt idx="25">
                  <c:v>GR PAINO</c:v>
                </c:pt>
                <c:pt idx="26">
                  <c:v>BIOENERGIA</c:v>
                </c:pt>
                <c:pt idx="27">
                  <c:v>GR TARUCA</c:v>
                </c:pt>
                <c:pt idx="28">
                  <c:v>RIO BAÑOS</c:v>
                </c:pt>
                <c:pt idx="29">
                  <c:v>P.E. MARCONA</c:v>
                </c:pt>
                <c:pt idx="30">
                  <c:v>SAMAY I</c:v>
                </c:pt>
                <c:pt idx="31">
                  <c:v>RIO DOBLE</c:v>
                </c:pt>
                <c:pt idx="32">
                  <c:v>HUAURA POWER</c:v>
                </c:pt>
                <c:pt idx="33">
                  <c:v>AGUA AZUL</c:v>
                </c:pt>
                <c:pt idx="34">
                  <c:v>CELEPSA RENOVABLES</c:v>
                </c:pt>
                <c:pt idx="35">
                  <c:v>SANTA ANA</c:v>
                </c:pt>
                <c:pt idx="36">
                  <c:v>GENERACIÓN ANDINA</c:v>
                </c:pt>
                <c:pt idx="37">
                  <c:v>EGESUR</c:v>
                </c:pt>
                <c:pt idx="38">
                  <c:v>EMGE HUANZA</c:v>
                </c:pt>
                <c:pt idx="39">
                  <c:v>SINERSA</c:v>
                </c:pt>
                <c:pt idx="40">
                  <c:v>FENIX POWER</c:v>
                </c:pt>
                <c:pt idx="41">
                  <c:v>GEPSA</c:v>
                </c:pt>
                <c:pt idx="42">
                  <c:v>TERMOSELVA</c:v>
                </c:pt>
                <c:pt idx="43">
                  <c:v>EMGE JUNÍN</c:v>
                </c:pt>
                <c:pt idx="44">
                  <c:v>ENERGÍA EÓLICA</c:v>
                </c:pt>
                <c:pt idx="45">
                  <c:v>LA VIRGEN</c:v>
                </c:pt>
                <c:pt idx="46">
                  <c:v>P.E. TRES HERMANAS</c:v>
                </c:pt>
                <c:pt idx="47">
                  <c:v>ENEL GENERACION PIURA</c:v>
                </c:pt>
                <c:pt idx="48">
                  <c:v>EGASA</c:v>
                </c:pt>
                <c:pt idx="49">
                  <c:v>INLAND</c:v>
                </c:pt>
                <c:pt idx="50">
                  <c:v>SAN GABAN</c:v>
                </c:pt>
                <c:pt idx="51">
                  <c:v>ENEL GREEN POWER PERU</c:v>
                </c:pt>
                <c:pt idx="52">
                  <c:v>CELEPSA</c:v>
                </c:pt>
                <c:pt idx="53">
                  <c:v>CHINANGO</c:v>
                </c:pt>
                <c:pt idx="54">
                  <c:v>EGEMSA</c:v>
                </c:pt>
                <c:pt idx="55">
                  <c:v>EMGE HUALLAGA</c:v>
                </c:pt>
                <c:pt idx="56">
                  <c:v>TERMOCHILCA</c:v>
                </c:pt>
                <c:pt idx="57">
                  <c:v>STATKRAFT</c:v>
                </c:pt>
                <c:pt idx="58">
                  <c:v>ORAZUL ENERGY PERÚ</c:v>
                </c:pt>
                <c:pt idx="59">
                  <c:v>ELECTROPERU</c:v>
                </c:pt>
                <c:pt idx="60">
                  <c:v>ENEL GENERACION PERU</c:v>
                </c:pt>
                <c:pt idx="61">
                  <c:v>ENGIE</c:v>
                </c:pt>
              </c:strCache>
            </c:strRef>
          </c:cat>
          <c:val>
            <c:numRef>
              <c:f>'7. Generacion empresa'!$N$4:$N$65</c:f>
              <c:numCache>
                <c:formatCode>General</c:formatCode>
                <c:ptCount val="62"/>
                <c:pt idx="1">
                  <c:v>0</c:v>
                </c:pt>
                <c:pt idx="2">
                  <c:v>0</c:v>
                </c:pt>
                <c:pt idx="3">
                  <c:v>0.24209149999999999</c:v>
                </c:pt>
                <c:pt idx="4">
                  <c:v>0.29337980499999999</c:v>
                </c:pt>
                <c:pt idx="5">
                  <c:v>0.34859285249999999</c:v>
                </c:pt>
                <c:pt idx="6">
                  <c:v>0.47703449999999997</c:v>
                </c:pt>
                <c:pt idx="7">
                  <c:v>1.7169163300000001</c:v>
                </c:pt>
                <c:pt idx="8">
                  <c:v>1.9627023975</c:v>
                </c:pt>
                <c:pt idx="9">
                  <c:v>2.1330999999999998</c:v>
                </c:pt>
                <c:pt idx="10">
                  <c:v>2.160896975</c:v>
                </c:pt>
                <c:pt idx="11">
                  <c:v>2.4358436824999998</c:v>
                </c:pt>
                <c:pt idx="12">
                  <c:v>2.6355838</c:v>
                </c:pt>
                <c:pt idx="13">
                  <c:v>3.1035376800000001</c:v>
                </c:pt>
                <c:pt idx="14">
                  <c:v>3.1830456525000002</c:v>
                </c:pt>
                <c:pt idx="15">
                  <c:v>3.2488336025</c:v>
                </c:pt>
                <c:pt idx="16">
                  <c:v>3.4053330000000002</c:v>
                </c:pt>
                <c:pt idx="17">
                  <c:v>3.5078406725</c:v>
                </c:pt>
                <c:pt idx="18">
                  <c:v>3.585890735</c:v>
                </c:pt>
                <c:pt idx="19">
                  <c:v>3.8275518525000001</c:v>
                </c:pt>
                <c:pt idx="20">
                  <c:v>4.3834259900000001</c:v>
                </c:pt>
                <c:pt idx="21">
                  <c:v>5.0964264324999995</c:v>
                </c:pt>
                <c:pt idx="22">
                  <c:v>5.5946121450000001</c:v>
                </c:pt>
                <c:pt idx="23">
                  <c:v>5.7554340500000007</c:v>
                </c:pt>
                <c:pt idx="24">
                  <c:v>6.3676081849999999</c:v>
                </c:pt>
                <c:pt idx="25">
                  <c:v>6.3800188325000002</c:v>
                </c:pt>
                <c:pt idx="26">
                  <c:v>6.8832656249999999</c:v>
                </c:pt>
                <c:pt idx="27">
                  <c:v>8.058208282499999</c:v>
                </c:pt>
                <c:pt idx="28">
                  <c:v>12.0335058225</c:v>
                </c:pt>
                <c:pt idx="29">
                  <c:v>12.33778596</c:v>
                </c:pt>
                <c:pt idx="30">
                  <c:v>12.7437405925</c:v>
                </c:pt>
                <c:pt idx="31">
                  <c:v>13.533421690000001</c:v>
                </c:pt>
                <c:pt idx="32">
                  <c:v>13.68244975</c:v>
                </c:pt>
                <c:pt idx="33">
                  <c:v>14.109641360000001</c:v>
                </c:pt>
                <c:pt idx="34">
                  <c:v>14.63432521</c:v>
                </c:pt>
                <c:pt idx="35">
                  <c:v>14.72743374</c:v>
                </c:pt>
                <c:pt idx="36">
                  <c:v>16.343806825000001</c:v>
                </c:pt>
                <c:pt idx="37">
                  <c:v>16.6274865625</c:v>
                </c:pt>
                <c:pt idx="38">
                  <c:v>16.7824613525</c:v>
                </c:pt>
                <c:pt idx="39">
                  <c:v>19.73660052</c:v>
                </c:pt>
                <c:pt idx="40">
                  <c:v>25.742578590000001</c:v>
                </c:pt>
                <c:pt idx="41">
                  <c:v>29.454832130000003</c:v>
                </c:pt>
                <c:pt idx="42">
                  <c:v>33.322660999999997</c:v>
                </c:pt>
                <c:pt idx="43">
                  <c:v>34.667173464999998</c:v>
                </c:pt>
                <c:pt idx="44">
                  <c:v>36.403247245000003</c:v>
                </c:pt>
                <c:pt idx="45">
                  <c:v>37.408592499999997</c:v>
                </c:pt>
                <c:pt idx="46">
                  <c:v>38.773152197499996</c:v>
                </c:pt>
                <c:pt idx="47">
                  <c:v>62.847240499999998</c:v>
                </c:pt>
                <c:pt idx="48">
                  <c:v>63.423640654999993</c:v>
                </c:pt>
                <c:pt idx="49">
                  <c:v>64.152565339999995</c:v>
                </c:pt>
                <c:pt idx="50">
                  <c:v>69.069491662499999</c:v>
                </c:pt>
                <c:pt idx="51">
                  <c:v>76.881610499999994</c:v>
                </c:pt>
                <c:pt idx="52">
                  <c:v>91.395645099999996</c:v>
                </c:pt>
                <c:pt idx="53">
                  <c:v>95.517348749999996</c:v>
                </c:pt>
                <c:pt idx="54">
                  <c:v>119.57049725000002</c:v>
                </c:pt>
                <c:pt idx="55">
                  <c:v>187.44593858499999</c:v>
                </c:pt>
                <c:pt idx="56">
                  <c:v>200.14760925000002</c:v>
                </c:pt>
                <c:pt idx="57">
                  <c:v>202.9092936975</c:v>
                </c:pt>
                <c:pt idx="58">
                  <c:v>210.56191545000001</c:v>
                </c:pt>
                <c:pt idx="59">
                  <c:v>535.07461188000002</c:v>
                </c:pt>
                <c:pt idx="60">
                  <c:v>640.19472099999984</c:v>
                </c:pt>
                <c:pt idx="61">
                  <c:v>749.91656310250016</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HYDRO PATAPO</c:v>
                </c:pt>
                <c:pt idx="1">
                  <c:v>CERRO VERDE</c:v>
                </c:pt>
                <c:pt idx="2">
                  <c:v>AGROAURORA</c:v>
                </c:pt>
                <c:pt idx="3">
                  <c:v>COLCA SOLAR</c:v>
                </c:pt>
                <c:pt idx="4">
                  <c:v>IYEPSA</c:v>
                </c:pt>
                <c:pt idx="5">
                  <c:v>ATRIA</c:v>
                </c:pt>
                <c:pt idx="6">
                  <c:v>PLANTA  ETEN</c:v>
                </c:pt>
                <c:pt idx="7">
                  <c:v>CENTRALES SANTA ROSA</c:v>
                </c:pt>
                <c:pt idx="8">
                  <c:v>EGECSAC</c:v>
                </c:pt>
                <c:pt idx="9">
                  <c:v>HIDROCAÑETE</c:v>
                </c:pt>
                <c:pt idx="10">
                  <c:v>SHOUGESA</c:v>
                </c:pt>
                <c:pt idx="11">
                  <c:v>MAJA ENERGIA</c:v>
                </c:pt>
                <c:pt idx="12">
                  <c:v>ELECTRICA YANAPAMPA</c:v>
                </c:pt>
                <c:pt idx="13">
                  <c:v>TACNA SOLAR</c:v>
                </c:pt>
                <c:pt idx="14">
                  <c:v>MOQUEGUA FV</c:v>
                </c:pt>
                <c:pt idx="15">
                  <c:v>SAN JACINTO</c:v>
                </c:pt>
                <c:pt idx="16">
                  <c:v>MAJES</c:v>
                </c:pt>
                <c:pt idx="17">
                  <c:v>REPARTICION</c:v>
                </c:pt>
                <c:pt idx="18">
                  <c:v>SDF ENERGIA</c:v>
                </c:pt>
                <c:pt idx="19">
                  <c:v>PANAMERICANA SOLAR</c:v>
                </c:pt>
                <c:pt idx="20">
                  <c:v>AIPSA</c:v>
                </c:pt>
                <c:pt idx="21">
                  <c:v>HIDROELECTRICA HUANCHOR</c:v>
                </c:pt>
                <c:pt idx="22">
                  <c:v>INVERSION DE ENERGÍA RENOVABLES</c:v>
                </c:pt>
                <c:pt idx="23">
                  <c:v>PETRAMAS</c:v>
                </c:pt>
                <c:pt idx="24">
                  <c:v>ANDEAN POWER</c:v>
                </c:pt>
                <c:pt idx="25">
                  <c:v>GR PAINO</c:v>
                </c:pt>
                <c:pt idx="26">
                  <c:v>BIOENERGIA</c:v>
                </c:pt>
                <c:pt idx="27">
                  <c:v>GR TARUCA</c:v>
                </c:pt>
                <c:pt idx="28">
                  <c:v>RIO BAÑOS</c:v>
                </c:pt>
                <c:pt idx="29">
                  <c:v>P.E. MARCONA</c:v>
                </c:pt>
                <c:pt idx="30">
                  <c:v>SAMAY I</c:v>
                </c:pt>
                <c:pt idx="31">
                  <c:v>RIO DOBLE</c:v>
                </c:pt>
                <c:pt idx="32">
                  <c:v>HUAURA POWER</c:v>
                </c:pt>
                <c:pt idx="33">
                  <c:v>AGUA AZUL</c:v>
                </c:pt>
                <c:pt idx="34">
                  <c:v>CELEPSA RENOVABLES</c:v>
                </c:pt>
                <c:pt idx="35">
                  <c:v>SANTA ANA</c:v>
                </c:pt>
                <c:pt idx="36">
                  <c:v>GENERACIÓN ANDINA</c:v>
                </c:pt>
                <c:pt idx="37">
                  <c:v>EGESUR</c:v>
                </c:pt>
                <c:pt idx="38">
                  <c:v>EMGE HUANZA</c:v>
                </c:pt>
                <c:pt idx="39">
                  <c:v>SINERSA</c:v>
                </c:pt>
                <c:pt idx="40">
                  <c:v>FENIX POWER</c:v>
                </c:pt>
                <c:pt idx="41">
                  <c:v>GEPSA</c:v>
                </c:pt>
                <c:pt idx="42">
                  <c:v>TERMOSELVA</c:v>
                </c:pt>
                <c:pt idx="43">
                  <c:v>EMGE JUNÍN</c:v>
                </c:pt>
                <c:pt idx="44">
                  <c:v>ENERGÍA EÓLICA</c:v>
                </c:pt>
                <c:pt idx="45">
                  <c:v>LA VIRGEN</c:v>
                </c:pt>
                <c:pt idx="46">
                  <c:v>P.E. TRES HERMANAS</c:v>
                </c:pt>
                <c:pt idx="47">
                  <c:v>ENEL GENERACION PIURA</c:v>
                </c:pt>
                <c:pt idx="48">
                  <c:v>EGASA</c:v>
                </c:pt>
                <c:pt idx="49">
                  <c:v>INLAND</c:v>
                </c:pt>
                <c:pt idx="50">
                  <c:v>SAN GABAN</c:v>
                </c:pt>
                <c:pt idx="51">
                  <c:v>ENEL GREEN POWER PERU</c:v>
                </c:pt>
                <c:pt idx="52">
                  <c:v>CELEPSA</c:v>
                </c:pt>
                <c:pt idx="53">
                  <c:v>CHINANGO</c:v>
                </c:pt>
                <c:pt idx="54">
                  <c:v>EGEMSA</c:v>
                </c:pt>
                <c:pt idx="55">
                  <c:v>EMGE HUALLAGA</c:v>
                </c:pt>
                <c:pt idx="56">
                  <c:v>TERMOCHILCA</c:v>
                </c:pt>
                <c:pt idx="57">
                  <c:v>STATKRAFT</c:v>
                </c:pt>
                <c:pt idx="58">
                  <c:v>ORAZUL ENERGY PERÚ</c:v>
                </c:pt>
                <c:pt idx="59">
                  <c:v>ELECTROPERU</c:v>
                </c:pt>
                <c:pt idx="60">
                  <c:v>ENEL GENERACION PERU</c:v>
                </c:pt>
                <c:pt idx="61">
                  <c:v>ENGIE</c:v>
                </c:pt>
              </c:strCache>
            </c:strRef>
          </c:cat>
          <c:val>
            <c:numRef>
              <c:f>'7. Generacion empresa'!$O$4:$O$65</c:f>
              <c:numCache>
                <c:formatCode>General</c:formatCode>
                <c:ptCount val="62"/>
                <c:pt idx="0">
                  <c:v>0.19607749999999999</c:v>
                </c:pt>
                <c:pt idx="1">
                  <c:v>0</c:v>
                </c:pt>
                <c:pt idx="2">
                  <c:v>8.4372436875000005</c:v>
                </c:pt>
                <c:pt idx="3">
                  <c:v>0.25438965749999998</c:v>
                </c:pt>
                <c:pt idx="4">
                  <c:v>1.0664450000000001E-3</c:v>
                </c:pt>
                <c:pt idx="5">
                  <c:v>0</c:v>
                </c:pt>
                <c:pt idx="6">
                  <c:v>2.0167449999999999E-3</c:v>
                </c:pt>
                <c:pt idx="7">
                  <c:v>1.9232616025000002</c:v>
                </c:pt>
                <c:pt idx="8">
                  <c:v>1.9864998225000001</c:v>
                </c:pt>
                <c:pt idx="9">
                  <c:v>2.3294999999999999</c:v>
                </c:pt>
                <c:pt idx="10">
                  <c:v>0.93733993999999998</c:v>
                </c:pt>
                <c:pt idx="11">
                  <c:v>0.88898949999999999</c:v>
                </c:pt>
                <c:pt idx="12">
                  <c:v>2.6795507250000004</c:v>
                </c:pt>
                <c:pt idx="13">
                  <c:v>3.8505087499999999</c:v>
                </c:pt>
                <c:pt idx="14">
                  <c:v>3.6861812500000002</c:v>
                </c:pt>
                <c:pt idx="15">
                  <c:v>4.7678055800000001</c:v>
                </c:pt>
                <c:pt idx="16">
                  <c:v>3.8187446</c:v>
                </c:pt>
                <c:pt idx="17">
                  <c:v>3.6931134025000003</c:v>
                </c:pt>
                <c:pt idx="18">
                  <c:v>0</c:v>
                </c:pt>
                <c:pt idx="19">
                  <c:v>4.3961172500000005</c:v>
                </c:pt>
                <c:pt idx="20">
                  <c:v>0</c:v>
                </c:pt>
                <c:pt idx="21">
                  <c:v>13.888063915</c:v>
                </c:pt>
                <c:pt idx="22">
                  <c:v>3.0608849125000002</c:v>
                </c:pt>
                <c:pt idx="23">
                  <c:v>4.9106999500000006</c:v>
                </c:pt>
                <c:pt idx="24">
                  <c:v>6.3175623700000001</c:v>
                </c:pt>
                <c:pt idx="25">
                  <c:v>4.8271659575000001</c:v>
                </c:pt>
                <c:pt idx="26">
                  <c:v>6.396884375</c:v>
                </c:pt>
                <c:pt idx="27">
                  <c:v>7.3036391325000007</c:v>
                </c:pt>
                <c:pt idx="28">
                  <c:v>13.080604107500001</c:v>
                </c:pt>
                <c:pt idx="29">
                  <c:v>14.89197506</c:v>
                </c:pt>
                <c:pt idx="30">
                  <c:v>2.0572499999999997E-2</c:v>
                </c:pt>
                <c:pt idx="31">
                  <c:v>11.585898784999998</c:v>
                </c:pt>
                <c:pt idx="32">
                  <c:v>13.584064712500002</c:v>
                </c:pt>
                <c:pt idx="33">
                  <c:v>12.083802577499998</c:v>
                </c:pt>
                <c:pt idx="34">
                  <c:v>14.768044275000001</c:v>
                </c:pt>
                <c:pt idx="35">
                  <c:v>14.6079875</c:v>
                </c:pt>
                <c:pt idx="36">
                  <c:v>16.777196455000002</c:v>
                </c:pt>
                <c:pt idx="37">
                  <c:v>18.561354492500001</c:v>
                </c:pt>
                <c:pt idx="38">
                  <c:v>24.059927612500001</c:v>
                </c:pt>
                <c:pt idx="39">
                  <c:v>20.219000432500003</c:v>
                </c:pt>
                <c:pt idx="40">
                  <c:v>378.17861547749999</c:v>
                </c:pt>
                <c:pt idx="41">
                  <c:v>23.9135478275</c:v>
                </c:pt>
                <c:pt idx="42">
                  <c:v>9.7057670099999989</c:v>
                </c:pt>
                <c:pt idx="43">
                  <c:v>27.255888474999999</c:v>
                </c:pt>
                <c:pt idx="44">
                  <c:v>52.720985349999999</c:v>
                </c:pt>
                <c:pt idx="45">
                  <c:v>38.949332497500002</c:v>
                </c:pt>
                <c:pt idx="46">
                  <c:v>40.466045890000004</c:v>
                </c:pt>
                <c:pt idx="47">
                  <c:v>62.75949</c:v>
                </c:pt>
                <c:pt idx="48">
                  <c:v>72.3474614</c:v>
                </c:pt>
                <c:pt idx="49">
                  <c:v>65.70272180500001</c:v>
                </c:pt>
                <c:pt idx="50">
                  <c:v>61.9998369475</c:v>
                </c:pt>
                <c:pt idx="51">
                  <c:v>85.550378749999993</c:v>
                </c:pt>
                <c:pt idx="52">
                  <c:v>96.643174674999997</c:v>
                </c:pt>
                <c:pt idx="53">
                  <c:v>98.50874675</c:v>
                </c:pt>
                <c:pt idx="54">
                  <c:v>119.12282750000001</c:v>
                </c:pt>
                <c:pt idx="55">
                  <c:v>155.8943597375</c:v>
                </c:pt>
                <c:pt idx="56">
                  <c:v>31.047562005</c:v>
                </c:pt>
                <c:pt idx="57">
                  <c:v>210.44621342500002</c:v>
                </c:pt>
                <c:pt idx="58">
                  <c:v>211.23782075</c:v>
                </c:pt>
                <c:pt idx="59">
                  <c:v>624.43300392000003</c:v>
                </c:pt>
                <c:pt idx="60">
                  <c:v>580.23964099999989</c:v>
                </c:pt>
                <c:pt idx="61">
                  <c:v>541.97623009500001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Empresa'!$M$7:$M$69</c:f>
              <c:strCache>
                <c:ptCount val="63"/>
                <c:pt idx="0">
                  <c:v>HYDRO PATAPO</c:v>
                </c:pt>
                <c:pt idx="1">
                  <c:v>COLCA SOLAR</c:v>
                </c:pt>
                <c:pt idx="2">
                  <c:v>ATRIA</c:v>
                </c:pt>
                <c:pt idx="3">
                  <c:v>MAJES</c:v>
                </c:pt>
                <c:pt idx="4">
                  <c:v>SAN JACINTO</c:v>
                </c:pt>
                <c:pt idx="5">
                  <c:v>TACNA SOLAR</c:v>
                </c:pt>
                <c:pt idx="6">
                  <c:v>SHOUGESA</c:v>
                </c:pt>
                <c:pt idx="7">
                  <c:v>SAMAY I</c:v>
                </c:pt>
                <c:pt idx="8">
                  <c:v>PLANTA  ETEN</c:v>
                </c:pt>
                <c:pt idx="9">
                  <c:v>PANAMERICANA SOLAR</c:v>
                </c:pt>
                <c:pt idx="10">
                  <c:v>MOQUEGUA FV</c:v>
                </c:pt>
                <c:pt idx="11">
                  <c:v>IYEPSA</c:v>
                </c:pt>
                <c:pt idx="12">
                  <c:v>HIDROELECTRICA HUANCHOR</c:v>
                </c:pt>
                <c:pt idx="13">
                  <c:v>FENIX POWER</c:v>
                </c:pt>
                <c:pt idx="14">
                  <c:v>CERRO VERDE</c:v>
                </c:pt>
                <c:pt idx="15">
                  <c:v>AGROAURORA</c:v>
                </c:pt>
                <c:pt idx="16">
                  <c:v>REPARTICION</c:v>
                </c:pt>
                <c:pt idx="17">
                  <c:v>CENTRALES SANTA ROSA</c:v>
                </c:pt>
                <c:pt idx="18">
                  <c:v>EGECSAC</c:v>
                </c:pt>
                <c:pt idx="19">
                  <c:v>HIDROCAÑETE</c:v>
                </c:pt>
                <c:pt idx="20">
                  <c:v>SDF ENERGIA</c:v>
                </c:pt>
                <c:pt idx="21">
                  <c:v>ELECTRICA YANAPAMPA</c:v>
                </c:pt>
                <c:pt idx="22">
                  <c:v>MAJA ENERGIA</c:v>
                </c:pt>
                <c:pt idx="23">
                  <c:v>P.E. MARCONA</c:v>
                </c:pt>
                <c:pt idx="24">
                  <c:v>GR PAINO</c:v>
                </c:pt>
                <c:pt idx="25">
                  <c:v>PETRAMAS</c:v>
                </c:pt>
                <c:pt idx="26">
                  <c:v>INVERSION DE ENERGÍA RENOVABLES</c:v>
                </c:pt>
                <c:pt idx="27">
                  <c:v>GR TARUCA</c:v>
                </c:pt>
                <c:pt idx="28">
                  <c:v>BIOENERGIA</c:v>
                </c:pt>
                <c:pt idx="29">
                  <c:v>ANDEAN POWER</c:v>
                </c:pt>
                <c:pt idx="30">
                  <c:v>AIPSA</c:v>
                </c:pt>
                <c:pt idx="31">
                  <c:v>P.E. TRES HERMANAS</c:v>
                </c:pt>
                <c:pt idx="32">
                  <c:v>RIO BAÑOS</c:v>
                </c:pt>
                <c:pt idx="33">
                  <c:v>HUAURA POWER</c:v>
                </c:pt>
                <c:pt idx="34">
                  <c:v>AGUA AZUL</c:v>
                </c:pt>
                <c:pt idx="35">
                  <c:v>RIO DOBLE</c:v>
                </c:pt>
                <c:pt idx="36">
                  <c:v>CELEPSA RENOVABLES</c:v>
                </c:pt>
                <c:pt idx="37">
                  <c:v>SANTA ANA</c:v>
                </c:pt>
                <c:pt idx="38">
                  <c:v>SINERSA</c:v>
                </c:pt>
                <c:pt idx="39">
                  <c:v>GENERACIÓN ANDINA</c:v>
                </c:pt>
                <c:pt idx="40">
                  <c:v>EGESUR</c:v>
                </c:pt>
                <c:pt idx="41">
                  <c:v>EMGE HUANZA</c:v>
                </c:pt>
                <c:pt idx="42">
                  <c:v>GEPSA</c:v>
                </c:pt>
                <c:pt idx="43">
                  <c:v>ENERGÍA EÓLICA</c:v>
                </c:pt>
                <c:pt idx="44">
                  <c:v>TERMOSELVA</c:v>
                </c:pt>
                <c:pt idx="45">
                  <c:v>EMGE JUNÍN</c:v>
                </c:pt>
                <c:pt idx="46">
                  <c:v>LA VIRGEN</c:v>
                </c:pt>
                <c:pt idx="47">
                  <c:v>ENEL GENERACION PIURA</c:v>
                </c:pt>
                <c:pt idx="48">
                  <c:v>INLAND</c:v>
                </c:pt>
                <c:pt idx="49">
                  <c:v>SAN GABAN</c:v>
                </c:pt>
                <c:pt idx="50">
                  <c:v>ENEL GREEN POWER PERU</c:v>
                </c:pt>
                <c:pt idx="51">
                  <c:v>EGASA</c:v>
                </c:pt>
                <c:pt idx="52">
                  <c:v>CELEPSA</c:v>
                </c:pt>
                <c:pt idx="53">
                  <c:v>EGEMSA</c:v>
                </c:pt>
                <c:pt idx="54">
                  <c:v>CHINANGO</c:v>
                </c:pt>
                <c:pt idx="55">
                  <c:v>TERMOCHILCA</c:v>
                </c:pt>
                <c:pt idx="56">
                  <c:v>ORAZUL ENERGY PERÚ</c:v>
                </c:pt>
                <c:pt idx="57">
                  <c:v>STATKRAFT</c:v>
                </c:pt>
                <c:pt idx="58">
                  <c:v>EMGE HUALLAGA</c:v>
                </c:pt>
                <c:pt idx="59">
                  <c:v>ENEL GENERACION PERU</c:v>
                </c:pt>
                <c:pt idx="60">
                  <c:v>ELECTROPERU</c:v>
                </c:pt>
                <c:pt idx="61">
                  <c:v>ENGIE</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2.2000000000000001E-4</c:v>
                </c:pt>
                <c:pt idx="17">
                  <c:v>2.5550800000000002</c:v>
                </c:pt>
                <c:pt idx="18">
                  <c:v>2.7425100000000002</c:v>
                </c:pt>
                <c:pt idx="19">
                  <c:v>2.8</c:v>
                </c:pt>
                <c:pt idx="20">
                  <c:v>3.04087</c:v>
                </c:pt>
                <c:pt idx="21">
                  <c:v>3.6019999999999999</c:v>
                </c:pt>
                <c:pt idx="22">
                  <c:v>3.7410399999999999</c:v>
                </c:pt>
                <c:pt idx="23">
                  <c:v>3.9351099999999999</c:v>
                </c:pt>
                <c:pt idx="24">
                  <c:v>5.7991200000000003</c:v>
                </c:pt>
                <c:pt idx="25">
                  <c:v>7.4326000000000008</c:v>
                </c:pt>
                <c:pt idx="26">
                  <c:v>7.5263600000000004</c:v>
                </c:pt>
                <c:pt idx="27">
                  <c:v>10.4338</c:v>
                </c:pt>
                <c:pt idx="28">
                  <c:v>10.4375</c:v>
                </c:pt>
                <c:pt idx="29">
                  <c:v>11.91587</c:v>
                </c:pt>
                <c:pt idx="30">
                  <c:v>13.32072</c:v>
                </c:pt>
                <c:pt idx="31">
                  <c:v>17.19483</c:v>
                </c:pt>
                <c:pt idx="32">
                  <c:v>17.395849999999999</c:v>
                </c:pt>
                <c:pt idx="33">
                  <c:v>18.512</c:v>
                </c:pt>
                <c:pt idx="34">
                  <c:v>18.677119999999999</c:v>
                </c:pt>
                <c:pt idx="35">
                  <c:v>18.87613</c:v>
                </c:pt>
                <c:pt idx="36">
                  <c:v>19.721080000000001</c:v>
                </c:pt>
                <c:pt idx="37">
                  <c:v>20.11383</c:v>
                </c:pt>
                <c:pt idx="38">
                  <c:v>27.228339999999999</c:v>
                </c:pt>
                <c:pt idx="39">
                  <c:v>28.14573</c:v>
                </c:pt>
                <c:pt idx="40">
                  <c:v>28.453870000000006</c:v>
                </c:pt>
                <c:pt idx="41">
                  <c:v>41.208109999999998</c:v>
                </c:pt>
                <c:pt idx="42">
                  <c:v>47.708629999999999</c:v>
                </c:pt>
                <c:pt idx="43">
                  <c:v>54.015569999999997</c:v>
                </c:pt>
                <c:pt idx="44">
                  <c:v>61.781999999999996</c:v>
                </c:pt>
                <c:pt idx="45">
                  <c:v>66.907709999999994</c:v>
                </c:pt>
                <c:pt idx="46">
                  <c:v>73.706000000000003</c:v>
                </c:pt>
                <c:pt idx="47">
                  <c:v>86.671000000000006</c:v>
                </c:pt>
                <c:pt idx="48">
                  <c:v>91.655389999999997</c:v>
                </c:pt>
                <c:pt idx="49">
                  <c:v>113.46235</c:v>
                </c:pt>
                <c:pt idx="50">
                  <c:v>113.498</c:v>
                </c:pt>
                <c:pt idx="51">
                  <c:v>122.64256999999996</c:v>
                </c:pt>
                <c:pt idx="52">
                  <c:v>131.483</c:v>
                </c:pt>
                <c:pt idx="53">
                  <c:v>168.52100000000002</c:v>
                </c:pt>
                <c:pt idx="54">
                  <c:v>191.751</c:v>
                </c:pt>
                <c:pt idx="55">
                  <c:v>288.74909000000002</c:v>
                </c:pt>
                <c:pt idx="56">
                  <c:v>327.85599999999999</c:v>
                </c:pt>
                <c:pt idx="57">
                  <c:v>405.17062999999996</c:v>
                </c:pt>
                <c:pt idx="58">
                  <c:v>467.40625999999997</c:v>
                </c:pt>
                <c:pt idx="59">
                  <c:v>711.58900000000006</c:v>
                </c:pt>
                <c:pt idx="60">
                  <c:v>813.5265599999999</c:v>
                </c:pt>
                <c:pt idx="61">
                  <c:v>969.97019999999986</c:v>
                </c:pt>
                <c:pt idx="62">
                  <c:v>1689.8150400000002</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Empresa'!$M$7:$M$69</c:f>
              <c:strCache>
                <c:ptCount val="63"/>
                <c:pt idx="0">
                  <c:v>HYDRO PATAPO</c:v>
                </c:pt>
                <c:pt idx="1">
                  <c:v>COLCA SOLAR</c:v>
                </c:pt>
                <c:pt idx="2">
                  <c:v>ATRIA</c:v>
                </c:pt>
                <c:pt idx="3">
                  <c:v>MAJES</c:v>
                </c:pt>
                <c:pt idx="4">
                  <c:v>SAN JACINTO</c:v>
                </c:pt>
                <c:pt idx="5">
                  <c:v>TACNA SOLAR</c:v>
                </c:pt>
                <c:pt idx="6">
                  <c:v>SHOUGESA</c:v>
                </c:pt>
                <c:pt idx="7">
                  <c:v>SAMAY I</c:v>
                </c:pt>
                <c:pt idx="8">
                  <c:v>PLANTA  ETEN</c:v>
                </c:pt>
                <c:pt idx="9">
                  <c:v>PANAMERICANA SOLAR</c:v>
                </c:pt>
                <c:pt idx="10">
                  <c:v>MOQUEGUA FV</c:v>
                </c:pt>
                <c:pt idx="11">
                  <c:v>IYEPSA</c:v>
                </c:pt>
                <c:pt idx="12">
                  <c:v>HIDROELECTRICA HUANCHOR</c:v>
                </c:pt>
                <c:pt idx="13">
                  <c:v>FENIX POWER</c:v>
                </c:pt>
                <c:pt idx="14">
                  <c:v>CERRO VERDE</c:v>
                </c:pt>
                <c:pt idx="15">
                  <c:v>AGROAURORA</c:v>
                </c:pt>
                <c:pt idx="16">
                  <c:v>REPARTICION</c:v>
                </c:pt>
                <c:pt idx="17">
                  <c:v>CENTRALES SANTA ROSA</c:v>
                </c:pt>
                <c:pt idx="18">
                  <c:v>EGECSAC</c:v>
                </c:pt>
                <c:pt idx="19">
                  <c:v>HIDROCAÑETE</c:v>
                </c:pt>
                <c:pt idx="20">
                  <c:v>SDF ENERGIA</c:v>
                </c:pt>
                <c:pt idx="21">
                  <c:v>ELECTRICA YANAPAMPA</c:v>
                </c:pt>
                <c:pt idx="22">
                  <c:v>MAJA ENERGIA</c:v>
                </c:pt>
                <c:pt idx="23">
                  <c:v>P.E. MARCONA</c:v>
                </c:pt>
                <c:pt idx="24">
                  <c:v>GR PAINO</c:v>
                </c:pt>
                <c:pt idx="25">
                  <c:v>PETRAMAS</c:v>
                </c:pt>
                <c:pt idx="26">
                  <c:v>INVERSION DE ENERGÍA RENOVABLES</c:v>
                </c:pt>
                <c:pt idx="27">
                  <c:v>GR TARUCA</c:v>
                </c:pt>
                <c:pt idx="28">
                  <c:v>BIOENERGIA</c:v>
                </c:pt>
                <c:pt idx="29">
                  <c:v>ANDEAN POWER</c:v>
                </c:pt>
                <c:pt idx="30">
                  <c:v>AIPSA</c:v>
                </c:pt>
                <c:pt idx="31">
                  <c:v>P.E. TRES HERMANAS</c:v>
                </c:pt>
                <c:pt idx="32">
                  <c:v>RIO BAÑOS</c:v>
                </c:pt>
                <c:pt idx="33">
                  <c:v>HUAURA POWER</c:v>
                </c:pt>
                <c:pt idx="34">
                  <c:v>AGUA AZUL</c:v>
                </c:pt>
                <c:pt idx="35">
                  <c:v>RIO DOBLE</c:v>
                </c:pt>
                <c:pt idx="36">
                  <c:v>CELEPSA RENOVABLES</c:v>
                </c:pt>
                <c:pt idx="37">
                  <c:v>SANTA ANA</c:v>
                </c:pt>
                <c:pt idx="38">
                  <c:v>SINERSA</c:v>
                </c:pt>
                <c:pt idx="39">
                  <c:v>GENERACIÓN ANDINA</c:v>
                </c:pt>
                <c:pt idx="40">
                  <c:v>EGESUR</c:v>
                </c:pt>
                <c:pt idx="41">
                  <c:v>EMGE HUANZA</c:v>
                </c:pt>
                <c:pt idx="42">
                  <c:v>GEPSA</c:v>
                </c:pt>
                <c:pt idx="43">
                  <c:v>ENERGÍA EÓLICA</c:v>
                </c:pt>
                <c:pt idx="44">
                  <c:v>TERMOSELVA</c:v>
                </c:pt>
                <c:pt idx="45">
                  <c:v>EMGE JUNÍN</c:v>
                </c:pt>
                <c:pt idx="46">
                  <c:v>LA VIRGEN</c:v>
                </c:pt>
                <c:pt idx="47">
                  <c:v>ENEL GENERACION PIURA</c:v>
                </c:pt>
                <c:pt idx="48">
                  <c:v>INLAND</c:v>
                </c:pt>
                <c:pt idx="49">
                  <c:v>SAN GABAN</c:v>
                </c:pt>
                <c:pt idx="50">
                  <c:v>ENEL GREEN POWER PERU</c:v>
                </c:pt>
                <c:pt idx="51">
                  <c:v>EGASA</c:v>
                </c:pt>
                <c:pt idx="52">
                  <c:v>CELEPSA</c:v>
                </c:pt>
                <c:pt idx="53">
                  <c:v>EGEMSA</c:v>
                </c:pt>
                <c:pt idx="54">
                  <c:v>CHINANGO</c:v>
                </c:pt>
                <c:pt idx="55">
                  <c:v>TERMOCHILCA</c:v>
                </c:pt>
                <c:pt idx="56">
                  <c:v>ORAZUL ENERGY PERÚ</c:v>
                </c:pt>
                <c:pt idx="57">
                  <c:v>STATKRAFT</c:v>
                </c:pt>
                <c:pt idx="58">
                  <c:v>EMGE HUALLAGA</c:v>
                </c:pt>
                <c:pt idx="59">
                  <c:v>ENEL GENERACION PERU</c:v>
                </c:pt>
                <c:pt idx="60">
                  <c:v>ELECTROPERU</c:v>
                </c:pt>
                <c:pt idx="61">
                  <c:v>ENGIE</c:v>
                </c:pt>
                <c:pt idx="62">
                  <c:v>KALLPA</c:v>
                </c:pt>
              </c:strCache>
            </c:strRef>
          </c:cat>
          <c:val>
            <c:numRef>
              <c:f>'9. Pot. Empresa'!$O$7:$O$69</c:f>
              <c:numCache>
                <c:formatCode>0</c:formatCode>
                <c:ptCount val="63"/>
                <c:pt idx="0">
                  <c:v>0.72</c:v>
                </c:pt>
                <c:pt idx="1">
                  <c:v>0</c:v>
                </c:pt>
                <c:pt idx="2">
                  <c:v>0</c:v>
                </c:pt>
                <c:pt idx="3">
                  <c:v>0</c:v>
                </c:pt>
                <c:pt idx="4">
                  <c:v>0</c:v>
                </c:pt>
                <c:pt idx="5">
                  <c:v>0</c:v>
                </c:pt>
                <c:pt idx="6">
                  <c:v>0</c:v>
                </c:pt>
                <c:pt idx="7">
                  <c:v>0</c:v>
                </c:pt>
                <c:pt idx="8">
                  <c:v>0</c:v>
                </c:pt>
                <c:pt idx="9">
                  <c:v>0</c:v>
                </c:pt>
                <c:pt idx="10">
                  <c:v>0</c:v>
                </c:pt>
                <c:pt idx="11">
                  <c:v>0</c:v>
                </c:pt>
                <c:pt idx="12">
                  <c:v>19.114570000000001</c:v>
                </c:pt>
                <c:pt idx="13">
                  <c:v>566.63325000000009</c:v>
                </c:pt>
                <c:pt idx="14">
                  <c:v>0</c:v>
                </c:pt>
                <c:pt idx="15">
                  <c:v>18.309740000000001</c:v>
                </c:pt>
                <c:pt idx="16">
                  <c:v>0</c:v>
                </c:pt>
                <c:pt idx="17">
                  <c:v>2.0614499999999998</c:v>
                </c:pt>
                <c:pt idx="18">
                  <c:v>2.4933199999999998</c:v>
                </c:pt>
                <c:pt idx="19">
                  <c:v>0</c:v>
                </c:pt>
                <c:pt idx="20">
                  <c:v>0</c:v>
                </c:pt>
                <c:pt idx="21">
                  <c:v>3.1509999999999998</c:v>
                </c:pt>
                <c:pt idx="22">
                  <c:v>1.9670000000000001</c:v>
                </c:pt>
                <c:pt idx="23">
                  <c:v>3.1380599999999998</c:v>
                </c:pt>
                <c:pt idx="24">
                  <c:v>2.9041399999999999</c:v>
                </c:pt>
                <c:pt idx="25">
                  <c:v>8.3617799999999995</c:v>
                </c:pt>
                <c:pt idx="26">
                  <c:v>0</c:v>
                </c:pt>
                <c:pt idx="27">
                  <c:v>1.7532000000000001</c:v>
                </c:pt>
                <c:pt idx="28">
                  <c:v>9.0587599999999995</c:v>
                </c:pt>
                <c:pt idx="29">
                  <c:v>11.69773</c:v>
                </c:pt>
                <c:pt idx="30">
                  <c:v>0</c:v>
                </c:pt>
                <c:pt idx="31">
                  <c:v>11.430680000000001</c:v>
                </c:pt>
                <c:pt idx="32">
                  <c:v>13.17625</c:v>
                </c:pt>
                <c:pt idx="33">
                  <c:v>18.378430000000002</c:v>
                </c:pt>
                <c:pt idx="34">
                  <c:v>10.046860000000001</c:v>
                </c:pt>
                <c:pt idx="35">
                  <c:v>14.582840000000001</c:v>
                </c:pt>
                <c:pt idx="36">
                  <c:v>19.828009999999999</c:v>
                </c:pt>
                <c:pt idx="37">
                  <c:v>20.015000000000001</c:v>
                </c:pt>
                <c:pt idx="38">
                  <c:v>25.91872</c:v>
                </c:pt>
                <c:pt idx="39">
                  <c:v>15.47986</c:v>
                </c:pt>
                <c:pt idx="40">
                  <c:v>47.310569999999998</c:v>
                </c:pt>
                <c:pt idx="41">
                  <c:v>46.882770000000001</c:v>
                </c:pt>
                <c:pt idx="42">
                  <c:v>26.798539999999999</c:v>
                </c:pt>
                <c:pt idx="43">
                  <c:v>87.759799999999998</c:v>
                </c:pt>
                <c:pt idx="44">
                  <c:v>86.416169999999994</c:v>
                </c:pt>
                <c:pt idx="45">
                  <c:v>25.859540000000003</c:v>
                </c:pt>
                <c:pt idx="46">
                  <c:v>36.260019999999997</c:v>
                </c:pt>
                <c:pt idx="47">
                  <c:v>105.373</c:v>
                </c:pt>
                <c:pt idx="48">
                  <c:v>86.90379999999999</c:v>
                </c:pt>
                <c:pt idx="49">
                  <c:v>97.521780000000007</c:v>
                </c:pt>
                <c:pt idx="50">
                  <c:v>77.456999999999994</c:v>
                </c:pt>
                <c:pt idx="51">
                  <c:v>122.08637999999999</c:v>
                </c:pt>
                <c:pt idx="52">
                  <c:v>95.272500000000008</c:v>
                </c:pt>
                <c:pt idx="53">
                  <c:v>156.56699999999998</c:v>
                </c:pt>
                <c:pt idx="54">
                  <c:v>79.022999999999996</c:v>
                </c:pt>
                <c:pt idx="55">
                  <c:v>197.02189000000001</c:v>
                </c:pt>
                <c:pt idx="56">
                  <c:v>237.09399999999999</c:v>
                </c:pt>
                <c:pt idx="57">
                  <c:v>231.82942000000003</c:v>
                </c:pt>
                <c:pt idx="58">
                  <c:v>460.85230999999999</c:v>
                </c:pt>
                <c:pt idx="59">
                  <c:v>1144.3260000000002</c:v>
                </c:pt>
                <c:pt idx="60">
                  <c:v>860.88816000000008</c:v>
                </c:pt>
                <c:pt idx="61">
                  <c:v>1083.2693999999999</c:v>
                </c:pt>
                <c:pt idx="62">
                  <c:v>715.96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'12.Caudales'!$J$4:$K$181</c:f>
              <c:multiLvlStrCache>
                <c:ptCount val="17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7">
                    <c:v>22</c:v>
                  </c:pt>
                </c:lvl>
                <c:lvl>
                  <c:pt idx="0">
                    <c:v>2020</c:v>
                  </c:pt>
                  <c:pt idx="52">
                    <c:v>2021</c:v>
                  </c:pt>
                  <c:pt idx="104">
                    <c:v>2022</c:v>
                  </c:pt>
                  <c:pt idx="156">
                    <c:v>2023</c:v>
                  </c:pt>
                </c:lvl>
              </c:multiLvlStrCache>
            </c:multiLvlStrRef>
          </c:cat>
          <c:val>
            <c:numRef>
              <c:f>'12.Caudales'!$N$4:$N$181</c:f>
              <c:numCache>
                <c:formatCode>0.0</c:formatCode>
                <c:ptCount val="178"/>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'12.Caudales'!$J$4:$K$181</c:f>
              <c:multiLvlStrCache>
                <c:ptCount val="17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7">
                    <c:v>22</c:v>
                  </c:pt>
                </c:lvl>
                <c:lvl>
                  <c:pt idx="0">
                    <c:v>2020</c:v>
                  </c:pt>
                  <c:pt idx="52">
                    <c:v>2021</c:v>
                  </c:pt>
                  <c:pt idx="104">
                    <c:v>2022</c:v>
                  </c:pt>
                  <c:pt idx="156">
                    <c:v>2023</c:v>
                  </c:pt>
                </c:lvl>
              </c:multiLvlStrCache>
            </c:multiLvlStrRef>
          </c:cat>
          <c:val>
            <c:numRef>
              <c:f>'12.Caudales'!$O$4:$O$181</c:f>
              <c:numCache>
                <c:formatCode>0.0</c:formatCode>
                <c:ptCount val="178"/>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'12.Caudales'!$J$4:$K$181</c:f>
              <c:multiLvlStrCache>
                <c:ptCount val="178"/>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pt idx="177">
                    <c:v>22</c:v>
                  </c:pt>
                </c:lvl>
                <c:lvl>
                  <c:pt idx="0">
                    <c:v>2020</c:v>
                  </c:pt>
                  <c:pt idx="52">
                    <c:v>2021</c:v>
                  </c:pt>
                  <c:pt idx="104">
                    <c:v>2022</c:v>
                  </c:pt>
                  <c:pt idx="156">
                    <c:v>2023</c:v>
                  </c:pt>
                </c:lvl>
              </c:multiLvlStrCache>
            </c:multiLvlStrRef>
          </c:cat>
          <c:val>
            <c:numRef>
              <c:f>'12.Caudales'!$M$4:$M$181</c:f>
              <c:numCache>
                <c:formatCode>0.0</c:formatCode>
                <c:ptCount val="178"/>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2616.8815129024993</c:v>
                </c:pt>
                <c:pt idx="1">
                  <c:v>1717.6699561725002</c:v>
                </c:pt>
                <c:pt idx="2">
                  <c:v>0</c:v>
                </c:pt>
                <c:pt idx="3">
                  <c:v>1.9145844374999998</c:v>
                </c:pt>
                <c:pt idx="4">
                  <c:v>24.512633592500002</c:v>
                </c:pt>
                <c:pt idx="5">
                  <c:v>171.76328389</c:v>
                </c:pt>
                <c:pt idx="6">
                  <c:v>62.212973372500002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2130.8967148099996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23.049385517499996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20.270959267499997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224.23503268000002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57.958463240000007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'13.Caudales'!$Q$4:$Q$181</c:f>
              <c:numCache>
                <c:formatCode>_(* #,##0.00_);_(* \(#,##0.00\);_(* "-"??_);_(@_)</c:formatCode>
                <c:ptCount val="178"/>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'13.Caudales'!$R$4:$R$181</c:f>
              <c:numCache>
                <c:formatCode>_(* #,##0.00_);_(* \(#,##0.00\);_(* "-"??_);_(@_)</c:formatCode>
                <c:ptCount val="178"/>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'13.Caudales'!$S$4:$S$181</c:f>
              <c:numCache>
                <c:formatCode>_(* #,##0.00_);_(* \(#,##0.00\);_(* "-"??_);_(@_)</c:formatCode>
                <c:ptCount val="178"/>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'13.Caudales'!$T$4:$T$181</c:f>
              <c:numCache>
                <c:formatCode>_(* #,##0.00_);_(* \(#,##0.00\);_(* "-"??_);_(@_)</c:formatCode>
                <c:ptCount val="178"/>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'13.Caudales'!$U$4:$U$181</c:f>
              <c:numCache>
                <c:formatCode>_(* #,##0.00_);_(* \(#,##0.00\);_(* "-"??_);_(@_)</c:formatCode>
                <c:ptCount val="178"/>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'13.Caudales'!$V$4:$V$181</c:f>
              <c:numCache>
                <c:formatCode>_(* #,##0.00_);_(* \(#,##0.00\);_(* "-"??_);_(@_)</c:formatCode>
                <c:ptCount val="178"/>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'13.Caudales'!$N$4:$O$181</c:f>
              <c:multiLvlStrCache>
                <c:ptCount val="178"/>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pt idx="177">
                    <c:v>22</c:v>
                  </c:pt>
                </c:lvl>
                <c:lvl>
                  <c:pt idx="0">
                    <c:v>2020</c:v>
                  </c:pt>
                  <c:pt idx="52">
                    <c:v>2021</c:v>
                  </c:pt>
                  <c:pt idx="104">
                    <c:v>2022</c:v>
                  </c:pt>
                  <c:pt idx="156">
                    <c:v>2023</c:v>
                  </c:pt>
                </c:lvl>
              </c:multiLvlStrCache>
            </c:multiLvlStrRef>
          </c:cat>
          <c:val>
            <c:numRef>
              <c:f>'13.Caudales'!$W$4:$W$181</c:f>
              <c:numCache>
                <c:formatCode>_(* #,##0.00_);_(* \(#,##0.00\);_(* "-"??_);_(@_)</c:formatCode>
                <c:ptCount val="178"/>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'13.Caudales'!$Y$4:$Y$181</c:f>
              <c:numCache>
                <c:formatCode>_(* #,##0.00_);_(* \(#,##0.00\);_(* "-"??_);_(@_)</c:formatCode>
                <c:ptCount val="178"/>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'13.Caudales'!$X$4:$X$181</c:f>
              <c:numCache>
                <c:formatCode>_(* #,##0.00_);_(* \(#,##0.00\);_(* "-"??_);_(@_)</c:formatCode>
                <c:ptCount val="178"/>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61.980025514636637</c:v>
                </c:pt>
                <c:pt idx="1">
                  <c:v>60.848486275501941</c:v>
                </c:pt>
                <c:pt idx="2">
                  <c:v>60.105818082045602</c:v>
                </c:pt>
                <c:pt idx="3">
                  <c:v>59.640232208564775</c:v>
                </c:pt>
                <c:pt idx="4">
                  <c:v>59.717980764274664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57.619654426796146</c:v>
                </c:pt>
                <c:pt idx="1">
                  <c:v>57.268981194294525</c:v>
                </c:pt>
                <c:pt idx="2">
                  <c:v>57.878006661110632</c:v>
                </c:pt>
                <c:pt idx="3">
                  <c:v>56.658802444725218</c:v>
                </c:pt>
                <c:pt idx="4">
                  <c:v>57.843666214744097</c:v>
                </c:pt>
                <c:pt idx="5">
                  <c:v>56.463529416209596</c:v>
                </c:pt>
                <c:pt idx="6">
                  <c:v>55.843936450503058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64.365560904399885</c:v>
                </c:pt>
                <c:pt idx="1">
                  <c:v>62.479299586991132</c:v>
                </c:pt>
                <c:pt idx="2">
                  <c:v>62.543526261148415</c:v>
                </c:pt>
                <c:pt idx="3">
                  <c:v>63.638416959065673</c:v>
                </c:pt>
                <c:pt idx="4">
                  <c:v>59.977720993002848</c:v>
                </c:pt>
                <c:pt idx="5">
                  <c:v>59.6329037350405</c:v>
                </c:pt>
                <c:pt idx="6">
                  <c:v>59.00624119499544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71126778080022"/>
        </c:manualLayout>
      </c:layout>
      <c:barChart>
        <c:barDir val="col"/>
        <c:grouping val="clustered"/>
        <c:varyColors val="0"/>
        <c:ser>
          <c:idx val="0"/>
          <c:order val="0"/>
          <c:tx>
            <c:strRef>
              <c:f>'16. Congestiones'!$D$6</c:f>
              <c:strCache>
                <c:ptCount val="1"/>
                <c:pt idx="0">
                  <c:v>MAYO
 2023</c:v>
                </c:pt>
              </c:strCache>
            </c:strRef>
          </c:tx>
          <c:spPr>
            <a:solidFill>
              <a:schemeClr val="accent1"/>
            </a:solidFill>
            <a:ln>
              <a:noFill/>
            </a:ln>
            <a:effectLst/>
          </c:spPr>
          <c:invertIfNegative val="0"/>
          <c:cat>
            <c:strRef>
              <c:f>'16. Congestiones'!$C$7:$C$19</c:f>
              <c:strCache>
                <c:ptCount val="13"/>
                <c:pt idx="0">
                  <c:v>CARHUAQUERO - CHICLAYO OESTE</c:v>
                </c:pt>
                <c:pt idx="1">
                  <c:v>SAN JUAN - LOS INDUSTRIALES</c:v>
                </c:pt>
                <c:pt idx="2">
                  <c:v>SAN JUAN - SANTA ROSA N.</c:v>
                </c:pt>
                <c:pt idx="3">
                  <c:v>SANTA ROSA N. - CHAVARRÍA</c:v>
                </c:pt>
                <c:pt idx="4">
                  <c:v>SANTA ROSA N. - LOS INDUSTRIALES</c:v>
                </c:pt>
                <c:pt idx="5">
                  <c:v>TINGO MARÍA - AUCAYACU</c:v>
                </c:pt>
                <c:pt idx="6">
                  <c:v>INDEPENDENCIA</c:v>
                </c:pt>
                <c:pt idx="7">
                  <c:v>MARCONA - SAN NICOLÁS</c:v>
                </c:pt>
                <c:pt idx="8">
                  <c:v>MARCONA</c:v>
                </c:pt>
                <c:pt idx="9">
                  <c:v>INDEPENDENCIA</c:v>
                </c:pt>
                <c:pt idx="10">
                  <c:v>CHILCA-CTM</c:v>
                </c:pt>
                <c:pt idx="11">
                  <c:v>CHILCA - ASIA</c:v>
                </c:pt>
                <c:pt idx="12">
                  <c:v>AZÁNGARO - SAN GABÁN II</c:v>
                </c:pt>
              </c:strCache>
            </c:strRef>
          </c:cat>
          <c:val>
            <c:numRef>
              <c:f>'16. Congestiones'!$D$7:$D$19</c:f>
              <c:numCache>
                <c:formatCode>#,##0.00</c:formatCode>
                <c:ptCount val="13"/>
                <c:pt idx="0">
                  <c:v>3.2500000000000004</c:v>
                </c:pt>
                <c:pt idx="1">
                  <c:v>1.3499999999999992</c:v>
                </c:pt>
                <c:pt idx="2">
                  <c:v>4.8166666666666673</c:v>
                </c:pt>
                <c:pt idx="3">
                  <c:v>3</c:v>
                </c:pt>
                <c:pt idx="4">
                  <c:v>1.3499999999999992</c:v>
                </c:pt>
                <c:pt idx="8">
                  <c:v>17.833333333333332</c:v>
                </c:pt>
                <c:pt idx="10">
                  <c:v>4.8833333333333337</c:v>
                </c:pt>
                <c:pt idx="11">
                  <c:v>9.1833333333333336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MAYO
 2022</c:v>
                </c:pt>
              </c:strCache>
            </c:strRef>
          </c:tx>
          <c:spPr>
            <a:solidFill>
              <a:schemeClr val="accent2"/>
            </a:solidFill>
            <a:ln>
              <a:noFill/>
            </a:ln>
            <a:effectLst/>
          </c:spPr>
          <c:invertIfNegative val="0"/>
          <c:cat>
            <c:strRef>
              <c:f>'16. Congestiones'!$C$7:$C$19</c:f>
              <c:strCache>
                <c:ptCount val="13"/>
                <c:pt idx="0">
                  <c:v>CARHUAQUERO - CHICLAYO OESTE</c:v>
                </c:pt>
                <c:pt idx="1">
                  <c:v>SAN JUAN - LOS INDUSTRIALES</c:v>
                </c:pt>
                <c:pt idx="2">
                  <c:v>SAN JUAN - SANTA ROSA N.</c:v>
                </c:pt>
                <c:pt idx="3">
                  <c:v>SANTA ROSA N. - CHAVARRÍA</c:v>
                </c:pt>
                <c:pt idx="4">
                  <c:v>SANTA ROSA N. - LOS INDUSTRIALES</c:v>
                </c:pt>
                <c:pt idx="5">
                  <c:v>TINGO MARÍA - AUCAYACU</c:v>
                </c:pt>
                <c:pt idx="6">
                  <c:v>INDEPENDENCIA</c:v>
                </c:pt>
                <c:pt idx="7">
                  <c:v>MARCONA - SAN NICOLÁS</c:v>
                </c:pt>
                <c:pt idx="8">
                  <c:v>MARCONA</c:v>
                </c:pt>
                <c:pt idx="9">
                  <c:v>INDEPENDENCIA</c:v>
                </c:pt>
                <c:pt idx="10">
                  <c:v>CHILCA-CTM</c:v>
                </c:pt>
                <c:pt idx="11">
                  <c:v>CHILCA - ASIA</c:v>
                </c:pt>
                <c:pt idx="12">
                  <c:v>AZÁNGARO - SAN GABÁN II</c:v>
                </c:pt>
              </c:strCache>
            </c:strRef>
          </c:cat>
          <c:val>
            <c:numRef>
              <c:f>'16. Congestiones'!$E$7:$E$19</c:f>
              <c:numCache>
                <c:formatCode>#,##0.00</c:formatCode>
                <c:ptCount val="13"/>
                <c:pt idx="5">
                  <c:v>2.6666666666666652</c:v>
                </c:pt>
                <c:pt idx="6">
                  <c:v>11.566666666666666</c:v>
                </c:pt>
                <c:pt idx="8">
                  <c:v>12.933333333333334</c:v>
                </c:pt>
                <c:pt idx="9">
                  <c:v>3.3333333333333321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MAYO
 2021</c:v>
                </c:pt>
              </c:strCache>
            </c:strRef>
          </c:tx>
          <c:spPr>
            <a:solidFill>
              <a:schemeClr val="accent6"/>
            </a:solidFill>
            <a:ln>
              <a:noFill/>
            </a:ln>
            <a:effectLst/>
          </c:spPr>
          <c:invertIfNegative val="0"/>
          <c:val>
            <c:numRef>
              <c:f>'16. Congestiones'!$F$7:$F$19</c:f>
              <c:numCache>
                <c:formatCode>#,##0.00</c:formatCode>
                <c:ptCount val="13"/>
                <c:pt idx="6">
                  <c:v>226.63333333333338</c:v>
                </c:pt>
                <c:pt idx="7">
                  <c:v>21.1</c:v>
                </c:pt>
                <c:pt idx="8">
                  <c:v>12.81666666666667</c:v>
                </c:pt>
                <c:pt idx="12">
                  <c:v>0.91666666666666874</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993250538400247E-4"/>
                  <c:y val="3.910864562192739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44797552666748408"/>
                  <c:y val="0.6022335943106993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40545007493209201"/>
                  <c:y val="0.5443037695324740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7</c:v>
                </c:pt>
                <c:pt idx="1">
                  <c:v>13</c:v>
                </c:pt>
                <c:pt idx="2">
                  <c:v>4</c:v>
                </c:pt>
                <c:pt idx="3">
                  <c:v>6</c:v>
                </c:pt>
                <c:pt idx="4">
                  <c:v>5</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Eventos'!$A$7:$A$8</c:f>
              <c:strCache>
                <c:ptCount val="2"/>
                <c:pt idx="0">
                  <c:v>LINEA DE TRANSMISION</c:v>
                </c:pt>
                <c:pt idx="1">
                  <c:v>CENTRAL EOLICA</c:v>
                </c:pt>
              </c:strCache>
            </c:strRef>
          </c:cat>
          <c:val>
            <c:numRef>
              <c:f>'17. Eventos'!$J$7:$J$8</c:f>
              <c:numCache>
                <c:formatCode>#,##0.00</c:formatCode>
                <c:ptCount val="2"/>
                <c:pt idx="0">
                  <c:v>440.79999999999995</c:v>
                </c:pt>
                <c:pt idx="1">
                  <c:v>0.17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LINEA DE TRANSMISION</c:v>
                </c:pt>
                <c:pt idx="1">
                  <c:v>CENTRAL EOLICA</c:v>
                </c:pt>
              </c:strCache>
            </c:strRef>
          </c:cat>
          <c:val>
            <c:numRef>
              <c:f>'17. Eventos'!$B$7:$B$8</c:f>
              <c:numCache>
                <c:formatCode>General</c:formatCode>
                <c:ptCount val="2"/>
                <c:pt idx="0">
                  <c:v>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LINEA DE TRANSMISION</c:v>
                </c:pt>
                <c:pt idx="1">
                  <c:v>CENTRAL EOLICA</c:v>
                </c:pt>
              </c:strCache>
            </c:strRef>
          </c:cat>
          <c:val>
            <c:numRef>
              <c:f>'17. Eventos'!$C$7:$C$8</c:f>
              <c:numCache>
                <c:formatCode>General</c:formatCode>
                <c:ptCount val="2"/>
                <c:pt idx="0">
                  <c:v>12</c:v>
                </c:pt>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LINEA DE TRANSMISION</c:v>
                </c:pt>
                <c:pt idx="1">
                  <c:v>CENTRAL EOLICA</c:v>
                </c:pt>
              </c:strCache>
            </c:strRef>
          </c:cat>
          <c:val>
            <c:numRef>
              <c:f>'17. Eventos'!$D$7:$D$8</c:f>
              <c:numCache>
                <c:formatCode>General</c:formatCode>
                <c:ptCount val="2"/>
                <c:pt idx="0">
                  <c:v>4</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LINEA DE TRANSMISION</c:v>
                </c:pt>
                <c:pt idx="1">
                  <c:v>CENTRAL EOLICA</c:v>
                </c:pt>
              </c:strCache>
            </c:strRef>
          </c:cat>
          <c:val>
            <c:numRef>
              <c:f>'17. Eventos'!$E$7:$E$8</c:f>
              <c:numCache>
                <c:formatCode>General</c:formatCode>
                <c:ptCount val="2"/>
                <c:pt idx="0">
                  <c:v>6</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Eventos'!$A$7:$A$8</c:f>
              <c:strCache>
                <c:ptCount val="2"/>
                <c:pt idx="0">
                  <c:v>LINEA DE TRANSMISION</c:v>
                </c:pt>
                <c:pt idx="1">
                  <c:v>CENTRAL EOLICA</c:v>
                </c:pt>
              </c:strCache>
            </c:strRef>
          </c:cat>
          <c:val>
            <c:numRef>
              <c:f>'17. Eventos'!$F$7:$F$8</c:f>
              <c:numCache>
                <c:formatCode>General</c:formatCode>
                <c:ptCount val="2"/>
                <c:pt idx="0">
                  <c:v>5</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LINEA DE TRANSMISION</c:v>
                </c:pt>
                <c:pt idx="1">
                  <c:v>CENTRAL EOLICA</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LINEA DE TRANSMISION</c:v>
                </c:pt>
                <c:pt idx="1">
                  <c:v>CENTRAL EOLICA</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generación'!$B$21:$C$21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generación'!$D$20:$E$20</c:f>
              <c:strCache>
                <c:ptCount val="2"/>
                <c:pt idx="0">
                  <c:v>MAYO 2023</c:v>
                </c:pt>
                <c:pt idx="1">
                  <c:v>MAYO 2022</c:v>
                </c:pt>
              </c:strCache>
            </c:strRef>
          </c:cat>
          <c:val>
            <c:numRef>
              <c:f>'2. Oferta de generación'!$D$21:$E$21</c:f>
              <c:numCache>
                <c:formatCode>#,##0.0</c:formatCode>
                <c:ptCount val="2"/>
                <c:pt idx="0">
                  <c:v>5261.1882475000011</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generación'!$B$22:$C$22</c:f>
              <c:strCache>
                <c:ptCount val="2"/>
                <c:pt idx="0">
                  <c:v>TERMOELÉCTRICA</c:v>
                </c:pt>
              </c:strCache>
            </c:strRef>
          </c:tx>
          <c:spPr>
            <a:solidFill>
              <a:schemeClr val="accent2"/>
            </a:solidFill>
          </c:spPr>
          <c:invertIfNegative val="0"/>
          <c:cat>
            <c:strRef>
              <c:f>'2. Oferta de generación'!$D$20:$E$20</c:f>
              <c:strCache>
                <c:ptCount val="2"/>
                <c:pt idx="0">
                  <c:v>MAYO 2023</c:v>
                </c:pt>
                <c:pt idx="1">
                  <c:v>MAYO 2022</c:v>
                </c:pt>
              </c:strCache>
            </c:strRef>
          </c:cat>
          <c:val>
            <c:numRef>
              <c:f>'2. Oferta de generación'!$D$22:$E$22</c:f>
              <c:numCache>
                <c:formatCode>#,##0.0</c:formatCode>
                <c:ptCount val="2"/>
                <c:pt idx="0">
                  <c:v>7464.9944999999998</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generación'!$B$23:$C$23</c:f>
              <c:strCache>
                <c:ptCount val="2"/>
                <c:pt idx="0">
                  <c:v>EÓLICA</c:v>
                </c:pt>
              </c:strCache>
            </c:strRef>
          </c:tx>
          <c:spPr>
            <a:solidFill>
              <a:srgbClr val="6DA6D9"/>
            </a:solidFill>
          </c:spPr>
          <c:invertIfNegative val="0"/>
          <c:cat>
            <c:strRef>
              <c:f>'2. Oferta de generación'!$D$20:$E$20</c:f>
              <c:strCache>
                <c:ptCount val="2"/>
                <c:pt idx="0">
                  <c:v>MAYO 2023</c:v>
                </c:pt>
                <c:pt idx="1">
                  <c:v>MAYO 2022</c:v>
                </c:pt>
              </c:strCache>
            </c:strRef>
          </c:cat>
          <c:val>
            <c:numRef>
              <c:f>'2. Oferta de generación'!$D$23:$E$23</c:f>
              <c:numCache>
                <c:formatCode>#,##0.0</c:formatCode>
                <c:ptCount val="2"/>
                <c:pt idx="0">
                  <c:v>412.19999999999993</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generación'!$B$24:$C$24</c:f>
              <c:strCache>
                <c:ptCount val="2"/>
                <c:pt idx="0">
                  <c:v>SOLAR</c:v>
                </c:pt>
              </c:strCache>
            </c:strRef>
          </c:tx>
          <c:invertIfNegative val="0"/>
          <c:cat>
            <c:strRef>
              <c:f>'2. Oferta de generación'!$D$20:$E$20</c:f>
              <c:strCache>
                <c:ptCount val="2"/>
                <c:pt idx="0">
                  <c:v>MAYO 2023</c:v>
                </c:pt>
                <c:pt idx="1">
                  <c:v>MAYO 2022</c:v>
                </c:pt>
              </c:strCache>
            </c:strRef>
          </c:cat>
          <c:val>
            <c:numRef>
              <c:f>'2. Oferta de generación'!$D$24:$E$24</c:f>
              <c:numCache>
                <c:formatCode>#,##0.0</c:formatCode>
                <c:ptCount val="2"/>
                <c:pt idx="0">
                  <c:v>282.27499999999998</c:v>
                </c:pt>
                <c:pt idx="1">
                  <c:v>282.27499999999992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15133.552678110002</c:v>
                </c:pt>
                <c:pt idx="1">
                  <c:v>6003.5913541275004</c:v>
                </c:pt>
                <c:pt idx="2">
                  <c:v>729.61732822250008</c:v>
                </c:pt>
                <c:pt idx="3">
                  <c:v>319.97087847500001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14685.151487617499</c:v>
                </c:pt>
                <c:pt idx="1">
                  <c:v>6972.328039112499</c:v>
                </c:pt>
                <c:pt idx="2">
                  <c:v>767.46051931</c:v>
                </c:pt>
                <c:pt idx="3">
                  <c:v>324.81442078750001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13899.929987617501</c:v>
                </c:pt>
                <c:pt idx="1">
                  <c:v>9248.4286917725003</c:v>
                </c:pt>
                <c:pt idx="2">
                  <c:v>789.94336493499998</c:v>
                </c:pt>
                <c:pt idx="3">
                  <c:v>307.86532708750002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13899.929987617501</c:v>
                </c:pt>
                <c:pt idx="1">
                  <c:v>8718.4971428824992</c:v>
                </c:pt>
                <c:pt idx="2">
                  <c:v>292.68943375000003</c:v>
                </c:pt>
                <c:pt idx="3">
                  <c:v>88.791737174999994</c:v>
                </c:pt>
                <c:pt idx="4">
                  <c:v>0</c:v>
                </c:pt>
                <c:pt idx="5">
                  <c:v>4.1587273124999999</c:v>
                </c:pt>
                <c:pt idx="6">
                  <c:v>0</c:v>
                </c:pt>
                <c:pt idx="7">
                  <c:v>42.21193702499999</c:v>
                </c:pt>
                <c:pt idx="8">
                  <c:v>75.795192377500001</c:v>
                </c:pt>
                <c:pt idx="9">
                  <c:v>26.284521250000001</c:v>
                </c:pt>
                <c:pt idx="10">
                  <c:v>307.86532708750002</c:v>
                </c:pt>
                <c:pt idx="11">
                  <c:v>789.94336493499998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14685.151487617499</c:v>
                </c:pt>
                <c:pt idx="1">
                  <c:v>6573.4237099800002</c:v>
                </c:pt>
                <c:pt idx="2">
                  <c:v>227.83920125</c:v>
                </c:pt>
                <c:pt idx="3">
                  <c:v>39.6636422475</c:v>
                </c:pt>
                <c:pt idx="4">
                  <c:v>6.0839352225000001</c:v>
                </c:pt>
                <c:pt idx="5">
                  <c:v>6.1898244674999994</c:v>
                </c:pt>
                <c:pt idx="6">
                  <c:v>0</c:v>
                </c:pt>
                <c:pt idx="7">
                  <c:v>8.2947443674999999</c:v>
                </c:pt>
                <c:pt idx="8">
                  <c:v>80.797038177499985</c:v>
                </c:pt>
                <c:pt idx="9">
                  <c:v>30.035943400000004</c:v>
                </c:pt>
                <c:pt idx="10">
                  <c:v>324.81442078750001</c:v>
                </c:pt>
                <c:pt idx="11">
                  <c:v>767.46051931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15133.552678110002</c:v>
                </c:pt>
                <c:pt idx="1">
                  <c:v>5541.8829084074996</c:v>
                </c:pt>
                <c:pt idx="2">
                  <c:v>269.11075402749998</c:v>
                </c:pt>
                <c:pt idx="3">
                  <c:v>49.3202158</c:v>
                </c:pt>
                <c:pt idx="4">
                  <c:v>12.778767482499999</c:v>
                </c:pt>
                <c:pt idx="5">
                  <c:v>3.5194904300000003</c:v>
                </c:pt>
                <c:pt idx="6">
                  <c:v>0</c:v>
                </c:pt>
                <c:pt idx="7">
                  <c:v>6.9599989525000003</c:v>
                </c:pt>
                <c:pt idx="8">
                  <c:v>84.65486937</c:v>
                </c:pt>
                <c:pt idx="9">
                  <c:v>35.3643496575</c:v>
                </c:pt>
                <c:pt idx="10">
                  <c:v>319.97087847500001</c:v>
                </c:pt>
                <c:pt idx="11">
                  <c:v>729.61732822250008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1191.3876939424999</c:v>
                </c:pt>
                <c:pt idx="1">
                  <c:v>729.61732822250008</c:v>
                </c:pt>
                <c:pt idx="2">
                  <c:v>319.97087847500001</c:v>
                </c:pt>
                <c:pt idx="3">
                  <c:v>84.65486937</c:v>
                </c:pt>
                <c:pt idx="4">
                  <c:v>35.3643496575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1113.4323514824998</c:v>
                </c:pt>
                <c:pt idx="1">
                  <c:v>767.46051931</c:v>
                </c:pt>
                <c:pt idx="2">
                  <c:v>324.81442078750001</c:v>
                </c:pt>
                <c:pt idx="3">
                  <c:v>80.797038177499985</c:v>
                </c:pt>
                <c:pt idx="4">
                  <c:v>30.035943400000004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1119.7193371650003</c:v>
                </c:pt>
                <c:pt idx="1">
                  <c:v>789.94336493499998</c:v>
                </c:pt>
                <c:pt idx="2">
                  <c:v>307.86532708750002</c:v>
                </c:pt>
                <c:pt idx="3">
                  <c:v>75.795192377500001</c:v>
                </c:pt>
                <c:pt idx="4">
                  <c:v>26.284521250000001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6721270771667799E-3"/>
                  <c:y val="-0.1535451553335236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5.9352170653520192E-2"/>
                  <c:y val="0.178869003472163"/>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10,301</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4390.0462032225005</c:v>
                </c:pt>
                <c:pt idx="1">
                  <c:v>201.70210765500005</c:v>
                </c:pt>
                <c:pt idx="2">
                  <c:v>224.23503268000002</c:v>
                </c:pt>
                <c:pt idx="3">
                  <c:v>57.958463240000007</c:v>
                </c:pt>
                <c:pt idx="4">
                  <c:v>14.515525217499999</c:v>
                </c:pt>
                <c:pt idx="5">
                  <c:v>5.7554340499999999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POTRERO</c:v>
                </c:pt>
                <c:pt idx="2">
                  <c:v>C.H. CHANCAY</c:v>
                </c:pt>
                <c:pt idx="3">
                  <c:v>C.H. YARUCAYA</c:v>
                </c:pt>
                <c:pt idx="4">
                  <c:v>C.H. LAS PIZARRAS</c:v>
                </c:pt>
                <c:pt idx="5">
                  <c:v>C.H. 8 DE AGOSTO</c:v>
                </c:pt>
                <c:pt idx="6">
                  <c:v>C.H. RUCUY</c:v>
                </c:pt>
                <c:pt idx="7">
                  <c:v>C.H. RUNATULLO III</c:v>
                </c:pt>
                <c:pt idx="8">
                  <c:v>C.H. ÁNGEL II</c:v>
                </c:pt>
                <c:pt idx="9">
                  <c:v>C.H. ÁNGEL III</c:v>
                </c:pt>
                <c:pt idx="10">
                  <c:v>C.H. RUNATULLO II</c:v>
                </c:pt>
                <c:pt idx="11">
                  <c:v>C.H. CARHUAQUERO IV</c:v>
                </c:pt>
                <c:pt idx="12">
                  <c:v>C.H. ÁNGEL I</c:v>
                </c:pt>
                <c:pt idx="13">
                  <c:v>C.H. CARHUAC</c:v>
                </c:pt>
                <c:pt idx="14">
                  <c:v>C.H. POECHOS II</c:v>
                </c:pt>
                <c:pt idx="15">
                  <c:v>C.H. MANTA I</c:v>
                </c:pt>
                <c:pt idx="16">
                  <c:v>C.H. HUASAHUASI II</c:v>
                </c:pt>
                <c:pt idx="17">
                  <c:v>C.H. HUASAHUASI I</c:v>
                </c:pt>
                <c:pt idx="18">
                  <c:v>C.H. EL CARMEN</c:v>
                </c:pt>
                <c:pt idx="19">
                  <c:v>C.H. CAÑA BRAVA</c:v>
                </c:pt>
                <c:pt idx="20">
                  <c:v>C.H. LA JOYA</c:v>
                </c:pt>
                <c:pt idx="21">
                  <c:v>C.H. SANTA CRUZ II</c:v>
                </c:pt>
                <c:pt idx="22">
                  <c:v>C.H. YANAPAMPA</c:v>
                </c:pt>
                <c:pt idx="23">
                  <c:v>C.H. SANTA CRUZ I</c:v>
                </c:pt>
                <c:pt idx="24">
                  <c:v>C.H. RONCADOR</c:v>
                </c:pt>
                <c:pt idx="25">
                  <c:v>C.H. IMPERIAL</c:v>
                </c:pt>
                <c:pt idx="26">
                  <c:v>C.H. CANCHAYLLO</c:v>
                </c:pt>
                <c:pt idx="27">
                  <c:v>C.H. HER 1</c:v>
                </c:pt>
                <c:pt idx="28">
                  <c:v>C.H. PURMACANA</c:v>
                </c:pt>
              </c:strCache>
            </c:strRef>
          </c:cat>
          <c:val>
            <c:numRef>
              <c:f>'6. FP RER'!$P$6:$P$34</c:f>
              <c:numCache>
                <c:formatCode>0.00</c:formatCode>
                <c:ptCount val="29"/>
                <c:pt idx="0">
                  <c:v>14.72743374</c:v>
                </c:pt>
                <c:pt idx="1">
                  <c:v>14.109641360000001</c:v>
                </c:pt>
                <c:pt idx="2">
                  <c:v>14.0134665825</c:v>
                </c:pt>
                <c:pt idx="3">
                  <c:v>13.68244975</c:v>
                </c:pt>
                <c:pt idx="4">
                  <c:v>13.533421690000001</c:v>
                </c:pt>
                <c:pt idx="5">
                  <c:v>12.1835266325</c:v>
                </c:pt>
                <c:pt idx="6">
                  <c:v>12.0335058225</c:v>
                </c:pt>
                <c:pt idx="7">
                  <c:v>11.127654235</c:v>
                </c:pt>
                <c:pt idx="8">
                  <c:v>9.2544983925000004</c:v>
                </c:pt>
                <c:pt idx="9">
                  <c:v>9.1925215999999992</c:v>
                </c:pt>
                <c:pt idx="10">
                  <c:v>8.8665112300000004</c:v>
                </c:pt>
                <c:pt idx="11">
                  <c:v>7.3850747375000001</c:v>
                </c:pt>
                <c:pt idx="12">
                  <c:v>7.3374696699999999</c:v>
                </c:pt>
                <c:pt idx="13">
                  <c:v>6.3676081849999999</c:v>
                </c:pt>
                <c:pt idx="14">
                  <c:v>5.7231339375000001</c:v>
                </c:pt>
                <c:pt idx="15">
                  <c:v>5.5946121450000001</c:v>
                </c:pt>
                <c:pt idx="16">
                  <c:v>4.8840316924999998</c:v>
                </c:pt>
                <c:pt idx="17">
                  <c:v>4.5562250200000003</c:v>
                </c:pt>
                <c:pt idx="18">
                  <c:v>4.1602801925000001</c:v>
                </c:pt>
                <c:pt idx="19">
                  <c:v>4.0775545525000005</c:v>
                </c:pt>
                <c:pt idx="20">
                  <c:v>3.6703424675000003</c:v>
                </c:pt>
                <c:pt idx="21">
                  <c:v>2.7849536625</c:v>
                </c:pt>
                <c:pt idx="22">
                  <c:v>2.6355838</c:v>
                </c:pt>
                <c:pt idx="23">
                  <c:v>2.4477976250000002</c:v>
                </c:pt>
                <c:pt idx="24">
                  <c:v>2.4358436824999998</c:v>
                </c:pt>
                <c:pt idx="25">
                  <c:v>2.1330999999999998</c:v>
                </c:pt>
                <c:pt idx="26">
                  <c:v>1.9627023975</c:v>
                </c:pt>
                <c:pt idx="27">
                  <c:v>0.47256999999999999</c:v>
                </c:pt>
                <c:pt idx="28">
                  <c:v>0.34859285249999999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POTRERO</c:v>
                </c:pt>
                <c:pt idx="2">
                  <c:v>C.H. CHANCAY</c:v>
                </c:pt>
                <c:pt idx="3">
                  <c:v>C.H. YARUCAYA</c:v>
                </c:pt>
                <c:pt idx="4">
                  <c:v>C.H. LAS PIZARRAS</c:v>
                </c:pt>
                <c:pt idx="5">
                  <c:v>C.H. 8 DE AGOSTO</c:v>
                </c:pt>
                <c:pt idx="6">
                  <c:v>C.H. RUCUY</c:v>
                </c:pt>
                <c:pt idx="7">
                  <c:v>C.H. RUNATULLO III</c:v>
                </c:pt>
                <c:pt idx="8">
                  <c:v>C.H. ÁNGEL II</c:v>
                </c:pt>
                <c:pt idx="9">
                  <c:v>C.H. ÁNGEL III</c:v>
                </c:pt>
                <c:pt idx="10">
                  <c:v>C.H. RUNATULLO II</c:v>
                </c:pt>
                <c:pt idx="11">
                  <c:v>C.H. CARHUAQUERO IV</c:v>
                </c:pt>
                <c:pt idx="12">
                  <c:v>C.H. ÁNGEL I</c:v>
                </c:pt>
                <c:pt idx="13">
                  <c:v>C.H. CARHUAC</c:v>
                </c:pt>
                <c:pt idx="14">
                  <c:v>C.H. POECHOS II</c:v>
                </c:pt>
                <c:pt idx="15">
                  <c:v>C.H. MANTA I</c:v>
                </c:pt>
                <c:pt idx="16">
                  <c:v>C.H. HUASAHUASI II</c:v>
                </c:pt>
                <c:pt idx="17">
                  <c:v>C.H. HUASAHUASI I</c:v>
                </c:pt>
                <c:pt idx="18">
                  <c:v>C.H. EL CARMEN</c:v>
                </c:pt>
                <c:pt idx="19">
                  <c:v>C.H. CAÑA BRAVA</c:v>
                </c:pt>
                <c:pt idx="20">
                  <c:v>C.H. LA JOYA</c:v>
                </c:pt>
                <c:pt idx="21">
                  <c:v>C.H. SANTA CRUZ II</c:v>
                </c:pt>
                <c:pt idx="22">
                  <c:v>C.H. YANAPAMPA</c:v>
                </c:pt>
                <c:pt idx="23">
                  <c:v>C.H. SANTA CRUZ I</c:v>
                </c:pt>
                <c:pt idx="24">
                  <c:v>C.H. RONCADOR</c:v>
                </c:pt>
                <c:pt idx="25">
                  <c:v>C.H. IMPERIAL</c:v>
                </c:pt>
                <c:pt idx="26">
                  <c:v>C.H. CANCHAYLLO</c:v>
                </c:pt>
                <c:pt idx="27">
                  <c:v>C.H. HER 1</c:v>
                </c:pt>
                <c:pt idx="28">
                  <c:v>C.H. PURMACANA</c:v>
                </c:pt>
              </c:strCache>
            </c:strRef>
          </c:cat>
          <c:val>
            <c:numRef>
              <c:f>'6. FP RER'!$Q$6:$Q$34</c:f>
              <c:numCache>
                <c:formatCode>0.00</c:formatCode>
                <c:ptCount val="29"/>
                <c:pt idx="0">
                  <c:v>0.94885139596302592</c:v>
                </c:pt>
                <c:pt idx="1">
                  <c:v>0.93874723890852918</c:v>
                </c:pt>
                <c:pt idx="2">
                  <c:v>0.92803037772817143</c:v>
                </c:pt>
                <c:pt idx="3">
                  <c:v>1.0133562623388104</c:v>
                </c:pt>
                <c:pt idx="4">
                  <c:v>0.94742482443119191</c:v>
                </c:pt>
                <c:pt idx="5">
                  <c:v>0.79570980755013221</c:v>
                </c:pt>
                <c:pt idx="6">
                  <c:v>0.79793127605948722</c:v>
                </c:pt>
                <c:pt idx="7">
                  <c:v>0.74909969495184814</c:v>
                </c:pt>
                <c:pt idx="8">
                  <c:v>0.62234132823222232</c:v>
                </c:pt>
                <c:pt idx="9">
                  <c:v>0.61519134004510223</c:v>
                </c:pt>
                <c:pt idx="10">
                  <c:v>0.5968524968079052</c:v>
                </c:pt>
                <c:pt idx="11">
                  <c:v>0.99430789566725786</c:v>
                </c:pt>
                <c:pt idx="12">
                  <c:v>0.49185798818240317</c:v>
                </c:pt>
                <c:pt idx="13">
                  <c:v>0.42024087985407621</c:v>
                </c:pt>
                <c:pt idx="14">
                  <c:v>0.80413802264235557</c:v>
                </c:pt>
                <c:pt idx="15">
                  <c:v>0.3621591100784608</c:v>
                </c:pt>
                <c:pt idx="16">
                  <c:v>0.65880583305435436</c:v>
                </c:pt>
                <c:pt idx="17">
                  <c:v>0.62172166093553849</c:v>
                </c:pt>
                <c:pt idx="18">
                  <c:v>0.65172196413577466</c:v>
                </c:pt>
                <c:pt idx="19">
                  <c:v>0.96659331145341476</c:v>
                </c:pt>
                <c:pt idx="20">
                  <c:v>0.54331791145735575</c:v>
                </c:pt>
                <c:pt idx="21">
                  <c:v>0.57570244360296086</c:v>
                </c:pt>
                <c:pt idx="22">
                  <c:v>0.90456113029843166</c:v>
                </c:pt>
                <c:pt idx="23">
                  <c:v>0.49578821145819157</c:v>
                </c:pt>
                <c:pt idx="24">
                  <c:v>0.98889479550568005</c:v>
                </c:pt>
                <c:pt idx="25">
                  <c:v>0.7216385332174976</c:v>
                </c:pt>
                <c:pt idx="26">
                  <c:v>0.50839099187798009</c:v>
                </c:pt>
                <c:pt idx="27">
                  <c:v>0.93594825435876561</c:v>
                </c:pt>
                <c:pt idx="28">
                  <c:v>0.26486081415598389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43.749299749999999</c:v>
                </c:pt>
                <c:pt idx="1">
                  <c:v>38.773152197499996</c:v>
                </c:pt>
                <c:pt idx="2">
                  <c:v>26.4007150825</c:v>
                </c:pt>
                <c:pt idx="3">
                  <c:v>12.33778596</c:v>
                </c:pt>
                <c:pt idx="4">
                  <c:v>10.0025321625</c:v>
                </c:pt>
                <c:pt idx="5">
                  <c:v>8.058208282499999</c:v>
                </c:pt>
                <c:pt idx="6">
                  <c:v>6.3800188325000002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MARCONA</c:v>
                </c:pt>
                <c:pt idx="4">
                  <c:v>C.E. TALARA</c:v>
                </c:pt>
                <c:pt idx="5">
                  <c:v>C.E. DUNA</c:v>
                </c:pt>
                <c:pt idx="6">
                  <c:v>C.E. HUAMBOS</c:v>
                </c:pt>
              </c:strCache>
            </c:strRef>
          </c:cat>
          <c:val>
            <c:numRef>
              <c:f>'6. FP RER'!$Q$35:$Q$41</c:f>
              <c:numCache>
                <c:formatCode>0.00</c:formatCode>
                <c:ptCount val="7"/>
                <c:pt idx="0">
                  <c:v>0.44446577660335335</c:v>
                </c:pt>
                <c:pt idx="1">
                  <c:v>0.53643285515553485</c:v>
                </c:pt>
                <c:pt idx="2">
                  <c:v>0.42675685027221172</c:v>
                </c:pt>
                <c:pt idx="3">
                  <c:v>0.51822017641129026</c:v>
                </c:pt>
                <c:pt idx="4">
                  <c:v>0.43565339142171722</c:v>
                </c:pt>
                <c:pt idx="5">
                  <c:v>0.58959853624861702</c:v>
                </c:pt>
                <c:pt idx="6">
                  <c:v>0.46680969677214484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junio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INFSGI-MES-05-2023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mayo</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(59,72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(60,85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(59,64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(61,98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(59,63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(59,98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(60,11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(63,64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(57,88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(62,48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(59,01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(57,62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(57,84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(55,84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(64,37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(56,46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(56,66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(57,27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(62,54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22</xdr:row>
      <xdr:rowOff>19878</xdr:rowOff>
    </xdr:from>
    <xdr:to>
      <xdr:col>7</xdr:col>
      <xdr:colOff>557419</xdr:colOff>
      <xdr:row>51</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13</xdr:row>
      <xdr:rowOff>55231</xdr:rowOff>
    </xdr:from>
    <xdr:to>
      <xdr:col>3</xdr:col>
      <xdr:colOff>319147</xdr:colOff>
      <xdr:row>30</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34</xdr:row>
      <xdr:rowOff>5953</xdr:rowOff>
    </xdr:from>
    <xdr:to>
      <xdr:col>9</xdr:col>
      <xdr:colOff>246184</xdr:colOff>
      <xdr:row>48</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9</xdr:col>
      <xdr:colOff>582009</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2</xdr:col>
      <xdr:colOff>304800</xdr:colOff>
      <xdr:row>49</xdr:row>
      <xdr:rowOff>38100</xdr:rowOff>
    </xdr:from>
    <xdr:to>
      <xdr:col>7</xdr:col>
      <xdr:colOff>279482</xdr:colOff>
      <xdr:row>58</xdr:row>
      <xdr:rowOff>7620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0" y="6423660"/>
          <a:ext cx="24511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29</xdr:row>
      <xdr:rowOff>78442</xdr:rowOff>
    </xdr:from>
    <xdr:to>
      <xdr:col>9</xdr:col>
      <xdr:colOff>581525</xdr:colOff>
      <xdr:row>57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N8" sqref="N8"/>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J3" sqref="J3"/>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90" t="s">
        <v>239</v>
      </c>
      <c r="B2" s="890"/>
      <c r="C2" s="890"/>
      <c r="D2" s="890"/>
      <c r="E2" s="890"/>
      <c r="F2" s="890"/>
      <c r="G2" s="890"/>
      <c r="H2" s="890"/>
      <c r="I2" s="890"/>
      <c r="J2" s="890"/>
      <c r="K2" s="890"/>
    </row>
    <row r="3" spans="1:12" ht="11.25" customHeight="1">
      <c r="A3" s="17"/>
      <c r="B3" s="17"/>
      <c r="C3" s="17"/>
      <c r="D3" s="17"/>
      <c r="E3" s="17"/>
      <c r="F3" s="17"/>
      <c r="G3" s="17"/>
      <c r="H3" s="17"/>
      <c r="I3" s="17"/>
      <c r="J3" s="17"/>
      <c r="K3" s="17"/>
      <c r="L3" s="36"/>
    </row>
    <row r="4" spans="1:12" ht="11.25" customHeight="1">
      <c r="A4" s="891" t="s">
        <v>365</v>
      </c>
      <c r="B4" s="891"/>
      <c r="C4" s="891"/>
      <c r="D4" s="891"/>
      <c r="E4" s="891"/>
      <c r="F4" s="891"/>
      <c r="G4" s="891"/>
      <c r="H4" s="891"/>
      <c r="I4" s="891"/>
      <c r="J4" s="891"/>
      <c r="K4" s="891"/>
      <c r="L4" s="36"/>
    </row>
    <row r="5" spans="1:12" ht="11.25" customHeight="1">
      <c r="A5" s="17"/>
      <c r="B5" s="67"/>
      <c r="C5" s="68"/>
      <c r="D5" s="69"/>
      <c r="E5" s="69"/>
      <c r="F5" s="69"/>
      <c r="G5" s="69"/>
      <c r="H5" s="70"/>
      <c r="I5" s="66"/>
      <c r="J5" s="66"/>
      <c r="K5" s="71"/>
      <c r="L5" s="8"/>
    </row>
    <row r="6" spans="1:12" ht="12.75" customHeight="1">
      <c r="A6" s="897" t="s">
        <v>207</v>
      </c>
      <c r="B6" s="892" t="s">
        <v>242</v>
      </c>
      <c r="C6" s="893"/>
      <c r="D6" s="893"/>
      <c r="E6" s="893" t="s">
        <v>33</v>
      </c>
      <c r="F6" s="893"/>
      <c r="G6" s="894" t="s">
        <v>241</v>
      </c>
      <c r="H6" s="894"/>
      <c r="I6" s="894"/>
      <c r="J6" s="894"/>
      <c r="K6" s="894"/>
      <c r="L6" s="15"/>
    </row>
    <row r="7" spans="1:12" ht="12.75" customHeight="1">
      <c r="A7" s="897"/>
      <c r="B7" s="440">
        <v>45008.8125</v>
      </c>
      <c r="C7" s="440">
        <v>45027.791666666664</v>
      </c>
      <c r="D7" s="440">
        <v>45057.78125</v>
      </c>
      <c r="E7" s="440">
        <v>44712.78125</v>
      </c>
      <c r="F7" s="895" t="s">
        <v>118</v>
      </c>
      <c r="G7" s="576">
        <v>2023</v>
      </c>
      <c r="H7" s="576">
        <v>2022</v>
      </c>
      <c r="I7" s="895" t="s">
        <v>550</v>
      </c>
      <c r="J7" s="576">
        <v>2021</v>
      </c>
      <c r="K7" s="895" t="s">
        <v>526</v>
      </c>
      <c r="L7" s="13"/>
    </row>
    <row r="8" spans="1:12" ht="12.75" customHeight="1">
      <c r="A8" s="897"/>
      <c r="B8" s="441">
        <v>45008.8125</v>
      </c>
      <c r="C8" s="441">
        <v>45027.791666666664</v>
      </c>
      <c r="D8" s="441">
        <v>45057.78125</v>
      </c>
      <c r="E8" s="441">
        <v>44712.78125</v>
      </c>
      <c r="F8" s="896"/>
      <c r="G8" s="442">
        <v>45027.791666666664</v>
      </c>
      <c r="H8" s="442">
        <v>44614.822916666664</v>
      </c>
      <c r="I8" s="896"/>
      <c r="J8" s="442">
        <v>44204.822916666664</v>
      </c>
      <c r="K8" s="896"/>
      <c r="L8" s="14"/>
    </row>
    <row r="9" spans="1:12" ht="12.75" customHeight="1">
      <c r="A9" s="897"/>
      <c r="B9" s="443">
        <v>45008.8125</v>
      </c>
      <c r="C9" s="443">
        <v>45027.791666666664</v>
      </c>
      <c r="D9" s="443">
        <v>45057.78125</v>
      </c>
      <c r="E9" s="443">
        <v>44712.78125</v>
      </c>
      <c r="F9" s="896"/>
      <c r="G9" s="444">
        <v>45027.791666666664</v>
      </c>
      <c r="H9" s="444">
        <v>44614.822916666664</v>
      </c>
      <c r="I9" s="896"/>
      <c r="J9" s="444">
        <v>44204.822916666664</v>
      </c>
      <c r="K9" s="896"/>
      <c r="L9" s="14"/>
    </row>
    <row r="10" spans="1:12" ht="12.75" customHeight="1">
      <c r="A10" s="445" t="s">
        <v>35</v>
      </c>
      <c r="B10" s="446">
        <v>3725.5337799999988</v>
      </c>
      <c r="C10" s="447">
        <v>4362.1793299999999</v>
      </c>
      <c r="D10" s="448">
        <v>4267.4472800000003</v>
      </c>
      <c r="E10" s="446">
        <v>3789.1081299999996</v>
      </c>
      <c r="F10" s="449">
        <f>+IF(E10=0,"",D10/E10-1)</f>
        <v>0.12624056468929568</v>
      </c>
      <c r="G10" s="446">
        <v>4362.1793299999999</v>
      </c>
      <c r="H10" s="447">
        <v>4553.9270599999991</v>
      </c>
      <c r="I10" s="449">
        <f>+IF(H10=0,"",G10/H10-1)</f>
        <v>-4.2106016954957415E-2</v>
      </c>
      <c r="J10" s="446">
        <v>4594.55105</v>
      </c>
      <c r="K10" s="449">
        <f t="shared" ref="K10:K18" si="0">+IF(J10=0,"",H10/J10-1)</f>
        <v>-8.8417757378059791E-3</v>
      </c>
      <c r="L10" s="14"/>
    </row>
    <row r="11" spans="1:12" ht="12.75" customHeight="1">
      <c r="A11" s="450" t="s">
        <v>36</v>
      </c>
      <c r="B11" s="451">
        <v>3611.9575599999985</v>
      </c>
      <c r="C11" s="452">
        <v>2953.9779799999992</v>
      </c>
      <c r="D11" s="453">
        <v>2783.1111100000003</v>
      </c>
      <c r="E11" s="451">
        <v>2935.4026900000003</v>
      </c>
      <c r="F11" s="454">
        <f>+IF(E11=0,"",D11/E11-1)</f>
        <v>-5.18809840022324E-2</v>
      </c>
      <c r="G11" s="451">
        <v>2953.9779799999992</v>
      </c>
      <c r="H11" s="452">
        <v>2455.9372199999998</v>
      </c>
      <c r="I11" s="454">
        <f>+IF(H11=0,"",G11/H11-1)</f>
        <v>0.20279050944144217</v>
      </c>
      <c r="J11" s="451">
        <v>2012.4400399999995</v>
      </c>
      <c r="K11" s="454">
        <f>+IF(J11=0,"",H11/J11-1)</f>
        <v>0.22037783545590783</v>
      </c>
      <c r="L11" s="14"/>
    </row>
    <row r="12" spans="1:12" ht="12.75" customHeight="1">
      <c r="A12" s="455" t="s">
        <v>37</v>
      </c>
      <c r="B12" s="456">
        <v>245.87522999999999</v>
      </c>
      <c r="C12" s="457">
        <v>289.34881000000001</v>
      </c>
      <c r="D12" s="458">
        <v>292.13808</v>
      </c>
      <c r="E12" s="456">
        <v>184.44288</v>
      </c>
      <c r="F12" s="459">
        <f>+IF(E12=0,"",D12/E12-1)</f>
        <v>0.58389459110592945</v>
      </c>
      <c r="G12" s="456">
        <v>289.34881000000001</v>
      </c>
      <c r="H12" s="457">
        <v>136.90030000000002</v>
      </c>
      <c r="I12" s="459">
        <f>+IF(H12=0,"",G12/H12-1)</f>
        <v>1.1135732354129244</v>
      </c>
      <c r="J12" s="456">
        <v>302.64609999999999</v>
      </c>
      <c r="K12" s="459">
        <f>+IF(J12=0,"",H12/J12-1)</f>
        <v>-0.54765549597368013</v>
      </c>
      <c r="L12" s="13"/>
    </row>
    <row r="13" spans="1:12" ht="12.75" customHeight="1">
      <c r="A13" s="460" t="s">
        <v>29</v>
      </c>
      <c r="B13" s="461">
        <v>0</v>
      </c>
      <c r="C13" s="462">
        <v>0</v>
      </c>
      <c r="D13" s="463">
        <v>2.2000000000000001E-4</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7583.3665699999965</v>
      </c>
      <c r="C14" s="437">
        <f t="shared" ref="C14:J14" si="1">+SUM(C10:C13)</f>
        <v>7605.5061199999991</v>
      </c>
      <c r="D14" s="438">
        <f t="shared" si="1"/>
        <v>7342.6966899999998</v>
      </c>
      <c r="E14" s="436">
        <f t="shared" si="1"/>
        <v>6908.9536999999991</v>
      </c>
      <c r="F14" s="492">
        <f>+IF(E14=0,"",D14/E14-1)</f>
        <v>6.2779837415902984E-2</v>
      </c>
      <c r="G14" s="489">
        <f t="shared" si="1"/>
        <v>7605.5061199999991</v>
      </c>
      <c r="H14" s="437">
        <f t="shared" si="1"/>
        <v>7146.7645799999991</v>
      </c>
      <c r="I14" s="492">
        <f>+IF(H14=0,"",G14/H14-1)</f>
        <v>6.4188701735576226E-2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52.414000000000001</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-52.414000000000001</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7583.3665699999965</v>
      </c>
      <c r="C20" s="487">
        <f t="shared" ref="C20" si="3">+C14-C18</f>
        <v>7605.5061199999991</v>
      </c>
      <c r="D20" s="488">
        <f>+D14-D18</f>
        <v>7342.6966899999998</v>
      </c>
      <c r="E20" s="486">
        <f>+E14-E18</f>
        <v>6961.3676999999989</v>
      </c>
      <c r="F20" s="439">
        <f>+IF(E20=0,"",D20/E20-1)</f>
        <v>5.477788366214309E-2</v>
      </c>
      <c r="G20" s="486">
        <f>+G14-G18</f>
        <v>7605.5061199999991</v>
      </c>
      <c r="H20" s="486">
        <f>+H14-H18</f>
        <v>7146.7645799999991</v>
      </c>
      <c r="I20" s="439">
        <f>+IF(H20=0,"",G20/H20-1)</f>
        <v>6.4188701735576226E-2</v>
      </c>
      <c r="J20" s="486">
        <f>+J14-J18</f>
        <v>6909.6371899999995</v>
      </c>
      <c r="K20" s="439">
        <f>+IF(J20=0,"",H20/J20-1)</f>
        <v>3.4318356156699981E-2</v>
      </c>
      <c r="L20" s="15"/>
    </row>
    <row r="21" spans="1:12" ht="11.25" customHeight="1">
      <c r="A21" s="260" t="s">
        <v>387</v>
      </c>
      <c r="B21" s="138"/>
      <c r="C21" s="138"/>
      <c r="D21" s="138"/>
      <c r="E21" s="138"/>
      <c r="F21" s="138"/>
      <c r="G21" s="138"/>
      <c r="H21" s="138"/>
      <c r="I21" s="138"/>
      <c r="J21" s="138"/>
      <c r="K21" s="138"/>
      <c r="L21" s="16"/>
    </row>
    <row r="22" spans="1:12" ht="17.25" customHeight="1">
      <c r="A22" s="888"/>
      <c r="B22" s="888"/>
      <c r="C22" s="888"/>
      <c r="D22" s="888"/>
      <c r="E22" s="888"/>
      <c r="F22" s="888"/>
      <c r="G22" s="888"/>
      <c r="H22" s="888"/>
      <c r="I22" s="888"/>
      <c r="J22" s="888"/>
      <c r="K22" s="888"/>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9" t="str">
        <f>"Gráfico N° 11: Comparación de la máxima potencia coincidente (MW) anual por tipo de generación en el SEIN."</f>
        <v>Gráfico N° 11: Comparación de la máxima potencia coincidente (MW) anual por tipo de generación en el SEIN.</v>
      </c>
      <c r="B58" s="889"/>
      <c r="C58" s="889"/>
      <c r="D58" s="889"/>
      <c r="E58" s="889"/>
      <c r="F58" s="889"/>
      <c r="G58" s="889"/>
      <c r="H58" s="889"/>
      <c r="I58" s="889"/>
      <c r="J58" s="889"/>
      <c r="K58" s="889"/>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H3" sqref="H3:J3"/>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900" t="s">
        <v>244</v>
      </c>
      <c r="B1" s="900"/>
      <c r="C1" s="900"/>
      <c r="D1" s="900"/>
      <c r="E1" s="900"/>
      <c r="F1" s="900"/>
      <c r="G1" s="900"/>
      <c r="H1" s="900"/>
      <c r="I1" s="900"/>
      <c r="J1" s="900"/>
      <c r="K1" s="900"/>
    </row>
    <row r="2" spans="1:16" ht="7.5" customHeight="1">
      <c r="A2" s="74"/>
      <c r="B2" s="73"/>
      <c r="C2" s="73"/>
      <c r="D2" s="73"/>
      <c r="E2" s="73"/>
      <c r="F2" s="73"/>
      <c r="G2" s="73"/>
      <c r="H2" s="73"/>
      <c r="I2" s="73"/>
      <c r="J2" s="73"/>
      <c r="K2" s="73"/>
      <c r="L2" s="298"/>
      <c r="M2" s="649"/>
    </row>
    <row r="3" spans="1:16" ht="11.25" customHeight="1">
      <c r="A3" s="901" t="s">
        <v>119</v>
      </c>
      <c r="B3" s="903" t="str">
        <f>+'1. Resumen'!Q4</f>
        <v>mayo</v>
      </c>
      <c r="C3" s="904"/>
      <c r="D3" s="905"/>
      <c r="E3" s="138"/>
      <c r="F3" s="138"/>
      <c r="G3" s="138"/>
      <c r="H3" s="906" t="s">
        <v>571</v>
      </c>
      <c r="I3" s="906"/>
      <c r="J3" s="906"/>
      <c r="K3" s="138"/>
      <c r="L3" s="692"/>
      <c r="M3" s="649"/>
    </row>
    <row r="4" spans="1:16" ht="11.25" customHeight="1">
      <c r="A4" s="901"/>
      <c r="B4" s="369">
        <v>2023</v>
      </c>
      <c r="C4" s="370">
        <v>2022</v>
      </c>
      <c r="D4" s="905" t="s">
        <v>34</v>
      </c>
      <c r="E4" s="138"/>
      <c r="F4" s="138"/>
      <c r="G4" s="138"/>
      <c r="H4" s="138"/>
      <c r="I4" s="138"/>
      <c r="J4" s="138"/>
      <c r="K4" s="138"/>
      <c r="L4" s="513"/>
      <c r="M4" s="650"/>
    </row>
    <row r="5" spans="1:16" ht="11.25" customHeight="1">
      <c r="A5" s="901"/>
      <c r="B5" s="371">
        <f>+'8. Max Potencia'!D8</f>
        <v>45057.78125</v>
      </c>
      <c r="C5" s="371">
        <f>+'8. Max Potencia'!E8</f>
        <v>44712.78125</v>
      </c>
      <c r="D5" s="905"/>
      <c r="E5" s="138"/>
      <c r="F5" s="138"/>
      <c r="G5" s="138"/>
      <c r="H5" s="138"/>
      <c r="I5" s="138"/>
      <c r="J5" s="138"/>
      <c r="K5" s="138"/>
      <c r="L5" s="513"/>
      <c r="M5" s="651"/>
    </row>
    <row r="6" spans="1:16" ht="11.25" customHeight="1" thickBot="1">
      <c r="A6" s="902"/>
      <c r="B6" s="372">
        <f>+'8. Max Potencia'!D9</f>
        <v>45057.78125</v>
      </c>
      <c r="C6" s="372">
        <f>+'8. Max Potencia'!E9</f>
        <v>44712.78125</v>
      </c>
      <c r="D6" s="907"/>
      <c r="E6" s="138"/>
      <c r="F6" s="138"/>
      <c r="G6" s="138"/>
      <c r="H6" s="138"/>
      <c r="I6" s="138"/>
      <c r="J6" s="138"/>
      <c r="K6" s="138"/>
      <c r="M6" s="650" t="s">
        <v>243</v>
      </c>
      <c r="N6" s="548">
        <v>2023</v>
      </c>
      <c r="O6" s="548">
        <v>2022</v>
      </c>
    </row>
    <row r="7" spans="1:16" ht="9.75" customHeight="1">
      <c r="A7" s="599" t="s">
        <v>392</v>
      </c>
      <c r="B7" s="740">
        <v>1689.8150400000002</v>
      </c>
      <c r="C7" s="740">
        <v>715.96</v>
      </c>
      <c r="D7" s="600">
        <f>IF(C7=0,"",B7/C7-1)</f>
        <v>1.3602087267445109</v>
      </c>
      <c r="E7" s="138"/>
      <c r="F7" s="138"/>
      <c r="G7" s="138"/>
      <c r="H7" s="138"/>
      <c r="I7" s="138"/>
      <c r="J7" s="138"/>
      <c r="K7" s="138"/>
      <c r="L7" s="688"/>
      <c r="M7" s="652" t="s">
        <v>394</v>
      </c>
      <c r="N7" s="653"/>
      <c r="O7" s="653">
        <v>0.72</v>
      </c>
      <c r="P7" s="718"/>
    </row>
    <row r="8" spans="1:16" ht="9.75" customHeight="1">
      <c r="A8" s="601" t="s">
        <v>85</v>
      </c>
      <c r="B8" s="741">
        <v>969.97019999999986</v>
      </c>
      <c r="C8" s="741">
        <v>1083.2693999999999</v>
      </c>
      <c r="D8" s="602">
        <f t="shared" ref="D8:D68" si="0">IF(C8=0,"",B8/C8-1)</f>
        <v>-0.10459004934506599</v>
      </c>
      <c r="E8" s="138"/>
      <c r="F8" s="138"/>
      <c r="G8" s="138"/>
      <c r="H8" s="138"/>
      <c r="I8" s="138"/>
      <c r="J8" s="138"/>
      <c r="K8" s="138"/>
      <c r="L8" s="689"/>
      <c r="M8" s="652" t="s">
        <v>522</v>
      </c>
      <c r="N8" s="651">
        <v>0</v>
      </c>
      <c r="O8" s="651">
        <v>0</v>
      </c>
      <c r="P8" s="718"/>
    </row>
    <row r="9" spans="1:16" ht="9.75" customHeight="1">
      <c r="A9" s="603" t="s">
        <v>87</v>
      </c>
      <c r="B9" s="742">
        <v>813.5265599999999</v>
      </c>
      <c r="C9" s="742">
        <v>860.88816000000008</v>
      </c>
      <c r="D9" s="604">
        <f t="shared" si="0"/>
        <v>-5.5014811680067943E-2</v>
      </c>
      <c r="E9" s="322"/>
      <c r="F9" s="138"/>
      <c r="G9" s="138"/>
      <c r="H9" s="138"/>
      <c r="I9" s="138"/>
      <c r="J9" s="138"/>
      <c r="K9" s="138"/>
      <c r="M9" s="652" t="s">
        <v>449</v>
      </c>
      <c r="N9" s="653">
        <v>0</v>
      </c>
      <c r="O9" s="653">
        <v>0</v>
      </c>
      <c r="P9" s="718"/>
    </row>
    <row r="10" spans="1:16" ht="9.75" customHeight="1">
      <c r="A10" s="601" t="s">
        <v>86</v>
      </c>
      <c r="B10" s="741">
        <v>711.58900000000006</v>
      </c>
      <c r="C10" s="741">
        <v>1144.3260000000002</v>
      </c>
      <c r="D10" s="602">
        <f t="shared" si="0"/>
        <v>-0.37815884634273811</v>
      </c>
      <c r="E10" s="138"/>
      <c r="F10" s="138"/>
      <c r="G10" s="138"/>
      <c r="H10" s="138"/>
      <c r="I10" s="138"/>
      <c r="J10" s="138"/>
      <c r="K10" s="138"/>
      <c r="M10" s="652" t="s">
        <v>445</v>
      </c>
      <c r="N10" s="651">
        <v>0</v>
      </c>
      <c r="O10" s="651">
        <v>0</v>
      </c>
      <c r="P10" s="718"/>
    </row>
    <row r="11" spans="1:16" ht="9.75" customHeight="1">
      <c r="A11" s="603" t="s">
        <v>230</v>
      </c>
      <c r="B11" s="742">
        <v>467.40625999999997</v>
      </c>
      <c r="C11" s="742">
        <v>460.85230999999999</v>
      </c>
      <c r="D11" s="604">
        <f t="shared" si="0"/>
        <v>1.4221367361704207E-2</v>
      </c>
      <c r="E11" s="138"/>
      <c r="F11" s="138"/>
      <c r="G11" s="138"/>
      <c r="H11" s="138"/>
      <c r="I11" s="138"/>
      <c r="J11" s="138"/>
      <c r="K11" s="138"/>
      <c r="M11" s="652" t="s">
        <v>409</v>
      </c>
      <c r="N11" s="651">
        <v>0</v>
      </c>
      <c r="O11" s="651">
        <v>0</v>
      </c>
      <c r="P11" s="718"/>
    </row>
    <row r="12" spans="1:16" ht="9.75" customHeight="1">
      <c r="A12" s="601" t="s">
        <v>88</v>
      </c>
      <c r="B12" s="741">
        <v>405.17062999999996</v>
      </c>
      <c r="C12" s="741">
        <v>231.82942000000003</v>
      </c>
      <c r="D12" s="602">
        <f t="shared" si="0"/>
        <v>0.74771014826332194</v>
      </c>
      <c r="E12" s="138"/>
      <c r="F12" s="138"/>
      <c r="G12" s="138"/>
      <c r="H12" s="138"/>
      <c r="I12" s="138"/>
      <c r="J12" s="138"/>
      <c r="K12" s="138"/>
      <c r="L12" s="688"/>
      <c r="M12" s="652" t="s">
        <v>107</v>
      </c>
      <c r="N12" s="651">
        <v>0</v>
      </c>
      <c r="O12" s="651">
        <v>0</v>
      </c>
      <c r="P12" s="718"/>
    </row>
    <row r="13" spans="1:16" ht="9.75" customHeight="1">
      <c r="A13" s="603" t="s">
        <v>234</v>
      </c>
      <c r="B13" s="742">
        <v>327.85599999999999</v>
      </c>
      <c r="C13" s="742">
        <v>237.09399999999999</v>
      </c>
      <c r="D13" s="604">
        <f t="shared" si="0"/>
        <v>0.38281019342539246</v>
      </c>
      <c r="E13" s="138"/>
      <c r="F13" s="138"/>
      <c r="G13" s="138"/>
      <c r="H13" s="138"/>
      <c r="I13" s="138"/>
      <c r="J13" s="138"/>
      <c r="K13" s="138"/>
      <c r="L13" s="689"/>
      <c r="M13" s="652" t="s">
        <v>115</v>
      </c>
      <c r="N13" s="651">
        <v>0</v>
      </c>
      <c r="O13" s="651">
        <v>0</v>
      </c>
      <c r="P13" s="718"/>
    </row>
    <row r="14" spans="1:16" ht="9.75" customHeight="1">
      <c r="A14" s="601" t="s">
        <v>98</v>
      </c>
      <c r="B14" s="741">
        <v>288.74909000000002</v>
      </c>
      <c r="C14" s="741">
        <v>197.02189000000001</v>
      </c>
      <c r="D14" s="602">
        <f t="shared" si="0"/>
        <v>0.46556857210130298</v>
      </c>
      <c r="E14" s="138"/>
      <c r="F14" s="138"/>
      <c r="G14" s="138"/>
      <c r="H14" s="138"/>
      <c r="I14" s="138"/>
      <c r="J14" s="138"/>
      <c r="K14" s="138"/>
      <c r="L14" s="689"/>
      <c r="M14" s="652" t="s">
        <v>237</v>
      </c>
      <c r="N14" s="653">
        <v>0</v>
      </c>
      <c r="O14" s="653">
        <v>0</v>
      </c>
      <c r="P14" s="718"/>
    </row>
    <row r="15" spans="1:16" ht="9.75" customHeight="1">
      <c r="A15" s="603" t="s">
        <v>91</v>
      </c>
      <c r="B15" s="742">
        <v>191.751</v>
      </c>
      <c r="C15" s="742">
        <v>79.022999999999996</v>
      </c>
      <c r="D15" s="604">
        <f t="shared" si="0"/>
        <v>1.4265213925059794</v>
      </c>
      <c r="E15" s="138"/>
      <c r="F15" s="138"/>
      <c r="G15" s="138"/>
      <c r="H15" s="138"/>
      <c r="I15" s="138"/>
      <c r="J15" s="138"/>
      <c r="K15" s="138"/>
      <c r="L15" s="689"/>
      <c r="M15" s="652" t="s">
        <v>236</v>
      </c>
      <c r="N15" s="651">
        <v>0</v>
      </c>
      <c r="O15" s="651">
        <v>0</v>
      </c>
      <c r="P15" s="718"/>
    </row>
    <row r="16" spans="1:16" ht="9.75" customHeight="1">
      <c r="A16" s="601" t="s">
        <v>90</v>
      </c>
      <c r="B16" s="741">
        <v>168.52100000000002</v>
      </c>
      <c r="C16" s="741">
        <v>156.56699999999998</v>
      </c>
      <c r="D16" s="602">
        <f t="shared" si="0"/>
        <v>7.6350699700447944E-2</v>
      </c>
      <c r="E16" s="138"/>
      <c r="F16" s="138"/>
      <c r="G16" s="138"/>
      <c r="H16" s="138"/>
      <c r="I16" s="138"/>
      <c r="J16" s="138"/>
      <c r="K16" s="138"/>
      <c r="L16" s="689"/>
      <c r="M16" s="652" t="s">
        <v>105</v>
      </c>
      <c r="N16" s="651">
        <v>0</v>
      </c>
      <c r="O16" s="651">
        <v>0</v>
      </c>
      <c r="P16" s="718"/>
    </row>
    <row r="17" spans="1:16" ht="9.75" customHeight="1">
      <c r="A17" s="603" t="s">
        <v>92</v>
      </c>
      <c r="B17" s="742">
        <v>131.483</v>
      </c>
      <c r="C17" s="742">
        <v>95.272500000000008</v>
      </c>
      <c r="D17" s="604">
        <f t="shared" si="0"/>
        <v>0.38007294864730112</v>
      </c>
      <c r="E17" s="138"/>
      <c r="F17" s="138"/>
      <c r="G17" s="138"/>
      <c r="H17" s="138"/>
      <c r="I17" s="138"/>
      <c r="J17" s="138"/>
      <c r="K17" s="138"/>
      <c r="L17" s="689"/>
      <c r="M17" s="652" t="s">
        <v>108</v>
      </c>
      <c r="N17" s="651">
        <v>0</v>
      </c>
      <c r="O17" s="651">
        <v>0</v>
      </c>
      <c r="P17" s="718"/>
    </row>
    <row r="18" spans="1:16" ht="9.75" customHeight="1">
      <c r="A18" s="601" t="s">
        <v>89</v>
      </c>
      <c r="B18" s="741">
        <v>122.64256999999996</v>
      </c>
      <c r="C18" s="741">
        <v>122.08637999999999</v>
      </c>
      <c r="D18" s="602">
        <f t="shared" si="0"/>
        <v>4.5557088350065555E-3</v>
      </c>
      <c r="E18" s="138"/>
      <c r="F18" s="138"/>
      <c r="G18" s="138"/>
      <c r="H18" s="138"/>
      <c r="I18" s="138"/>
      <c r="J18" s="138"/>
      <c r="K18" s="138"/>
      <c r="L18" s="689"/>
      <c r="M18" s="652" t="s">
        <v>114</v>
      </c>
      <c r="N18" s="653">
        <v>0</v>
      </c>
      <c r="O18" s="653">
        <v>0</v>
      </c>
      <c r="P18" s="718"/>
    </row>
    <row r="19" spans="1:16" ht="9.75" customHeight="1">
      <c r="A19" s="603" t="s">
        <v>96</v>
      </c>
      <c r="B19" s="742">
        <v>113.498</v>
      </c>
      <c r="C19" s="742">
        <v>77.456999999999994</v>
      </c>
      <c r="D19" s="604">
        <f t="shared" si="0"/>
        <v>0.46530332958932075</v>
      </c>
      <c r="E19" s="138"/>
      <c r="F19" s="138"/>
      <c r="G19" s="138"/>
      <c r="H19" s="138"/>
      <c r="I19" s="138"/>
      <c r="J19" s="138"/>
      <c r="K19" s="138"/>
      <c r="L19" s="689"/>
      <c r="M19" s="652" t="s">
        <v>101</v>
      </c>
      <c r="N19" s="653">
        <v>0</v>
      </c>
      <c r="O19" s="653">
        <v>19.114570000000001</v>
      </c>
      <c r="P19" s="718"/>
    </row>
    <row r="20" spans="1:16" ht="9.75" customHeight="1">
      <c r="A20" s="601" t="s">
        <v>93</v>
      </c>
      <c r="B20" s="741">
        <v>113.46235</v>
      </c>
      <c r="C20" s="741">
        <v>97.521780000000007</v>
      </c>
      <c r="D20" s="602">
        <f t="shared" si="0"/>
        <v>0.16345651197096678</v>
      </c>
      <c r="E20" s="138"/>
      <c r="F20" s="138"/>
      <c r="G20" s="138"/>
      <c r="H20" s="138"/>
      <c r="I20" s="138"/>
      <c r="J20" s="138"/>
      <c r="K20" s="138"/>
      <c r="L20" s="690"/>
      <c r="M20" s="652" t="s">
        <v>232</v>
      </c>
      <c r="N20" s="651">
        <v>0</v>
      </c>
      <c r="O20" s="651">
        <v>566.63325000000009</v>
      </c>
      <c r="P20" s="718"/>
    </row>
    <row r="21" spans="1:16" ht="9.75" customHeight="1">
      <c r="A21" s="603" t="s">
        <v>408</v>
      </c>
      <c r="B21" s="742">
        <v>91.655389999999997</v>
      </c>
      <c r="C21" s="742">
        <v>86.90379999999999</v>
      </c>
      <c r="D21" s="604">
        <f t="shared" si="0"/>
        <v>5.467643532273625E-2</v>
      </c>
      <c r="E21" s="138"/>
      <c r="F21" s="138"/>
      <c r="G21" s="138"/>
      <c r="H21" s="138"/>
      <c r="I21" s="138"/>
      <c r="J21" s="138"/>
      <c r="K21" s="138"/>
      <c r="L21" s="689"/>
      <c r="M21" s="652" t="s">
        <v>229</v>
      </c>
      <c r="N21" s="651">
        <v>0</v>
      </c>
      <c r="O21" s="651">
        <v>0</v>
      </c>
      <c r="P21" s="718"/>
    </row>
    <row r="22" spans="1:16" ht="9.75" customHeight="1">
      <c r="A22" s="601" t="s">
        <v>94</v>
      </c>
      <c r="B22" s="741">
        <v>86.671000000000006</v>
      </c>
      <c r="C22" s="741">
        <v>105.373</v>
      </c>
      <c r="D22" s="602">
        <f t="shared" si="0"/>
        <v>-0.17748379565922956</v>
      </c>
      <c r="E22" s="138"/>
      <c r="F22" s="138"/>
      <c r="G22" s="138"/>
      <c r="H22" s="138"/>
      <c r="I22" s="138"/>
      <c r="J22" s="138"/>
      <c r="K22" s="138"/>
      <c r="L22" s="689"/>
      <c r="M22" s="652" t="s">
        <v>117</v>
      </c>
      <c r="N22" s="653">
        <v>0</v>
      </c>
      <c r="O22" s="653">
        <v>18.309740000000001</v>
      </c>
      <c r="P22" s="718"/>
    </row>
    <row r="23" spans="1:16" ht="9.75" customHeight="1">
      <c r="A23" s="603" t="s">
        <v>455</v>
      </c>
      <c r="B23" s="742">
        <v>73.706000000000003</v>
      </c>
      <c r="C23" s="742">
        <v>36.260019999999997</v>
      </c>
      <c r="D23" s="604">
        <f t="shared" si="0"/>
        <v>1.0327070972382257</v>
      </c>
      <c r="E23" s="138"/>
      <c r="F23" s="138"/>
      <c r="G23" s="138"/>
      <c r="H23" s="138"/>
      <c r="I23" s="138"/>
      <c r="J23" s="138"/>
      <c r="K23" s="138"/>
      <c r="L23" s="689"/>
      <c r="M23" s="652" t="s">
        <v>446</v>
      </c>
      <c r="N23" s="651">
        <v>2.2000000000000001E-4</v>
      </c>
      <c r="O23" s="651">
        <v>0</v>
      </c>
      <c r="P23" s="718"/>
    </row>
    <row r="24" spans="1:16" ht="9.75" customHeight="1">
      <c r="A24" s="601" t="s">
        <v>450</v>
      </c>
      <c r="B24" s="741">
        <v>66.907709999999994</v>
      </c>
      <c r="C24" s="741">
        <v>25.859540000000003</v>
      </c>
      <c r="D24" s="602">
        <f t="shared" si="0"/>
        <v>1.587351128442346</v>
      </c>
      <c r="E24" s="138"/>
      <c r="F24" s="138"/>
      <c r="G24" s="138"/>
      <c r="H24" s="138"/>
      <c r="I24" s="138"/>
      <c r="J24" s="138"/>
      <c r="K24" s="138"/>
      <c r="L24" s="690"/>
      <c r="M24" s="652" t="s">
        <v>521</v>
      </c>
      <c r="N24" s="651">
        <v>2.5550800000000002</v>
      </c>
      <c r="O24" s="651">
        <v>2.0614499999999998</v>
      </c>
      <c r="P24" s="718"/>
    </row>
    <row r="25" spans="1:16" ht="9.75" customHeight="1">
      <c r="A25" s="603" t="s">
        <v>103</v>
      </c>
      <c r="B25" s="742">
        <v>61.781999999999996</v>
      </c>
      <c r="C25" s="742">
        <v>86.416169999999994</v>
      </c>
      <c r="D25" s="604">
        <f t="shared" si="0"/>
        <v>-0.2850643577469355</v>
      </c>
      <c r="E25" s="138"/>
      <c r="F25" s="138"/>
      <c r="G25" s="138"/>
      <c r="H25" s="138"/>
      <c r="I25" s="138"/>
      <c r="J25" s="138"/>
      <c r="K25" s="138"/>
      <c r="L25" s="689"/>
      <c r="M25" s="652" t="s">
        <v>110</v>
      </c>
      <c r="N25" s="651">
        <v>2.7425100000000002</v>
      </c>
      <c r="O25" s="651">
        <v>2.4933199999999998</v>
      </c>
      <c r="P25" s="718"/>
    </row>
    <row r="26" spans="1:16" ht="9.75" customHeight="1">
      <c r="A26" s="601" t="s">
        <v>95</v>
      </c>
      <c r="B26" s="741">
        <v>54.015569999999997</v>
      </c>
      <c r="C26" s="741">
        <v>87.759799999999998</v>
      </c>
      <c r="D26" s="602">
        <f t="shared" si="0"/>
        <v>-0.38450668757221418</v>
      </c>
      <c r="E26" s="138"/>
      <c r="F26" s="138"/>
      <c r="G26" s="138"/>
      <c r="H26" s="138"/>
      <c r="I26" s="138"/>
      <c r="J26" s="138"/>
      <c r="K26" s="138"/>
      <c r="L26" s="689"/>
      <c r="M26" s="652" t="s">
        <v>112</v>
      </c>
      <c r="N26" s="651">
        <v>2.8</v>
      </c>
      <c r="O26" s="651">
        <v>0</v>
      </c>
      <c r="P26" s="718"/>
    </row>
    <row r="27" spans="1:16" ht="9.75" customHeight="1">
      <c r="A27" s="603" t="s">
        <v>106</v>
      </c>
      <c r="B27" s="742">
        <v>47.708629999999999</v>
      </c>
      <c r="C27" s="742">
        <v>26.798539999999999</v>
      </c>
      <c r="D27" s="604">
        <f t="shared" si="0"/>
        <v>0.7802697460384036</v>
      </c>
      <c r="E27" s="138"/>
      <c r="F27" s="138"/>
      <c r="G27" s="138"/>
      <c r="H27" s="138"/>
      <c r="I27" s="138"/>
      <c r="J27" s="138"/>
      <c r="K27" s="138"/>
      <c r="L27" s="689"/>
      <c r="M27" s="652" t="s">
        <v>100</v>
      </c>
      <c r="N27" s="651">
        <v>3.04087</v>
      </c>
      <c r="O27" s="651">
        <v>0</v>
      </c>
      <c r="P27" s="718"/>
    </row>
    <row r="28" spans="1:16" ht="9.75" customHeight="1">
      <c r="A28" s="601" t="s">
        <v>231</v>
      </c>
      <c r="B28" s="741">
        <v>41.208109999999998</v>
      </c>
      <c r="C28" s="741">
        <v>46.882770000000001</v>
      </c>
      <c r="D28" s="602">
        <f t="shared" si="0"/>
        <v>-0.12103934985070219</v>
      </c>
      <c r="E28" s="138"/>
      <c r="F28" s="138"/>
      <c r="G28" s="138"/>
      <c r="H28" s="138"/>
      <c r="I28" s="138"/>
      <c r="J28" s="138"/>
      <c r="K28" s="138"/>
      <c r="L28" s="689"/>
      <c r="M28" s="652" t="s">
        <v>111</v>
      </c>
      <c r="N28" s="651">
        <v>3.6019999999999999</v>
      </c>
      <c r="O28" s="651">
        <v>3.1509999999999998</v>
      </c>
      <c r="P28" s="718"/>
    </row>
    <row r="29" spans="1:16" ht="9.75" customHeight="1">
      <c r="A29" s="605" t="s">
        <v>99</v>
      </c>
      <c r="B29" s="743">
        <v>28.453870000000006</v>
      </c>
      <c r="C29" s="743">
        <v>47.310569999999998</v>
      </c>
      <c r="D29" s="606">
        <f t="shared" si="0"/>
        <v>-0.39857266568549043</v>
      </c>
      <c r="E29" s="138"/>
      <c r="F29" s="138"/>
      <c r="G29" s="138"/>
      <c r="H29" s="138"/>
      <c r="I29" s="138"/>
      <c r="J29" s="138"/>
      <c r="K29" s="138"/>
      <c r="L29" s="689"/>
      <c r="M29" s="652" t="s">
        <v>113</v>
      </c>
      <c r="N29" s="651">
        <v>3.7410399999999999</v>
      </c>
      <c r="O29" s="651">
        <v>1.9670000000000001</v>
      </c>
      <c r="P29" s="718"/>
    </row>
    <row r="30" spans="1:16" ht="9.75" customHeight="1">
      <c r="A30" s="607" t="s">
        <v>431</v>
      </c>
      <c r="B30" s="744">
        <v>28.14573</v>
      </c>
      <c r="C30" s="744">
        <v>15.47986</v>
      </c>
      <c r="D30" s="608">
        <f t="shared" si="0"/>
        <v>0.81821605621756266</v>
      </c>
      <c r="E30" s="138"/>
      <c r="F30" s="138"/>
      <c r="G30" s="138"/>
      <c r="H30" s="138"/>
      <c r="I30" s="138"/>
      <c r="J30" s="138"/>
      <c r="K30" s="138"/>
      <c r="L30" s="689"/>
      <c r="M30" s="652" t="s">
        <v>235</v>
      </c>
      <c r="N30" s="651">
        <v>3.9351099999999999</v>
      </c>
      <c r="O30" s="651">
        <v>3.1380599999999998</v>
      </c>
      <c r="P30" s="718"/>
    </row>
    <row r="31" spans="1:16" ht="9.75" customHeight="1">
      <c r="A31" s="609" t="s">
        <v>109</v>
      </c>
      <c r="B31" s="745">
        <v>27.228339999999999</v>
      </c>
      <c r="C31" s="745">
        <v>25.91872</v>
      </c>
      <c r="D31" s="610">
        <f t="shared" si="0"/>
        <v>5.0527958170773823E-2</v>
      </c>
      <c r="E31" s="138"/>
      <c r="F31" s="138"/>
      <c r="G31" s="138"/>
      <c r="H31" s="138"/>
      <c r="I31" s="138"/>
      <c r="J31" s="138"/>
      <c r="K31" s="138"/>
      <c r="L31" s="689"/>
      <c r="M31" s="652" t="s">
        <v>447</v>
      </c>
      <c r="N31" s="651">
        <v>5.7991200000000003</v>
      </c>
      <c r="O31" s="651">
        <v>2.9041399999999999</v>
      </c>
      <c r="P31" s="718"/>
    </row>
    <row r="32" spans="1:16" ht="9.75" customHeight="1">
      <c r="A32" s="607" t="s">
        <v>384</v>
      </c>
      <c r="B32" s="744">
        <v>20.11383</v>
      </c>
      <c r="C32" s="744">
        <v>20.015000000000001</v>
      </c>
      <c r="D32" s="608">
        <f t="shared" si="0"/>
        <v>4.9377966525105954E-3</v>
      </c>
      <c r="E32" s="138"/>
      <c r="F32" s="138"/>
      <c r="G32" s="138"/>
      <c r="H32" s="138"/>
      <c r="I32" s="138"/>
      <c r="J32" s="138"/>
      <c r="K32" s="138"/>
      <c r="L32" s="689"/>
      <c r="M32" s="652" t="s">
        <v>393</v>
      </c>
      <c r="N32" s="651">
        <v>7.4326000000000008</v>
      </c>
      <c r="O32" s="651">
        <v>8.3617799999999995</v>
      </c>
      <c r="P32" s="718"/>
    </row>
    <row r="33" spans="1:16" ht="13.5" customHeight="1">
      <c r="A33" s="611" t="s">
        <v>451</v>
      </c>
      <c r="B33" s="745">
        <v>19.721080000000001</v>
      </c>
      <c r="C33" s="745">
        <v>19.828009999999999</v>
      </c>
      <c r="D33" s="610">
        <f t="shared" si="0"/>
        <v>-5.3928760374842843E-3</v>
      </c>
      <c r="E33" s="138"/>
      <c r="F33" s="138"/>
      <c r="G33" s="138"/>
      <c r="H33" s="138"/>
      <c r="I33" s="138"/>
      <c r="J33" s="138"/>
      <c r="K33" s="138"/>
      <c r="L33" s="689"/>
      <c r="M33" s="652" t="s">
        <v>439</v>
      </c>
      <c r="N33" s="651">
        <v>7.5263600000000004</v>
      </c>
      <c r="O33" s="651">
        <v>0</v>
      </c>
      <c r="P33" s="718"/>
    </row>
    <row r="34" spans="1:16" ht="13.5" customHeight="1">
      <c r="A34" s="607" t="s">
        <v>102</v>
      </c>
      <c r="B34" s="744">
        <v>18.87613</v>
      </c>
      <c r="C34" s="744">
        <v>14.582840000000001</v>
      </c>
      <c r="D34" s="608">
        <f t="shared" si="0"/>
        <v>0.29440698793924902</v>
      </c>
      <c r="E34" s="138"/>
      <c r="F34" s="138"/>
      <c r="G34" s="138"/>
      <c r="H34" s="138"/>
      <c r="I34" s="138"/>
      <c r="J34" s="138"/>
      <c r="K34" s="138"/>
      <c r="L34" s="689"/>
      <c r="M34" s="652" t="s">
        <v>448</v>
      </c>
      <c r="N34" s="651">
        <v>10.4338</v>
      </c>
      <c r="O34" s="651">
        <v>1.7532000000000001</v>
      </c>
      <c r="P34" s="718"/>
    </row>
    <row r="35" spans="1:16" ht="13.5" customHeight="1">
      <c r="A35" s="611" t="s">
        <v>116</v>
      </c>
      <c r="B35" s="745">
        <v>18.677119999999999</v>
      </c>
      <c r="C35" s="745">
        <v>10.046860000000001</v>
      </c>
      <c r="D35" s="610">
        <f t="shared" si="0"/>
        <v>0.85900072261383142</v>
      </c>
      <c r="E35" s="138"/>
      <c r="F35" s="138"/>
      <c r="G35" s="138"/>
      <c r="H35" s="138"/>
      <c r="I35" s="138"/>
      <c r="J35" s="138"/>
      <c r="K35" s="138"/>
      <c r="L35" s="689"/>
      <c r="M35" s="652" t="s">
        <v>430</v>
      </c>
      <c r="N35" s="651">
        <v>10.4375</v>
      </c>
      <c r="O35" s="651">
        <v>9.0587599999999995</v>
      </c>
      <c r="P35" s="718"/>
    </row>
    <row r="36" spans="1:16" ht="10.199999999999999" customHeight="1">
      <c r="A36" s="612" t="s">
        <v>233</v>
      </c>
      <c r="B36" s="744">
        <v>18.512</v>
      </c>
      <c r="C36" s="744">
        <v>18.378430000000002</v>
      </c>
      <c r="D36" s="608">
        <f t="shared" si="0"/>
        <v>7.2677589979122104E-3</v>
      </c>
      <c r="E36" s="138"/>
      <c r="F36" s="138"/>
      <c r="G36" s="138"/>
      <c r="H36" s="138"/>
      <c r="I36" s="138"/>
      <c r="J36" s="138"/>
      <c r="K36" s="138"/>
      <c r="L36" s="689"/>
      <c r="M36" s="652" t="s">
        <v>400</v>
      </c>
      <c r="N36" s="653">
        <v>11.91587</v>
      </c>
      <c r="O36" s="653">
        <v>11.69773</v>
      </c>
      <c r="P36" s="718"/>
    </row>
    <row r="37" spans="1:16" ht="13.5" customHeight="1">
      <c r="A37" s="611" t="s">
        <v>422</v>
      </c>
      <c r="B37" s="745">
        <v>17.395849999999999</v>
      </c>
      <c r="C37" s="745">
        <v>13.17625</v>
      </c>
      <c r="D37" s="610">
        <f t="shared" si="0"/>
        <v>0.32024286120861389</v>
      </c>
      <c r="E37" s="138"/>
      <c r="F37" s="138"/>
      <c r="G37" s="138"/>
      <c r="H37" s="138"/>
      <c r="I37" s="138"/>
      <c r="J37" s="138"/>
      <c r="K37" s="138"/>
      <c r="L37" s="689"/>
      <c r="M37" s="652" t="s">
        <v>104</v>
      </c>
      <c r="N37" s="651">
        <v>13.32072</v>
      </c>
      <c r="O37" s="651">
        <v>0</v>
      </c>
      <c r="P37" s="718"/>
    </row>
    <row r="38" spans="1:16" ht="11.25" customHeight="1">
      <c r="A38" s="607" t="s">
        <v>97</v>
      </c>
      <c r="B38" s="744">
        <v>17.19483</v>
      </c>
      <c r="C38" s="744">
        <v>11.430680000000001</v>
      </c>
      <c r="D38" s="608">
        <f t="shared" si="0"/>
        <v>0.50427008716891719</v>
      </c>
      <c r="E38" s="138"/>
      <c r="F38" s="138"/>
      <c r="G38" s="138"/>
      <c r="H38" s="138"/>
      <c r="I38" s="138"/>
      <c r="J38" s="138"/>
      <c r="K38" s="138"/>
      <c r="L38" s="691"/>
      <c r="M38" s="652" t="s">
        <v>97</v>
      </c>
      <c r="N38" s="651">
        <v>17.19483</v>
      </c>
      <c r="O38" s="651">
        <v>11.430680000000001</v>
      </c>
      <c r="P38" s="718"/>
    </row>
    <row r="39" spans="1:16" ht="11.25" customHeight="1">
      <c r="A39" s="611" t="s">
        <v>104</v>
      </c>
      <c r="B39" s="745">
        <v>13.32072</v>
      </c>
      <c r="C39" s="745">
        <v>0</v>
      </c>
      <c r="D39" s="610" t="str">
        <f t="shared" si="0"/>
        <v/>
      </c>
      <c r="E39" s="138"/>
      <c r="F39" s="138"/>
      <c r="G39" s="138"/>
      <c r="H39" s="138"/>
      <c r="I39" s="138"/>
      <c r="J39" s="138"/>
      <c r="K39" s="138"/>
      <c r="L39" s="691"/>
      <c r="M39" s="652" t="s">
        <v>422</v>
      </c>
      <c r="N39" s="651">
        <v>17.395849999999999</v>
      </c>
      <c r="O39" s="651">
        <v>13.17625</v>
      </c>
      <c r="P39" s="718"/>
    </row>
    <row r="40" spans="1:16" ht="11.4" customHeight="1">
      <c r="A40" s="612" t="s">
        <v>400</v>
      </c>
      <c r="B40" s="744">
        <v>11.91587</v>
      </c>
      <c r="C40" s="744">
        <v>11.69773</v>
      </c>
      <c r="D40" s="608">
        <f t="shared" si="0"/>
        <v>1.8648062487337302E-2</v>
      </c>
      <c r="E40" s="138"/>
      <c r="F40" s="138"/>
      <c r="G40" s="138"/>
      <c r="H40" s="138"/>
      <c r="I40" s="138"/>
      <c r="J40" s="138"/>
      <c r="K40" s="138"/>
      <c r="L40" s="690"/>
      <c r="M40" s="652" t="s">
        <v>233</v>
      </c>
      <c r="N40" s="651">
        <v>18.512</v>
      </c>
      <c r="O40" s="651">
        <v>18.378430000000002</v>
      </c>
      <c r="P40" s="718"/>
    </row>
    <row r="41" spans="1:16" ht="11.25" customHeight="1">
      <c r="A41" s="611" t="s">
        <v>430</v>
      </c>
      <c r="B41" s="745">
        <v>10.4375</v>
      </c>
      <c r="C41" s="745">
        <v>9.0587599999999995</v>
      </c>
      <c r="D41" s="610">
        <f t="shared" si="0"/>
        <v>0.15219963880266185</v>
      </c>
      <c r="E41" s="138"/>
      <c r="F41" s="138"/>
      <c r="G41" s="138"/>
      <c r="H41" s="138"/>
      <c r="I41" s="138"/>
      <c r="J41" s="138"/>
      <c r="K41" s="138"/>
      <c r="L41" s="690"/>
      <c r="M41" s="652" t="s">
        <v>116</v>
      </c>
      <c r="N41" s="651">
        <v>18.677119999999999</v>
      </c>
      <c r="O41" s="651">
        <v>10.046860000000001</v>
      </c>
      <c r="P41" s="718"/>
    </row>
    <row r="42" spans="1:16" ht="11.25" customHeight="1">
      <c r="A42" s="613" t="s">
        <v>448</v>
      </c>
      <c r="B42" s="744">
        <v>10.4338</v>
      </c>
      <c r="C42" s="744">
        <v>1.7532000000000001</v>
      </c>
      <c r="D42" s="608">
        <f t="shared" si="0"/>
        <v>4.9512890714122744</v>
      </c>
      <c r="E42" s="138"/>
      <c r="F42" s="138"/>
      <c r="G42" s="138"/>
      <c r="H42" s="138"/>
      <c r="I42" s="138"/>
      <c r="J42" s="138"/>
      <c r="K42" s="138"/>
      <c r="L42" s="690"/>
      <c r="M42" s="652" t="s">
        <v>102</v>
      </c>
      <c r="N42" s="651">
        <v>18.87613</v>
      </c>
      <c r="O42" s="651">
        <v>14.582840000000001</v>
      </c>
      <c r="P42" s="718"/>
    </row>
    <row r="43" spans="1:16" ht="9.75" customHeight="1">
      <c r="A43" s="609" t="s">
        <v>439</v>
      </c>
      <c r="B43" s="745">
        <v>7.5263600000000004</v>
      </c>
      <c r="C43" s="745">
        <v>0</v>
      </c>
      <c r="D43" s="610" t="str">
        <f t="shared" si="0"/>
        <v/>
      </c>
      <c r="E43" s="138"/>
      <c r="F43" s="138"/>
      <c r="G43" s="138"/>
      <c r="H43" s="138"/>
      <c r="I43" s="138"/>
      <c r="J43" s="138"/>
      <c r="K43" s="138"/>
      <c r="L43" s="691"/>
      <c r="M43" s="652" t="s">
        <v>451</v>
      </c>
      <c r="N43" s="651">
        <v>19.721080000000001</v>
      </c>
      <c r="O43" s="651">
        <v>19.828009999999999</v>
      </c>
      <c r="P43" s="718"/>
    </row>
    <row r="44" spans="1:16" ht="9.75" customHeight="1">
      <c r="A44" s="607" t="s">
        <v>393</v>
      </c>
      <c r="B44" s="744">
        <v>7.4326000000000008</v>
      </c>
      <c r="C44" s="744">
        <v>8.3617799999999995</v>
      </c>
      <c r="D44" s="608">
        <f t="shared" si="0"/>
        <v>-0.1111222730088568</v>
      </c>
      <c r="E44" s="138"/>
      <c r="F44" s="138"/>
      <c r="G44" s="138"/>
      <c r="H44" s="138"/>
      <c r="I44" s="138"/>
      <c r="J44" s="138"/>
      <c r="K44" s="138"/>
      <c r="L44" s="691"/>
      <c r="M44" s="652" t="s">
        <v>384</v>
      </c>
      <c r="N44" s="651">
        <v>20.11383</v>
      </c>
      <c r="O44" s="651">
        <v>20.015000000000001</v>
      </c>
      <c r="P44" s="718"/>
    </row>
    <row r="45" spans="1:16" ht="9.75" customHeight="1">
      <c r="A45" s="609" t="s">
        <v>447</v>
      </c>
      <c r="B45" s="745">
        <v>5.7991200000000003</v>
      </c>
      <c r="C45" s="745">
        <v>2.9041399999999999</v>
      </c>
      <c r="D45" s="610">
        <f t="shared" si="0"/>
        <v>0.99684588208557456</v>
      </c>
      <c r="E45" s="138"/>
      <c r="F45" s="138"/>
      <c r="G45" s="138"/>
      <c r="H45" s="138"/>
      <c r="I45" s="138"/>
      <c r="J45" s="138"/>
      <c r="K45" s="138"/>
      <c r="L45" s="691"/>
      <c r="M45" s="652" t="s">
        <v>109</v>
      </c>
      <c r="N45" s="651">
        <v>27.228339999999999</v>
      </c>
      <c r="O45" s="651">
        <v>25.91872</v>
      </c>
      <c r="P45" s="718"/>
    </row>
    <row r="46" spans="1:16" ht="9.75" customHeight="1">
      <c r="A46" s="607" t="s">
        <v>235</v>
      </c>
      <c r="B46" s="744">
        <v>3.9351099999999999</v>
      </c>
      <c r="C46" s="744">
        <v>3.1380599999999998</v>
      </c>
      <c r="D46" s="608">
        <f t="shared" si="0"/>
        <v>0.25399450615985675</v>
      </c>
      <c r="E46" s="138"/>
      <c r="F46" s="138"/>
      <c r="G46" s="138"/>
      <c r="H46" s="138"/>
      <c r="I46" s="138"/>
      <c r="J46" s="138"/>
      <c r="K46" s="138"/>
      <c r="M46" s="652" t="s">
        <v>431</v>
      </c>
      <c r="N46" s="651">
        <v>28.14573</v>
      </c>
      <c r="O46" s="651">
        <v>15.47986</v>
      </c>
      <c r="P46" s="718"/>
    </row>
    <row r="47" spans="1:16" ht="9.75" customHeight="1">
      <c r="A47" s="609" t="s">
        <v>113</v>
      </c>
      <c r="B47" s="745">
        <v>3.7410399999999999</v>
      </c>
      <c r="C47" s="745">
        <v>1.9670000000000001</v>
      </c>
      <c r="D47" s="610"/>
      <c r="E47" s="138"/>
      <c r="F47" s="138"/>
      <c r="G47" s="138"/>
      <c r="H47" s="138"/>
      <c r="I47" s="138"/>
      <c r="J47" s="138"/>
      <c r="K47" s="138"/>
      <c r="M47" s="652" t="s">
        <v>99</v>
      </c>
      <c r="N47" s="651">
        <v>28.453870000000006</v>
      </c>
      <c r="O47" s="651">
        <v>47.310569999999998</v>
      </c>
      <c r="P47" s="718"/>
    </row>
    <row r="48" spans="1:16" ht="9.6" customHeight="1">
      <c r="A48" s="612" t="s">
        <v>111</v>
      </c>
      <c r="B48" s="744">
        <v>3.6019999999999999</v>
      </c>
      <c r="C48" s="744">
        <v>3.1509999999999998</v>
      </c>
      <c r="D48" s="608"/>
      <c r="E48" s="138"/>
      <c r="F48" s="138"/>
      <c r="G48" s="138"/>
      <c r="H48" s="138"/>
      <c r="I48" s="138"/>
      <c r="J48" s="138"/>
      <c r="K48" s="138"/>
      <c r="M48" s="652" t="s">
        <v>231</v>
      </c>
      <c r="N48" s="651">
        <v>41.208109999999998</v>
      </c>
      <c r="O48" s="651">
        <v>46.882770000000001</v>
      </c>
      <c r="P48" s="718"/>
    </row>
    <row r="49" spans="1:16" ht="9.75" customHeight="1">
      <c r="A49" s="609" t="s">
        <v>100</v>
      </c>
      <c r="B49" s="745">
        <v>3.04087</v>
      </c>
      <c r="C49" s="745">
        <v>0</v>
      </c>
      <c r="D49" s="610" t="str">
        <f t="shared" si="0"/>
        <v/>
      </c>
      <c r="E49" s="138"/>
      <c r="F49" s="138"/>
      <c r="G49" s="138"/>
      <c r="H49" s="138"/>
      <c r="I49" s="138"/>
      <c r="J49" s="138"/>
      <c r="K49" s="138"/>
      <c r="M49" s="652" t="s">
        <v>106</v>
      </c>
      <c r="N49" s="651">
        <v>47.708629999999999</v>
      </c>
      <c r="O49" s="651">
        <v>26.798539999999999</v>
      </c>
      <c r="P49" s="718"/>
    </row>
    <row r="50" spans="1:16" ht="10.95" customHeight="1">
      <c r="A50" s="612" t="s">
        <v>112</v>
      </c>
      <c r="B50" s="744">
        <v>2.8</v>
      </c>
      <c r="C50" s="744">
        <v>0</v>
      </c>
      <c r="D50" s="608" t="str">
        <f t="shared" si="0"/>
        <v/>
      </c>
      <c r="E50" s="138"/>
      <c r="F50" s="138"/>
      <c r="G50" s="138"/>
      <c r="H50" s="138"/>
      <c r="I50" s="138"/>
      <c r="J50" s="138"/>
      <c r="K50" s="138"/>
      <c r="M50" s="652" t="s">
        <v>95</v>
      </c>
      <c r="N50" s="651">
        <v>54.015569999999997</v>
      </c>
      <c r="O50" s="651">
        <v>87.759799999999998</v>
      </c>
      <c r="P50" s="718"/>
    </row>
    <row r="51" spans="1:16" ht="11.25" customHeight="1">
      <c r="A51" s="611" t="s">
        <v>110</v>
      </c>
      <c r="B51" s="745">
        <v>2.7425100000000002</v>
      </c>
      <c r="C51" s="745">
        <v>2.4933199999999998</v>
      </c>
      <c r="D51" s="610">
        <f t="shared" si="0"/>
        <v>9.9943047823785269E-2</v>
      </c>
      <c r="E51" s="138"/>
      <c r="F51" s="138"/>
      <c r="G51" s="138"/>
      <c r="H51" s="138"/>
      <c r="I51" s="138"/>
      <c r="J51" s="138"/>
      <c r="K51" s="138"/>
      <c r="M51" s="652" t="s">
        <v>103</v>
      </c>
      <c r="N51" s="651">
        <v>61.781999999999996</v>
      </c>
      <c r="O51" s="651">
        <v>86.416169999999994</v>
      </c>
      <c r="P51" s="718"/>
    </row>
    <row r="52" spans="1:16" ht="12" customHeight="1">
      <c r="A52" s="612" t="s">
        <v>521</v>
      </c>
      <c r="B52" s="744">
        <v>2.5550800000000002</v>
      </c>
      <c r="C52" s="744">
        <v>2.0614499999999998</v>
      </c>
      <c r="D52" s="608">
        <f t="shared" si="0"/>
        <v>0.23945766329525364</v>
      </c>
      <c r="E52" s="138"/>
      <c r="F52" s="138"/>
      <c r="G52" s="138"/>
      <c r="H52" s="138"/>
      <c r="I52" s="138"/>
      <c r="J52" s="138"/>
      <c r="K52" s="138"/>
      <c r="M52" s="652" t="s">
        <v>450</v>
      </c>
      <c r="N52" s="651">
        <v>66.907709999999994</v>
      </c>
      <c r="O52" s="651">
        <v>25.859540000000003</v>
      </c>
      <c r="P52" s="718"/>
    </row>
    <row r="53" spans="1:16" ht="9.75" customHeight="1">
      <c r="A53" s="611" t="s">
        <v>446</v>
      </c>
      <c r="B53" s="745">
        <v>2.2000000000000001E-4</v>
      </c>
      <c r="C53" s="745">
        <v>0</v>
      </c>
      <c r="D53" s="610" t="str">
        <f t="shared" si="0"/>
        <v/>
      </c>
      <c r="E53" s="138"/>
      <c r="F53" s="138"/>
      <c r="G53" s="138"/>
      <c r="H53" s="138"/>
      <c r="I53" s="138"/>
      <c r="J53" s="138"/>
      <c r="K53" s="138"/>
      <c r="M53" s="652" t="s">
        <v>455</v>
      </c>
      <c r="N53" s="651">
        <v>73.706000000000003</v>
      </c>
      <c r="O53" s="651">
        <v>36.260019999999997</v>
      </c>
      <c r="P53" s="718"/>
    </row>
    <row r="54" spans="1:16" ht="9.75" customHeight="1">
      <c r="A54" s="607" t="s">
        <v>117</v>
      </c>
      <c r="B54" s="744">
        <v>0</v>
      </c>
      <c r="C54" s="744">
        <v>18.309740000000001</v>
      </c>
      <c r="D54" s="608">
        <f t="shared" si="0"/>
        <v>-1</v>
      </c>
      <c r="E54" s="138"/>
      <c r="F54" s="138"/>
      <c r="G54" s="138"/>
      <c r="H54" s="138"/>
      <c r="I54" s="138"/>
      <c r="J54" s="138"/>
      <c r="K54" s="138"/>
      <c r="M54" s="652" t="s">
        <v>94</v>
      </c>
      <c r="N54" s="651">
        <v>86.671000000000006</v>
      </c>
      <c r="O54" s="651">
        <v>105.373</v>
      </c>
      <c r="P54" s="718"/>
    </row>
    <row r="55" spans="1:16" ht="9.75" customHeight="1">
      <c r="A55" s="609" t="s">
        <v>229</v>
      </c>
      <c r="B55" s="745">
        <v>0</v>
      </c>
      <c r="C55" s="745">
        <v>0</v>
      </c>
      <c r="D55" s="610" t="str">
        <f t="shared" si="0"/>
        <v/>
      </c>
      <c r="E55" s="138"/>
      <c r="F55" s="138"/>
      <c r="G55" s="138"/>
      <c r="H55" s="138"/>
      <c r="I55" s="138"/>
      <c r="J55" s="138"/>
      <c r="K55" s="138"/>
      <c r="M55" s="652" t="s">
        <v>408</v>
      </c>
      <c r="N55" s="651">
        <v>91.655389999999997</v>
      </c>
      <c r="O55" s="651">
        <v>86.90379999999999</v>
      </c>
      <c r="P55" s="718"/>
    </row>
    <row r="56" spans="1:16" ht="9.75" customHeight="1">
      <c r="A56" s="607" t="s">
        <v>232</v>
      </c>
      <c r="B56" s="744">
        <v>0</v>
      </c>
      <c r="C56" s="744">
        <v>566.63325000000009</v>
      </c>
      <c r="D56" s="608">
        <f t="shared" si="0"/>
        <v>-1</v>
      </c>
      <c r="E56" s="138"/>
      <c r="F56" s="138"/>
      <c r="G56" s="138"/>
      <c r="H56" s="138"/>
      <c r="I56" s="138"/>
      <c r="J56" s="138"/>
      <c r="K56" s="138"/>
      <c r="M56" s="652" t="s">
        <v>93</v>
      </c>
      <c r="N56" s="651">
        <v>113.46235</v>
      </c>
      <c r="O56" s="651">
        <v>97.521780000000007</v>
      </c>
      <c r="P56" s="718"/>
    </row>
    <row r="57" spans="1:16" ht="9.75" customHeight="1">
      <c r="A57" s="609" t="s">
        <v>101</v>
      </c>
      <c r="B57" s="745">
        <v>0</v>
      </c>
      <c r="C57" s="745">
        <v>19.114570000000001</v>
      </c>
      <c r="D57" s="610">
        <f t="shared" si="0"/>
        <v>-1</v>
      </c>
      <c r="E57" s="138"/>
      <c r="F57" s="138"/>
      <c r="G57" s="138"/>
      <c r="H57" s="138"/>
      <c r="I57" s="138"/>
      <c r="J57" s="138"/>
      <c r="K57" s="138"/>
      <c r="M57" s="652" t="s">
        <v>96</v>
      </c>
      <c r="N57" s="651">
        <v>113.498</v>
      </c>
      <c r="O57" s="651">
        <v>77.456999999999994</v>
      </c>
      <c r="P57" s="718"/>
    </row>
    <row r="58" spans="1:16" ht="9.75" customHeight="1">
      <c r="A58" s="607" t="s">
        <v>114</v>
      </c>
      <c r="B58" s="744">
        <v>0</v>
      </c>
      <c r="C58" s="744">
        <v>0</v>
      </c>
      <c r="D58" s="608" t="str">
        <f t="shared" si="0"/>
        <v/>
      </c>
      <c r="E58" s="138"/>
      <c r="F58" s="138"/>
      <c r="G58" s="138"/>
      <c r="H58" s="138"/>
      <c r="I58" s="138"/>
      <c r="J58" s="138"/>
      <c r="K58" s="138"/>
      <c r="M58" s="652" t="s">
        <v>89</v>
      </c>
      <c r="N58" s="651">
        <v>122.64256999999996</v>
      </c>
      <c r="O58" s="651">
        <v>122.08637999999999</v>
      </c>
      <c r="P58" s="718"/>
    </row>
    <row r="59" spans="1:16" ht="9.75" customHeight="1">
      <c r="A59" s="609" t="s">
        <v>108</v>
      </c>
      <c r="B59" s="745">
        <v>0</v>
      </c>
      <c r="C59" s="745">
        <v>0</v>
      </c>
      <c r="D59" s="610" t="str">
        <f t="shared" si="0"/>
        <v/>
      </c>
      <c r="E59" s="138"/>
      <c r="F59" s="138"/>
      <c r="G59" s="138"/>
      <c r="H59" s="138"/>
      <c r="I59" s="138"/>
      <c r="J59" s="138"/>
      <c r="K59" s="138"/>
      <c r="M59" s="652" t="s">
        <v>92</v>
      </c>
      <c r="N59" s="651">
        <v>131.483</v>
      </c>
      <c r="O59" s="651">
        <v>95.272500000000008</v>
      </c>
      <c r="P59" s="718"/>
    </row>
    <row r="60" spans="1:16" ht="9.75" customHeight="1">
      <c r="A60" s="607" t="s">
        <v>105</v>
      </c>
      <c r="B60" s="744">
        <v>0</v>
      </c>
      <c r="C60" s="744">
        <v>0</v>
      </c>
      <c r="D60" s="608" t="str">
        <f t="shared" si="0"/>
        <v/>
      </c>
      <c r="E60" s="138"/>
      <c r="F60" s="138"/>
      <c r="G60" s="138"/>
      <c r="H60" s="138"/>
      <c r="I60" s="138"/>
      <c r="J60" s="138"/>
      <c r="K60" s="138"/>
      <c r="M60" s="652" t="s">
        <v>90</v>
      </c>
      <c r="N60" s="651">
        <v>168.52100000000002</v>
      </c>
      <c r="O60" s="651">
        <v>156.56699999999998</v>
      </c>
      <c r="P60" s="718"/>
    </row>
    <row r="61" spans="1:16" ht="9.75" customHeight="1">
      <c r="A61" s="614" t="s">
        <v>236</v>
      </c>
      <c r="B61" s="746">
        <v>0</v>
      </c>
      <c r="C61" s="746">
        <v>0</v>
      </c>
      <c r="D61" s="610" t="str">
        <f t="shared" si="0"/>
        <v/>
      </c>
      <c r="E61" s="138"/>
      <c r="F61" s="138"/>
      <c r="G61" s="138"/>
      <c r="H61" s="138"/>
      <c r="I61" s="138"/>
      <c r="J61" s="138"/>
      <c r="K61" s="138"/>
      <c r="M61" s="652" t="s">
        <v>91</v>
      </c>
      <c r="N61" s="651">
        <v>191.751</v>
      </c>
      <c r="O61" s="651">
        <v>79.022999999999996</v>
      </c>
      <c r="P61" s="718"/>
    </row>
    <row r="62" spans="1:16" ht="9.75" customHeight="1">
      <c r="A62" s="615" t="s">
        <v>237</v>
      </c>
      <c r="B62" s="747">
        <v>0</v>
      </c>
      <c r="C62" s="747">
        <v>0</v>
      </c>
      <c r="D62" s="616" t="str">
        <f t="shared" si="0"/>
        <v/>
      </c>
      <c r="E62" s="138"/>
      <c r="F62" s="138"/>
      <c r="G62" s="138"/>
      <c r="H62" s="138"/>
      <c r="I62" s="138"/>
      <c r="J62" s="138"/>
      <c r="K62" s="138"/>
      <c r="M62" s="652" t="s">
        <v>98</v>
      </c>
      <c r="N62" s="651">
        <v>288.74909000000002</v>
      </c>
      <c r="O62" s="651">
        <v>197.02189000000001</v>
      </c>
      <c r="P62" s="718"/>
    </row>
    <row r="63" spans="1:16" ht="9.75" customHeight="1">
      <c r="A63" s="614" t="s">
        <v>115</v>
      </c>
      <c r="B63" s="746">
        <v>0</v>
      </c>
      <c r="C63" s="746">
        <v>0</v>
      </c>
      <c r="D63" s="604" t="str">
        <f t="shared" si="0"/>
        <v/>
      </c>
      <c r="E63" s="138"/>
      <c r="F63" s="138"/>
      <c r="G63" s="138"/>
      <c r="H63" s="138"/>
      <c r="I63" s="138"/>
      <c r="J63" s="138"/>
      <c r="K63" s="138"/>
      <c r="M63" s="652" t="s">
        <v>234</v>
      </c>
      <c r="N63" s="651">
        <v>327.85599999999999</v>
      </c>
      <c r="O63" s="651">
        <v>237.09399999999999</v>
      </c>
      <c r="P63" s="718"/>
    </row>
    <row r="64" spans="1:16" ht="9.75" customHeight="1">
      <c r="A64" s="615" t="s">
        <v>107</v>
      </c>
      <c r="B64" s="747">
        <v>0</v>
      </c>
      <c r="C64" s="747">
        <v>0</v>
      </c>
      <c r="D64" s="616" t="str">
        <f t="shared" si="0"/>
        <v/>
      </c>
      <c r="E64" s="138"/>
      <c r="F64" s="138"/>
      <c r="G64" s="138"/>
      <c r="H64" s="138"/>
      <c r="I64" s="138"/>
      <c r="J64" s="138"/>
      <c r="K64" s="138"/>
      <c r="M64" s="652" t="s">
        <v>88</v>
      </c>
      <c r="N64" s="651">
        <v>405.17062999999996</v>
      </c>
      <c r="O64" s="651">
        <v>231.82942000000003</v>
      </c>
      <c r="P64" s="718"/>
    </row>
    <row r="65" spans="1:16" ht="9.75" customHeight="1">
      <c r="A65" s="614" t="s">
        <v>409</v>
      </c>
      <c r="B65" s="746">
        <v>0</v>
      </c>
      <c r="C65" s="746">
        <v>0</v>
      </c>
      <c r="D65" s="604" t="str">
        <f t="shared" si="0"/>
        <v/>
      </c>
      <c r="E65" s="138"/>
      <c r="F65" s="138"/>
      <c r="G65" s="138"/>
      <c r="H65" s="138"/>
      <c r="I65" s="138"/>
      <c r="J65" s="138"/>
      <c r="K65" s="138"/>
      <c r="M65" s="652" t="s">
        <v>230</v>
      </c>
      <c r="N65" s="651">
        <v>467.40625999999997</v>
      </c>
      <c r="O65" s="651">
        <v>460.85230999999999</v>
      </c>
      <c r="P65" s="718"/>
    </row>
    <row r="66" spans="1:16" ht="9.75" customHeight="1">
      <c r="A66" s="615" t="s">
        <v>445</v>
      </c>
      <c r="B66" s="747">
        <v>0</v>
      </c>
      <c r="C66" s="747">
        <v>0</v>
      </c>
      <c r="D66" s="616" t="str">
        <f t="shared" si="0"/>
        <v/>
      </c>
      <c r="E66" s="138"/>
      <c r="F66" s="138"/>
      <c r="G66" s="138"/>
      <c r="H66" s="138"/>
      <c r="I66" s="138"/>
      <c r="J66" s="138"/>
      <c r="K66" s="138"/>
      <c r="M66" s="652" t="s">
        <v>86</v>
      </c>
      <c r="N66" s="654">
        <v>711.58900000000006</v>
      </c>
      <c r="O66" s="654">
        <v>1144.3260000000002</v>
      </c>
      <c r="P66" s="718"/>
    </row>
    <row r="67" spans="1:16" ht="9.75" customHeight="1">
      <c r="A67" s="614" t="s">
        <v>449</v>
      </c>
      <c r="B67" s="746">
        <v>0</v>
      </c>
      <c r="C67" s="746">
        <v>0</v>
      </c>
      <c r="D67" s="604" t="str">
        <f t="shared" si="0"/>
        <v/>
      </c>
      <c r="E67" s="138"/>
      <c r="F67" s="138"/>
      <c r="G67" s="138"/>
      <c r="H67" s="138"/>
      <c r="I67" s="138"/>
      <c r="J67" s="138"/>
      <c r="K67" s="138"/>
      <c r="M67" s="652" t="s">
        <v>87</v>
      </c>
      <c r="N67" s="654">
        <v>813.5265599999999</v>
      </c>
      <c r="O67" s="654">
        <v>860.88816000000008</v>
      </c>
      <c r="P67" s="718"/>
    </row>
    <row r="68" spans="1:16" ht="9.75" customHeight="1">
      <c r="A68" s="615" t="s">
        <v>522</v>
      </c>
      <c r="B68" s="747">
        <v>0</v>
      </c>
      <c r="C68" s="747">
        <v>0</v>
      </c>
      <c r="D68" s="616" t="str">
        <f t="shared" si="0"/>
        <v/>
      </c>
      <c r="E68" s="138"/>
      <c r="F68" s="138"/>
      <c r="G68" s="138"/>
      <c r="H68" s="138"/>
      <c r="I68" s="138"/>
      <c r="J68" s="138"/>
      <c r="K68" s="138"/>
      <c r="M68" s="652" t="s">
        <v>85</v>
      </c>
      <c r="N68" s="654">
        <v>969.97019999999986</v>
      </c>
      <c r="O68" s="654">
        <v>1083.2693999999999</v>
      </c>
      <c r="P68" s="718"/>
    </row>
    <row r="69" spans="1:16" ht="9.75" customHeight="1">
      <c r="A69" s="614" t="s">
        <v>394</v>
      </c>
      <c r="B69" s="746"/>
      <c r="C69" s="746">
        <v>0.72</v>
      </c>
      <c r="D69" s="604">
        <f>IF(C69=0,"",B69/C69-1)</f>
        <v>-1</v>
      </c>
      <c r="E69" s="138"/>
      <c r="F69" s="138"/>
      <c r="G69" s="138"/>
      <c r="H69" s="138"/>
      <c r="I69" s="138"/>
      <c r="J69" s="138"/>
      <c r="K69" s="138"/>
      <c r="M69" s="652" t="s">
        <v>392</v>
      </c>
      <c r="N69" s="654">
        <v>1689.8150400000002</v>
      </c>
      <c r="O69" s="654">
        <v>715.96</v>
      </c>
      <c r="P69" s="718"/>
    </row>
    <row r="70" spans="1:16" ht="9.75" customHeight="1">
      <c r="A70" s="617" t="s">
        <v>41</v>
      </c>
      <c r="B70" s="618">
        <f>+SUM(B7:B69)</f>
        <v>7342.6966899999989</v>
      </c>
      <c r="C70" s="618">
        <f>+SUM(C7:C69)</f>
        <v>6908.9537000000009</v>
      </c>
      <c r="D70" s="619">
        <f>IF(C70=0,"",B70/C70-1)</f>
        <v>6.277983741590254E-2</v>
      </c>
      <c r="E70" s="138"/>
      <c r="F70" s="138"/>
      <c r="G70" s="138"/>
      <c r="H70" s="138"/>
      <c r="I70" s="138"/>
      <c r="J70" s="138"/>
      <c r="K70" s="138"/>
      <c r="P70" s="718"/>
    </row>
    <row r="71" spans="1:16" ht="9.75" customHeight="1">
      <c r="E71" s="138"/>
      <c r="F71" s="138"/>
      <c r="G71" s="138"/>
      <c r="H71" s="138"/>
      <c r="I71" s="138"/>
      <c r="J71" s="138"/>
      <c r="K71" s="138"/>
      <c r="P71" s="718"/>
    </row>
    <row r="72" spans="1:16" ht="31.2" customHeight="1">
      <c r="A72" s="886" t="str">
        <f>"Cuadro N° 8: Participación de las empresas generadoras del COES en la máxima potencia coincidente (MW) en "&amp;'1. Resumen'!Q4&amp;"."</f>
        <v>Cuadro N° 8: Participación de las empresas generadoras del COES en la máxima potencia coincidente (MW) en mayo.</v>
      </c>
      <c r="B72" s="886"/>
      <c r="C72" s="886"/>
      <c r="D72" s="886"/>
      <c r="E72" s="132"/>
      <c r="F72" s="886" t="str">
        <f>"Gráfico N° 12: Comparación de la máxima potencia coincidente  (MW) de las empresas generadoras del COES en "&amp;'1. Resumen'!Q4&amp;"."</f>
        <v>Gráfico N° 12: Comparación de la máxima potencia coincidente  (MW) de las empresas generadoras del COES en mayo.</v>
      </c>
      <c r="G72" s="886"/>
      <c r="H72" s="886"/>
      <c r="I72" s="886"/>
      <c r="J72" s="886"/>
      <c r="K72" s="886"/>
    </row>
    <row r="73" spans="1:16">
      <c r="A73" s="899"/>
      <c r="B73" s="899"/>
      <c r="C73" s="899"/>
      <c r="D73" s="899"/>
      <c r="E73" s="899"/>
      <c r="F73" s="899"/>
      <c r="G73" s="899"/>
      <c r="H73" s="899"/>
      <c r="I73" s="899"/>
      <c r="J73" s="899"/>
      <c r="K73" s="899"/>
    </row>
    <row r="74" spans="1:16">
      <c r="A74" s="898"/>
      <c r="B74" s="898"/>
      <c r="C74" s="898"/>
      <c r="D74" s="898"/>
      <c r="E74" s="898"/>
      <c r="F74" s="898"/>
      <c r="G74" s="898"/>
      <c r="H74" s="898"/>
      <c r="I74" s="898"/>
      <c r="J74" s="898"/>
      <c r="K74" s="898"/>
    </row>
  </sheetData>
  <mergeCells count="9">
    <mergeCell ref="A74:K74"/>
    <mergeCell ref="A73:K73"/>
    <mergeCell ref="A72:D72"/>
    <mergeCell ref="F72:K72"/>
    <mergeCell ref="A1:K1"/>
    <mergeCell ref="A3:A6"/>
    <mergeCell ref="B3:D3"/>
    <mergeCell ref="H3:J3"/>
    <mergeCell ref="D4:D6"/>
  </mergeCells>
  <pageMargins left="0.35186274509803922" right="0.32333333333333331" top="0.78021739130434786" bottom="0.43579710144927536" header="0.21789855072463768"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J3" sqref="J3"/>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90" t="s">
        <v>245</v>
      </c>
      <c r="B2" s="890"/>
      <c r="C2" s="890"/>
      <c r="D2" s="890"/>
      <c r="E2" s="890"/>
      <c r="F2" s="890"/>
      <c r="G2" s="890"/>
      <c r="H2" s="890"/>
    </row>
    <row r="3" spans="1:38" ht="11.25" customHeight="1">
      <c r="A3" s="77"/>
      <c r="B3" s="77"/>
      <c r="C3" s="77"/>
      <c r="D3" s="77"/>
      <c r="E3" s="77"/>
      <c r="F3" s="82"/>
      <c r="G3" s="82"/>
      <c r="H3" s="82"/>
      <c r="I3" s="36"/>
      <c r="J3" s="664"/>
    </row>
    <row r="4" spans="1:38" ht="15.75" customHeight="1">
      <c r="A4" s="908" t="s">
        <v>417</v>
      </c>
      <c r="B4" s="908"/>
      <c r="C4" s="908"/>
      <c r="D4" s="908"/>
      <c r="E4" s="908"/>
      <c r="F4" s="908"/>
      <c r="G4" s="908"/>
      <c r="H4" s="908"/>
      <c r="I4" s="36"/>
      <c r="J4" s="664"/>
    </row>
    <row r="5" spans="1:38" ht="11.25" customHeight="1">
      <c r="A5" s="77"/>
      <c r="B5" s="164"/>
      <c r="C5" s="79"/>
      <c r="D5" s="79"/>
      <c r="E5" s="80"/>
      <c r="F5" s="76"/>
      <c r="G5" s="76"/>
      <c r="H5" s="81"/>
      <c r="I5" s="165"/>
      <c r="J5" s="693"/>
    </row>
    <row r="6" spans="1:38" ht="39" customHeight="1">
      <c r="A6" s="77"/>
      <c r="C6" s="373" t="s">
        <v>120</v>
      </c>
      <c r="D6" s="374" t="s">
        <v>733</v>
      </c>
      <c r="E6" s="374" t="s">
        <v>734</v>
      </c>
      <c r="F6" s="375" t="s">
        <v>121</v>
      </c>
      <c r="G6" s="169"/>
      <c r="H6" s="170"/>
    </row>
    <row r="7" spans="1:38" ht="11.25" customHeight="1">
      <c r="A7" s="77"/>
      <c r="C7" s="756" t="s">
        <v>122</v>
      </c>
      <c r="D7" s="757">
        <v>21.14599991</v>
      </c>
      <c r="E7" s="545">
        <v>22.466999053955</v>
      </c>
      <c r="F7" s="413">
        <f>IF(E7=0,"",(D7-E7)/E7)</f>
        <v>-5.8797311593888908E-2</v>
      </c>
      <c r="G7" s="137"/>
      <c r="H7" s="264"/>
    </row>
    <row r="8" spans="1:38" ht="11.25" customHeight="1">
      <c r="A8" s="77"/>
      <c r="C8" s="758" t="s">
        <v>123</v>
      </c>
      <c r="D8" s="759">
        <v>87.276000980000006</v>
      </c>
      <c r="E8" s="414">
        <v>107.508003234863</v>
      </c>
      <c r="F8" s="415">
        <f t="shared" ref="F8:F20" si="0">IF(E8=0,"",(D8-E8)/E8)</f>
        <v>-0.18819066158883044</v>
      </c>
      <c r="G8" s="137"/>
      <c r="H8" s="264"/>
    </row>
    <row r="9" spans="1:38" ht="11.25" customHeight="1">
      <c r="A9" s="77"/>
      <c r="C9" s="760" t="s">
        <v>124</v>
      </c>
      <c r="D9" s="761">
        <v>81.956001279999995</v>
      </c>
      <c r="E9" s="416">
        <v>91.985000610351506</v>
      </c>
      <c r="F9" s="417">
        <f t="shared" si="0"/>
        <v>-0.10902863797147053</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8" t="s">
        <v>125</v>
      </c>
      <c r="D10" s="759">
        <v>50.04700089</v>
      </c>
      <c r="E10" s="414">
        <v>79.313003540039006</v>
      </c>
      <c r="F10" s="415">
        <f t="shared" si="0"/>
        <v>-0.36899375063087686</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60" t="s">
        <v>126</v>
      </c>
      <c r="D11" s="761">
        <v>22.599000929999999</v>
      </c>
      <c r="E11" s="416">
        <v>33.497001647949197</v>
      </c>
      <c r="F11" s="417">
        <f>IF(E11=0,"",(D11-E11)/E11)</f>
        <v>-0.32534257341854989</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8" t="s">
        <v>127</v>
      </c>
      <c r="D12" s="759">
        <v>22.01199913</v>
      </c>
      <c r="E12" s="414">
        <v>20.860000610351499</v>
      </c>
      <c r="F12" s="415">
        <f t="shared" si="0"/>
        <v>5.522523901925664E-2</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60" t="s">
        <v>128</v>
      </c>
      <c r="D13" s="761">
        <v>57.450000760000002</v>
      </c>
      <c r="E13" s="416">
        <v>110.120002746582</v>
      </c>
      <c r="F13" s="417">
        <f t="shared" si="0"/>
        <v>-0.47829641003361506</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8" t="s">
        <v>129</v>
      </c>
      <c r="D14" s="759">
        <v>234.40800479999999</v>
      </c>
      <c r="E14" s="414">
        <v>238.378005981445</v>
      </c>
      <c r="F14" s="415">
        <f t="shared" si="0"/>
        <v>-1.6654225984900774E-2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60" t="s">
        <v>130</v>
      </c>
      <c r="D15" s="761">
        <v>20.61000061</v>
      </c>
      <c r="E15" s="416">
        <v>65.690002441406193</v>
      </c>
      <c r="F15" s="417">
        <f t="shared" si="0"/>
        <v>-0.68625361784110761</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8" t="s">
        <v>131</v>
      </c>
      <c r="D16" s="759">
        <v>238.7879944</v>
      </c>
      <c r="E16" s="414">
        <v>302.95901489257801</v>
      </c>
      <c r="F16" s="415">
        <f t="shared" si="0"/>
        <v>-0.21181419709636801</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60" t="s">
        <v>132</v>
      </c>
      <c r="D17" s="761">
        <v>166.41999820000001</v>
      </c>
      <c r="E17" s="416">
        <v>187.80999755859301</v>
      </c>
      <c r="F17" s="417">
        <f t="shared" si="0"/>
        <v>-0.11389169712288476</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8" t="s">
        <v>133</v>
      </c>
      <c r="D18" s="759">
        <v>21.929000850000001</v>
      </c>
      <c r="E18" s="414">
        <v>23.534999847412099</v>
      </c>
      <c r="F18" s="415">
        <f t="shared" si="0"/>
        <v>-6.8238751129148303E-2</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60" t="s">
        <v>134</v>
      </c>
      <c r="D19" s="761">
        <v>40.67900848</v>
      </c>
      <c r="E19" s="416">
        <v>69.583778381347599</v>
      </c>
      <c r="F19" s="417">
        <f t="shared" si="0"/>
        <v>-0.41539523397159644</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8" t="s">
        <v>135</v>
      </c>
      <c r="D20" s="759">
        <v>27.63743019</v>
      </c>
      <c r="E20" s="414">
        <v>28.040559768676701</v>
      </c>
      <c r="F20" s="415">
        <f t="shared" si="0"/>
        <v>-1.437665945339028E-2</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60" t="s">
        <v>136</v>
      </c>
      <c r="D21" s="761">
        <v>6.5190000530000001</v>
      </c>
      <c r="E21" s="416">
        <v>6.9889998435974103</v>
      </c>
      <c r="F21" s="417">
        <f t="shared" ref="F21:F27" si="1">IF(E21=0,"",(D21-E21)/E21)</f>
        <v>-6.7248504952818797E-2</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8" t="s">
        <v>137</v>
      </c>
      <c r="D22" s="759">
        <v>7.3730001449999998</v>
      </c>
      <c r="E22" s="414">
        <v>7.1119999885559002</v>
      </c>
      <c r="F22" s="415">
        <f t="shared" si="1"/>
        <v>3.6698559739044088E-2</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60" t="s">
        <v>399</v>
      </c>
      <c r="D23" s="761">
        <v>7.7140002250000004</v>
      </c>
      <c r="E23" s="416">
        <v>4.3330001831054599</v>
      </c>
      <c r="F23" s="417">
        <f t="shared" si="1"/>
        <v>0.7802907682942628</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8" t="s">
        <v>138</v>
      </c>
      <c r="D24" s="759">
        <v>184.79299929999999</v>
      </c>
      <c r="E24" s="414">
        <v>221.33000183105401</v>
      </c>
      <c r="F24" s="415">
        <f t="shared" si="1"/>
        <v>-0.16507930343281477</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60" t="s">
        <v>139</v>
      </c>
      <c r="D25" s="761">
        <v>42.820999149999999</v>
      </c>
      <c r="E25" s="416">
        <v>46.400001525878899</v>
      </c>
      <c r="F25" s="417">
        <f>IF(E25=0,"",(D25-E25)/E25)</f>
        <v>-7.7133669357376339E-2</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8" t="s">
        <v>140</v>
      </c>
      <c r="D26" s="759">
        <v>66.716999999999999</v>
      </c>
      <c r="E26" s="414">
        <v>67.331999999999994</v>
      </c>
      <c r="F26" s="415">
        <f>IF(E26=0,"",(D26-E26)/E26)</f>
        <v>-9.1338442345392235E-3</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62" t="s">
        <v>141</v>
      </c>
      <c r="D27" s="763">
        <v>380.11199950000002</v>
      </c>
      <c r="E27" s="416">
        <v>379.49700927734301</v>
      </c>
      <c r="F27" s="417">
        <f t="shared" si="1"/>
        <v>1.620540366913848E-3</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9"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mayo) </v>
      </c>
      <c r="D28" s="909"/>
      <c r="E28" s="909"/>
      <c r="F28" s="909"/>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v>184.95100400000001</v>
      </c>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v>185.51499938964801</v>
      </c>
      <c r="AF31" s="265"/>
      <c r="AG31" s="265"/>
      <c r="AH31" s="265"/>
      <c r="AI31" s="265"/>
      <c r="AJ31" s="265"/>
      <c r="AK31" s="265"/>
      <c r="AL31" s="265"/>
    </row>
    <row r="32" spans="1:38" ht="13.5" customHeight="1">
      <c r="A32" s="908" t="s">
        <v>416</v>
      </c>
      <c r="B32" s="908"/>
      <c r="C32" s="908"/>
      <c r="D32" s="908"/>
      <c r="E32" s="908"/>
      <c r="F32" s="908"/>
      <c r="G32" s="908"/>
      <c r="H32" s="908"/>
      <c r="I32" s="56"/>
      <c r="J32" s="694"/>
      <c r="M32" s="624">
        <v>21</v>
      </c>
      <c r="N32" s="625">
        <v>227.75800000000001</v>
      </c>
      <c r="O32" s="625">
        <v>225.25399780000001</v>
      </c>
      <c r="P32" s="625">
        <v>221.33000183105401</v>
      </c>
      <c r="Q32" s="626">
        <v>186.48633320182299</v>
      </c>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v>184.79299929999999</v>
      </c>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563</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4"/>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J3" sqref="J3"/>
    </sheetView>
  </sheetViews>
  <sheetFormatPr baseColWidth="10" defaultColWidth="9.28515625" defaultRowHeight="10.199999999999999"/>
  <cols>
    <col min="10" max="11" width="9.28515625" customWidth="1"/>
    <col min="12" max="12" width="20.140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10"/>
      <c r="B5" s="910"/>
      <c r="C5" s="910"/>
      <c r="D5" s="910"/>
      <c r="E5" s="910"/>
      <c r="F5" s="910"/>
      <c r="G5" s="910"/>
      <c r="H5" s="910"/>
      <c r="I5" s="910"/>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11"/>
      <c r="C7" s="911"/>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v>237.70799260000001</v>
      </c>
      <c r="S24" s="624">
        <v>19</v>
      </c>
      <c r="T24" s="625">
        <v>375.69400404000004</v>
      </c>
      <c r="U24" s="625">
        <v>396.22801973000003</v>
      </c>
      <c r="V24" s="700">
        <v>370.16600227355934</v>
      </c>
      <c r="W24" s="277">
        <v>296.27899932999998</v>
      </c>
    </row>
    <row r="25" spans="1:23" ht="11.25" customHeight="1">
      <c r="A25" s="263" t="s">
        <v>564</v>
      </c>
      <c r="B25" s="162"/>
      <c r="C25" s="39"/>
      <c r="D25" s="162"/>
      <c r="E25" s="162"/>
      <c r="F25" s="70"/>
      <c r="G25" s="66"/>
      <c r="H25" s="66"/>
      <c r="I25" s="71"/>
      <c r="J25" s="3"/>
      <c r="K25" s="7"/>
      <c r="L25" s="16"/>
      <c r="N25" s="702">
        <v>20</v>
      </c>
      <c r="O25" s="625">
        <v>314.14801030000001</v>
      </c>
      <c r="P25" s="625">
        <v>305.30300899999997</v>
      </c>
      <c r="Q25" s="700">
        <v>298.29000854492102</v>
      </c>
      <c r="R25" s="276">
        <v>239.86999511718699</v>
      </c>
      <c r="S25" s="624">
        <v>20</v>
      </c>
      <c r="T25" s="625">
        <v>370.56599616999995</v>
      </c>
      <c r="U25" s="625">
        <v>391.74099727000004</v>
      </c>
      <c r="V25" s="700">
        <v>364.40299987792889</v>
      </c>
      <c r="W25" s="703">
        <v>292.73699569702455</v>
      </c>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v>238.78827000000001</v>
      </c>
      <c r="S26" s="624">
        <v>21</v>
      </c>
      <c r="T26" s="625">
        <v>365.52200794219863</v>
      </c>
      <c r="U26" s="625">
        <v>387.63294980000006</v>
      </c>
      <c r="V26" s="700">
        <v>358.7700004577631</v>
      </c>
      <c r="W26" s="277">
        <v>288.35500000000002</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v>237.16799929999999</v>
      </c>
      <c r="S27" s="624">
        <v>22</v>
      </c>
      <c r="T27" s="625">
        <v>359.19900507300002</v>
      </c>
      <c r="U27" s="625">
        <v>383.63200570999999</v>
      </c>
      <c r="V27" s="700">
        <v>353.17899700999999</v>
      </c>
      <c r="W27" s="277">
        <v>283.59700203999995</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c r="S28" s="624">
        <v>23</v>
      </c>
      <c r="T28" s="625">
        <v>354.24799921000005</v>
      </c>
      <c r="U28" s="625">
        <v>379.05501368</v>
      </c>
      <c r="V28" s="700">
        <v>347.3810005187978</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c r="S29" s="624">
        <v>24</v>
      </c>
      <c r="T29" s="625">
        <v>348.87000203132561</v>
      </c>
      <c r="U29" s="625">
        <v>374.35099984999999</v>
      </c>
      <c r="V29" s="700">
        <v>341.67700381999998</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c r="S30" s="624">
        <v>25</v>
      </c>
      <c r="T30" s="625">
        <v>343.83099551700002</v>
      </c>
      <c r="U30" s="625">
        <v>369.41900067</v>
      </c>
      <c r="V30" s="700">
        <v>335.75800323999999</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c r="S31" s="624">
        <v>26</v>
      </c>
      <c r="T31" s="625">
        <v>338.47100355099997</v>
      </c>
      <c r="U31" s="625">
        <v>363.95100021999997</v>
      </c>
      <c r="V31" s="700">
        <v>330.74199960999994</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c r="S32" s="624">
        <v>27</v>
      </c>
      <c r="T32" s="625">
        <v>333.23996639251612</v>
      </c>
      <c r="U32" s="625">
        <v>358.46099474000005</v>
      </c>
      <c r="V32" s="700">
        <v>325.96500109999999</v>
      </c>
    </row>
    <row r="33" spans="1:22" ht="11.25" customHeight="1">
      <c r="A33" s="74"/>
      <c r="B33" s="73"/>
      <c r="C33" s="73"/>
      <c r="D33" s="73"/>
      <c r="E33" s="73"/>
      <c r="F33" s="73"/>
      <c r="G33" s="73"/>
      <c r="H33" s="73"/>
      <c r="I33" s="73"/>
      <c r="J33" s="3"/>
      <c r="K33" s="6"/>
      <c r="L33" s="15"/>
      <c r="N33" s="624">
        <v>28</v>
      </c>
      <c r="O33" s="625">
        <v>244.7590027</v>
      </c>
      <c r="P33" s="627">
        <v>243.66999820000001</v>
      </c>
      <c r="Q33" s="700">
        <v>249.13000489999999</v>
      </c>
      <c r="R33" s="704"/>
      <c r="S33" s="624">
        <v>28</v>
      </c>
      <c r="T33" s="625">
        <v>327.71050074999999</v>
      </c>
      <c r="U33" s="625">
        <v>352.90699958999994</v>
      </c>
      <c r="V33" s="700">
        <v>319.04200172500003</v>
      </c>
    </row>
    <row r="34" spans="1:22" ht="11.25" customHeight="1">
      <c r="A34" s="74"/>
      <c r="B34" s="73"/>
      <c r="C34" s="73"/>
      <c r="D34" s="73"/>
      <c r="E34" s="73"/>
      <c r="F34" s="73"/>
      <c r="G34" s="73"/>
      <c r="H34" s="73"/>
      <c r="I34" s="73"/>
      <c r="J34" s="3"/>
      <c r="K34" s="6"/>
      <c r="L34" s="15"/>
      <c r="N34" s="624">
        <v>29</v>
      </c>
      <c r="O34" s="625">
        <v>231.25799559999999</v>
      </c>
      <c r="P34" s="625">
        <v>236.0899963</v>
      </c>
      <c r="Q34" s="700">
        <v>235.552001953125</v>
      </c>
      <c r="R34" s="704"/>
      <c r="S34" s="624">
        <v>29</v>
      </c>
      <c r="T34" s="625">
        <v>322.11699965099996</v>
      </c>
      <c r="U34" s="625">
        <v>346.83199694000007</v>
      </c>
      <c r="V34" s="700">
        <v>313.23499679565401</v>
      </c>
    </row>
    <row r="35" spans="1:22"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c r="S35" s="624">
        <v>30</v>
      </c>
      <c r="T35" s="625">
        <v>316.39600081599997</v>
      </c>
      <c r="U35" s="625">
        <v>340.42700004</v>
      </c>
      <c r="V35" s="700">
        <v>308.18499564899997</v>
      </c>
    </row>
    <row r="36" spans="1:22" ht="11.25" customHeight="1">
      <c r="A36" s="74"/>
      <c r="B36" s="73"/>
      <c r="C36" s="73"/>
      <c r="D36" s="73"/>
      <c r="E36" s="73"/>
      <c r="F36" s="73"/>
      <c r="G36" s="73"/>
      <c r="H36" s="73"/>
      <c r="I36" s="73"/>
      <c r="J36" s="3"/>
      <c r="K36" s="6"/>
      <c r="L36" s="15"/>
      <c r="N36" s="624">
        <v>31</v>
      </c>
      <c r="O36" s="625">
        <v>209.128006</v>
      </c>
      <c r="P36" s="625">
        <v>211.72599790000001</v>
      </c>
      <c r="Q36" s="700">
        <v>204.47599792480401</v>
      </c>
      <c r="R36" s="704"/>
      <c r="S36" s="624">
        <v>31</v>
      </c>
      <c r="T36" s="625">
        <v>310.66199637099999</v>
      </c>
      <c r="U36" s="625">
        <v>333.77900123000001</v>
      </c>
      <c r="V36" s="700">
        <v>300.29800155758841</v>
      </c>
    </row>
    <row r="37" spans="1:22"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c r="S37" s="624">
        <v>32</v>
      </c>
      <c r="T37" s="625">
        <v>304.63100243800005</v>
      </c>
      <c r="U37" s="625">
        <v>326.91499899999997</v>
      </c>
      <c r="V37" s="700">
        <v>292.89500425755955</v>
      </c>
    </row>
    <row r="38" spans="1:22" ht="11.25" customHeight="1">
      <c r="A38" s="74"/>
      <c r="B38" s="73"/>
      <c r="C38" s="73"/>
      <c r="D38" s="73"/>
      <c r="E38" s="73"/>
      <c r="F38" s="73"/>
      <c r="G38" s="73"/>
      <c r="H38" s="73"/>
      <c r="I38" s="73"/>
      <c r="J38" s="3"/>
      <c r="K38" s="10"/>
      <c r="L38" s="38"/>
      <c r="N38" s="624">
        <v>33</v>
      </c>
      <c r="O38" s="625">
        <v>189.6999969</v>
      </c>
      <c r="P38" s="625">
        <v>187.18600459999999</v>
      </c>
      <c r="Q38" s="700">
        <v>187.18600459999999</v>
      </c>
      <c r="R38" s="276"/>
      <c r="S38" s="624">
        <v>33</v>
      </c>
      <c r="T38" s="625">
        <v>299.14499665</v>
      </c>
      <c r="U38" s="625">
        <v>320.04999731999993</v>
      </c>
      <c r="V38" s="700">
        <v>302.95999780999995</v>
      </c>
    </row>
    <row r="39" spans="1:22" ht="11.25" customHeight="1">
      <c r="A39" s="74"/>
      <c r="B39" s="73"/>
      <c r="C39" s="73"/>
      <c r="D39" s="73"/>
      <c r="E39" s="73"/>
      <c r="F39" s="73"/>
      <c r="G39" s="73"/>
      <c r="H39" s="73"/>
      <c r="I39" s="73"/>
      <c r="J39" s="3"/>
      <c r="K39" s="7"/>
      <c r="L39" s="15"/>
      <c r="N39" s="624">
        <v>34</v>
      </c>
      <c r="O39" s="625">
        <v>178.71099849999999</v>
      </c>
      <c r="P39" s="625">
        <v>176.73300169999999</v>
      </c>
      <c r="Q39" s="700">
        <v>173.7779999</v>
      </c>
      <c r="R39" s="276"/>
      <c r="S39" s="624">
        <v>34</v>
      </c>
      <c r="T39" s="625">
        <v>293.22399712800001</v>
      </c>
      <c r="U39" s="625">
        <v>312.22399334000005</v>
      </c>
      <c r="V39" s="700">
        <v>277.92099988699999</v>
      </c>
    </row>
    <row r="40" spans="1:22" ht="11.25" customHeight="1">
      <c r="A40" s="74"/>
      <c r="B40" s="73"/>
      <c r="C40" s="73"/>
      <c r="D40" s="73"/>
      <c r="E40" s="73"/>
      <c r="F40" s="73"/>
      <c r="G40" s="73"/>
      <c r="H40" s="73"/>
      <c r="I40" s="73"/>
      <c r="J40" s="3"/>
      <c r="K40" s="7"/>
      <c r="L40" s="15"/>
      <c r="N40" s="624">
        <v>35</v>
      </c>
      <c r="O40" s="625">
        <v>167.91000366210901</v>
      </c>
      <c r="P40" s="628">
        <v>168.8840027</v>
      </c>
      <c r="Q40" s="700">
        <v>169.37899780273401</v>
      </c>
      <c r="R40" s="276"/>
      <c r="S40" s="624">
        <v>35</v>
      </c>
      <c r="T40" s="625">
        <v>287.11000061035065</v>
      </c>
      <c r="U40" s="625">
        <v>304.73300071000006</v>
      </c>
      <c r="V40" s="700">
        <v>270.68900412321057</v>
      </c>
    </row>
    <row r="41" spans="1:22"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2"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2"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2"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2"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2"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2"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2"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565</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8"/>
  <sheetViews>
    <sheetView showGridLines="0" view="pageLayout" zoomScaleNormal="100" zoomScaleSheetLayoutView="100" workbookViewId="0">
      <selection activeCell="J3" sqref="J3"/>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8"/>
    <col min="32" max="34" width="9.28515625" style="662"/>
  </cols>
  <sheetData>
    <row r="1" spans="1:15" ht="11.25" customHeight="1"/>
    <row r="2" spans="1:15" ht="11.25" customHeight="1">
      <c r="A2" s="17"/>
      <c r="B2" s="17"/>
      <c r="C2" s="17"/>
      <c r="D2" s="17"/>
      <c r="E2" s="73"/>
      <c r="F2" s="73"/>
      <c r="G2" s="73"/>
    </row>
    <row r="3" spans="1:15" ht="17.25" customHeight="1">
      <c r="A3" s="912" t="s">
        <v>366</v>
      </c>
      <c r="B3" s="912"/>
      <c r="C3" s="912"/>
      <c r="D3" s="912"/>
      <c r="E3" s="912"/>
      <c r="F3" s="912"/>
      <c r="G3" s="912"/>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MAYO
 2023</v>
      </c>
      <c r="E6" s="377" t="str">
        <f>UPPER('1. Resumen'!Q4)&amp;"
 "&amp;'1. Resumen'!Q5-1</f>
        <v>MAYO
 2022</v>
      </c>
      <c r="F6" s="378" t="s">
        <v>418</v>
      </c>
      <c r="G6" s="138"/>
      <c r="H6" s="24"/>
      <c r="I6" s="12"/>
      <c r="L6" s="518">
        <v>3</v>
      </c>
      <c r="M6" s="629">
        <v>46.443999700000006</v>
      </c>
      <c r="N6" s="629">
        <v>73.092571804285726</v>
      </c>
      <c r="O6" s="629">
        <v>18.210142817142859</v>
      </c>
    </row>
    <row r="7" spans="1:15" ht="11.25" customHeight="1">
      <c r="A7" s="174"/>
      <c r="C7" s="418" t="s">
        <v>143</v>
      </c>
      <c r="D7" s="419">
        <v>14.632</v>
      </c>
      <c r="E7" s="419">
        <v>13.222387067733225</v>
      </c>
      <c r="F7" s="420">
        <f>IF(E7=0,"",(D7-E7)/E7)</f>
        <v>0.10660805231656491</v>
      </c>
      <c r="G7" s="138"/>
      <c r="H7" s="25"/>
      <c r="I7" s="3"/>
      <c r="L7" s="518">
        <v>4</v>
      </c>
      <c r="M7" s="629">
        <v>56.559571404285713</v>
      </c>
      <c r="N7" s="629">
        <v>140.69343129999999</v>
      </c>
      <c r="O7" s="629">
        <v>15.934428624285713</v>
      </c>
    </row>
    <row r="8" spans="1:15" ht="11.25" customHeight="1">
      <c r="A8" s="174"/>
      <c r="C8" s="421" t="s">
        <v>539</v>
      </c>
      <c r="D8" s="422">
        <v>16.603999999999999</v>
      </c>
      <c r="E8" s="422">
        <v>15.44303229547312</v>
      </c>
      <c r="F8" s="423">
        <f t="shared" ref="F8:F17" si="0">IF(E8=0,"",(D8-E8)/E8)</f>
        <v>7.5177444579145131E-2</v>
      </c>
      <c r="G8" s="138"/>
      <c r="H8" s="23"/>
      <c r="I8" s="3"/>
      <c r="L8" s="518">
        <v>5</v>
      </c>
      <c r="M8" s="629">
        <v>85.997285015714283</v>
      </c>
      <c r="N8" s="629">
        <v>189.96014404285714</v>
      </c>
      <c r="O8" s="629">
        <v>16.347999845714288</v>
      </c>
    </row>
    <row r="9" spans="1:15" ht="11.25" customHeight="1">
      <c r="A9" s="174"/>
      <c r="C9" s="424" t="s">
        <v>149</v>
      </c>
      <c r="D9" s="425">
        <v>71.906999999999996</v>
      </c>
      <c r="E9" s="425">
        <v>59.081967753748721</v>
      </c>
      <c r="F9" s="426">
        <f t="shared" si="0"/>
        <v>0.21707185345798732</v>
      </c>
      <c r="G9" s="138"/>
      <c r="H9" s="25"/>
      <c r="I9" s="3"/>
      <c r="L9" s="518">
        <v>6</v>
      </c>
      <c r="M9" s="629">
        <v>79.643857683454215</v>
      </c>
      <c r="N9" s="629">
        <v>184.55100359235459</v>
      </c>
      <c r="O9" s="629">
        <v>24.545571190970243</v>
      </c>
    </row>
    <row r="10" spans="1:15" ht="11.25" customHeight="1">
      <c r="A10" s="174"/>
      <c r="C10" s="421" t="s">
        <v>155</v>
      </c>
      <c r="D10" s="422">
        <v>55.226999999999997</v>
      </c>
      <c r="E10" s="422">
        <v>55.830935447446734</v>
      </c>
      <c r="F10" s="423">
        <f t="shared" si="0"/>
        <v>-1.0817218851996803E-2</v>
      </c>
      <c r="G10" s="138"/>
      <c r="H10" s="25"/>
      <c r="I10" s="3"/>
      <c r="L10" s="518">
        <v>7</v>
      </c>
      <c r="M10" s="629">
        <v>62.11542837857143</v>
      </c>
      <c r="N10" s="629">
        <v>141.4891401142857</v>
      </c>
      <c r="O10" s="629">
        <v>17.933714184285712</v>
      </c>
    </row>
    <row r="11" spans="1:15" ht="11.25" customHeight="1">
      <c r="A11" s="174"/>
      <c r="C11" s="424" t="s">
        <v>156</v>
      </c>
      <c r="D11" s="425">
        <v>48.838999999999999</v>
      </c>
      <c r="E11" s="425">
        <v>55.922064012096754</v>
      </c>
      <c r="F11" s="426">
        <f t="shared" si="0"/>
        <v>-0.12665955982176527</v>
      </c>
      <c r="G11" s="138"/>
      <c r="H11" s="25"/>
      <c r="I11" s="3"/>
      <c r="K11" s="518">
        <v>8</v>
      </c>
      <c r="L11" s="518">
        <v>8</v>
      </c>
      <c r="M11" s="629">
        <v>41.134571620396166</v>
      </c>
      <c r="N11" s="629">
        <v>83.969571794782198</v>
      </c>
      <c r="O11" s="629">
        <v>15.5625712530953</v>
      </c>
    </row>
    <row r="12" spans="1:15" ht="11.25" customHeight="1">
      <c r="A12" s="174"/>
      <c r="C12" s="421" t="s">
        <v>157</v>
      </c>
      <c r="D12" s="422">
        <v>16.648</v>
      </c>
      <c r="E12" s="422">
        <v>27.397128751200967</v>
      </c>
      <c r="F12" s="423">
        <f t="shared" si="0"/>
        <v>-0.39234508290325038</v>
      </c>
      <c r="G12" s="138"/>
      <c r="H12" s="25"/>
      <c r="I12" s="3"/>
      <c r="L12" s="518">
        <v>9</v>
      </c>
      <c r="M12" s="629">
        <v>70.027142117142859</v>
      </c>
      <c r="N12" s="629">
        <v>124.34114185428572</v>
      </c>
      <c r="O12" s="629">
        <v>23.340428760000002</v>
      </c>
    </row>
    <row r="13" spans="1:15" ht="11.25" customHeight="1">
      <c r="A13" s="174"/>
      <c r="C13" s="424" t="s">
        <v>148</v>
      </c>
      <c r="D13" s="425">
        <v>21.885999999999999</v>
      </c>
      <c r="E13" s="425">
        <v>26.459946236559116</v>
      </c>
      <c r="F13" s="426">
        <f t="shared" si="0"/>
        <v>-0.17286302079629312</v>
      </c>
      <c r="G13" s="138"/>
      <c r="H13" s="23"/>
      <c r="I13" s="3"/>
      <c r="L13" s="518">
        <v>10</v>
      </c>
      <c r="M13" s="629">
        <v>51.713285718571434</v>
      </c>
      <c r="N13" s="629">
        <v>110.96499854142857</v>
      </c>
      <c r="O13" s="629">
        <v>51.143429344285714</v>
      </c>
    </row>
    <row r="14" spans="1:15" ht="11.25" customHeight="1">
      <c r="A14" s="174"/>
      <c r="C14" s="421" t="s">
        <v>246</v>
      </c>
      <c r="D14" s="422">
        <v>25.68</v>
      </c>
      <c r="E14" s="422">
        <v>34.489665369833617</v>
      </c>
      <c r="F14" s="423">
        <f t="shared" si="0"/>
        <v>-0.25542913436147718</v>
      </c>
      <c r="G14" s="138"/>
      <c r="H14" s="25"/>
      <c r="I14" s="3"/>
      <c r="L14" s="518">
        <v>11</v>
      </c>
      <c r="M14" s="629">
        <v>64.999999455714274</v>
      </c>
      <c r="N14" s="629">
        <v>130.17914037142856</v>
      </c>
      <c r="O14" s="629">
        <v>73.820713587142862</v>
      </c>
    </row>
    <row r="15" spans="1:15" ht="11.25" customHeight="1">
      <c r="A15" s="174"/>
      <c r="C15" s="424" t="s">
        <v>247</v>
      </c>
      <c r="D15" s="425">
        <v>70.134</v>
      </c>
      <c r="E15" s="425">
        <v>63.011451598136624</v>
      </c>
      <c r="F15" s="426">
        <f t="shared" si="0"/>
        <v>0.11303577716774905</v>
      </c>
      <c r="G15" s="138"/>
      <c r="H15" s="25"/>
      <c r="I15" s="3"/>
      <c r="L15" s="518">
        <v>12</v>
      </c>
      <c r="M15" s="629">
        <v>70.530143192836164</v>
      </c>
      <c r="N15" s="629">
        <v>127.86657169886942</v>
      </c>
      <c r="O15" s="629">
        <v>34.1388571602957</v>
      </c>
    </row>
    <row r="16" spans="1:15" ht="11.25" customHeight="1">
      <c r="A16" s="174"/>
      <c r="C16" s="421" t="s">
        <v>153</v>
      </c>
      <c r="D16" s="422">
        <v>9.4469999999999992</v>
      </c>
      <c r="E16" s="422">
        <v>27.379225823187021</v>
      </c>
      <c r="F16" s="423">
        <f t="shared" si="0"/>
        <v>-0.65495737311902047</v>
      </c>
      <c r="G16" s="138"/>
      <c r="H16" s="25"/>
      <c r="I16" s="3"/>
      <c r="L16" s="518">
        <v>13</v>
      </c>
      <c r="M16" s="629">
        <v>73.710714612688278</v>
      </c>
      <c r="N16" s="629">
        <v>138.12900325230143</v>
      </c>
      <c r="O16" s="629">
        <v>66.457714898245612</v>
      </c>
    </row>
    <row r="17" spans="1:15" ht="11.25" customHeight="1">
      <c r="A17" s="174"/>
      <c r="C17" s="424" t="s">
        <v>544</v>
      </c>
      <c r="D17" s="425">
        <v>12.872</v>
      </c>
      <c r="E17" s="425">
        <v>12.156128975652848</v>
      </c>
      <c r="F17" s="426">
        <f t="shared" si="0"/>
        <v>5.888971939841612E-2</v>
      </c>
      <c r="G17" s="138"/>
      <c r="H17" s="25"/>
      <c r="I17" s="3"/>
      <c r="L17" s="518">
        <v>14</v>
      </c>
      <c r="M17" s="629">
        <v>57.796857017142862</v>
      </c>
      <c r="N17" s="629">
        <v>109.14457049285714</v>
      </c>
      <c r="O17" s="629">
        <v>82.626999985714278</v>
      </c>
    </row>
    <row r="18" spans="1:15" ht="11.25" customHeight="1">
      <c r="A18" s="174"/>
      <c r="C18" s="421" t="s">
        <v>543</v>
      </c>
      <c r="D18" s="422">
        <v>7.5890000000000004</v>
      </c>
      <c r="E18" s="422">
        <v>7.5890000000000004</v>
      </c>
      <c r="F18" s="423">
        <f t="shared" ref="F18" si="1">IF(E18=0,"",(D18-E18)/E18)</f>
        <v>0</v>
      </c>
      <c r="G18" s="138"/>
      <c r="H18" s="25"/>
      <c r="I18" s="3"/>
      <c r="L18" s="518">
        <v>15</v>
      </c>
      <c r="M18" s="629">
        <v>44.430285317142861</v>
      </c>
      <c r="N18" s="629">
        <v>80.133571635714276</v>
      </c>
      <c r="O18" s="629">
        <v>89.91342707714287</v>
      </c>
    </row>
    <row r="19" spans="1:15" ht="11.25" customHeight="1">
      <c r="A19" s="174"/>
      <c r="C19" s="424" t="s">
        <v>248</v>
      </c>
      <c r="D19" s="425">
        <v>10.375999999999999</v>
      </c>
      <c r="E19" s="425">
        <v>12.00944934352748</v>
      </c>
      <c r="F19" s="426">
        <f t="shared" ref="F19:F31" si="2">IF(E19=0,"",(D19-E19)/E19)</f>
        <v>-0.13601367529876229</v>
      </c>
      <c r="G19" s="138"/>
      <c r="H19" s="25"/>
      <c r="I19" s="3"/>
      <c r="K19" s="518">
        <v>16</v>
      </c>
      <c r="L19" s="518">
        <v>16</v>
      </c>
      <c r="M19" s="629">
        <v>30.701856885714285</v>
      </c>
      <c r="N19" s="629">
        <v>57.13714327142857</v>
      </c>
      <c r="O19" s="629">
        <v>73.487428932857142</v>
      </c>
    </row>
    <row r="20" spans="1:15" ht="11.25" customHeight="1">
      <c r="A20" s="174"/>
      <c r="C20" s="421" t="s">
        <v>249</v>
      </c>
      <c r="D20" s="422">
        <v>22.661000000000001</v>
      </c>
      <c r="E20" s="422">
        <v>23.961827956989278</v>
      </c>
      <c r="F20" s="423">
        <f>IF(E20=0,"",(D20-E20)/E20)</f>
        <v>-5.4287509255313164E-2</v>
      </c>
      <c r="G20" s="138"/>
      <c r="H20" s="25"/>
      <c r="I20" s="3"/>
      <c r="L20" s="518">
        <v>17</v>
      </c>
      <c r="M20" s="629">
        <v>24.932857240949314</v>
      </c>
      <c r="N20" s="629">
        <v>55.184285845075259</v>
      </c>
      <c r="O20" s="629">
        <v>80.585714067731558</v>
      </c>
    </row>
    <row r="21" spans="1:15" ht="11.25" customHeight="1">
      <c r="A21" s="174"/>
      <c r="C21" s="424" t="s">
        <v>250</v>
      </c>
      <c r="D21" s="425">
        <v>1.2649999999999999</v>
      </c>
      <c r="E21" s="425">
        <v>1.5136451644282141</v>
      </c>
      <c r="F21" s="426">
        <f>IF(E21=0,"",(D21-E21)/E21)</f>
        <v>-0.1642691234851868</v>
      </c>
      <c r="G21" s="138"/>
      <c r="H21" s="25"/>
      <c r="I21" s="3"/>
      <c r="L21" s="518">
        <v>18</v>
      </c>
      <c r="M21" s="629">
        <v>46.867285591428576</v>
      </c>
      <c r="N21" s="629">
        <v>80.201000221428572</v>
      </c>
      <c r="O21" s="629">
        <v>93.131286082857144</v>
      </c>
    </row>
    <row r="22" spans="1:15" ht="11.25" customHeight="1">
      <c r="A22" s="174"/>
      <c r="C22" s="421" t="s">
        <v>146</v>
      </c>
      <c r="D22" s="422">
        <v>92.156000000000006</v>
      </c>
      <c r="E22" s="422">
        <v>113.06225807436012</v>
      </c>
      <c r="F22" s="423">
        <f t="shared" si="2"/>
        <v>-0.18490925646125198</v>
      </c>
      <c r="G22" s="138"/>
      <c r="H22" s="25"/>
      <c r="I22" s="3"/>
      <c r="L22" s="518">
        <v>19</v>
      </c>
      <c r="M22" s="629">
        <v>39.880857740000003</v>
      </c>
      <c r="N22" s="629">
        <v>73.398713792857151</v>
      </c>
      <c r="O22" s="629">
        <v>43.960427964285714</v>
      </c>
    </row>
    <row r="23" spans="1:15" ht="11.25" customHeight="1">
      <c r="A23" s="174"/>
      <c r="C23" s="424" t="s">
        <v>144</v>
      </c>
      <c r="D23" s="425">
        <v>0.14000000000000001</v>
      </c>
      <c r="E23" s="425">
        <v>0.40396774295837612</v>
      </c>
      <c r="F23" s="426">
        <f t="shared" si="2"/>
        <v>-0.65343767555612653</v>
      </c>
      <c r="G23" s="138"/>
      <c r="H23" s="25"/>
      <c r="I23" s="3"/>
      <c r="L23" s="518">
        <v>20</v>
      </c>
      <c r="M23" s="629">
        <v>34.332998821428575</v>
      </c>
      <c r="N23" s="629">
        <v>57.629714421428567</v>
      </c>
      <c r="O23" s="629">
        <v>29.038571492857141</v>
      </c>
    </row>
    <row r="24" spans="1:15" ht="11.25" customHeight="1">
      <c r="A24" s="174"/>
      <c r="C24" s="421" t="s">
        <v>145</v>
      </c>
      <c r="D24" s="422">
        <v>4.3</v>
      </c>
      <c r="E24" s="422">
        <v>4.312386933834313</v>
      </c>
      <c r="F24" s="423">
        <f t="shared" si="2"/>
        <v>-2.8724077927996844E-3</v>
      </c>
      <c r="G24" s="138"/>
      <c r="H24" s="26"/>
      <c r="I24" s="3"/>
      <c r="L24" s="518">
        <v>21</v>
      </c>
      <c r="M24" s="629">
        <v>28.39914212908057</v>
      </c>
      <c r="N24" s="629">
        <v>47.208427974155924</v>
      </c>
      <c r="O24" s="629">
        <v>20.747856957571798</v>
      </c>
    </row>
    <row r="25" spans="1:15" ht="11.25" customHeight="1">
      <c r="A25" s="138"/>
      <c r="C25" s="424" t="s">
        <v>158</v>
      </c>
      <c r="D25" s="425">
        <v>40.679000000000002</v>
      </c>
      <c r="E25" s="425">
        <v>26.495999982280079</v>
      </c>
      <c r="F25" s="426">
        <f t="shared" si="2"/>
        <v>0.53528834643739398</v>
      </c>
      <c r="G25" s="158"/>
      <c r="H25" s="25"/>
      <c r="I25" s="3"/>
      <c r="L25" s="518">
        <v>22</v>
      </c>
      <c r="M25" s="629">
        <v>19.016142710000004</v>
      </c>
      <c r="N25" s="629">
        <v>39.635571071428572</v>
      </c>
      <c r="O25" s="629">
        <v>28.597570964285715</v>
      </c>
    </row>
    <row r="26" spans="1:15" ht="11.25" customHeight="1">
      <c r="A26" s="175"/>
      <c r="C26" s="421" t="s">
        <v>150</v>
      </c>
      <c r="D26" s="422">
        <v>0</v>
      </c>
      <c r="E26" s="422">
        <v>0</v>
      </c>
      <c r="F26" s="423" t="str">
        <f t="shared" si="2"/>
        <v/>
      </c>
      <c r="G26" s="138"/>
      <c r="H26" s="23"/>
      <c r="I26" s="3"/>
      <c r="L26" s="518">
        <v>23</v>
      </c>
      <c r="M26" s="629">
        <v>16.323713982857143</v>
      </c>
      <c r="N26" s="629">
        <v>49.136857168571431</v>
      </c>
      <c r="O26" s="629">
        <v>19.104714530000003</v>
      </c>
    </row>
    <row r="27" spans="1:15" ht="11.25" customHeight="1">
      <c r="A27" s="138"/>
      <c r="C27" s="424" t="s">
        <v>151</v>
      </c>
      <c r="D27" s="425">
        <v>4.4000000000000004</v>
      </c>
      <c r="E27" s="425">
        <v>0.76906450140860616</v>
      </c>
      <c r="F27" s="426">
        <f t="shared" si="2"/>
        <v>4.721236634821957</v>
      </c>
      <c r="G27" s="138"/>
      <c r="H27" s="23"/>
      <c r="I27" s="3"/>
      <c r="K27" s="518">
        <v>24</v>
      </c>
      <c r="L27" s="518">
        <v>24</v>
      </c>
      <c r="M27" s="629">
        <v>14.458999906267413</v>
      </c>
      <c r="N27" s="629">
        <v>34.150428227015844</v>
      </c>
      <c r="O27" s="629">
        <v>14.211285591125442</v>
      </c>
    </row>
    <row r="28" spans="1:15" ht="11.25" customHeight="1">
      <c r="A28" s="138"/>
      <c r="C28" s="421" t="s">
        <v>540</v>
      </c>
      <c r="D28" s="422">
        <v>0.02</v>
      </c>
      <c r="E28" s="422">
        <v>9.3548385606657992E-3</v>
      </c>
      <c r="F28" s="423">
        <f t="shared" si="2"/>
        <v>1.1379310685374957</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1.7</v>
      </c>
      <c r="E30" s="422">
        <v>1.6748077215686874</v>
      </c>
      <c r="F30" s="423">
        <f t="shared" si="2"/>
        <v>1.5041892933068476E-2</v>
      </c>
      <c r="G30" s="138"/>
      <c r="H30" s="25"/>
      <c r="I30" s="3"/>
      <c r="L30" s="518">
        <v>27</v>
      </c>
      <c r="M30" s="629">
        <v>12.859571456909155</v>
      </c>
      <c r="N30" s="629">
        <v>27.986428669520745</v>
      </c>
      <c r="O30" s="629">
        <v>27.48885754176543</v>
      </c>
    </row>
    <row r="31" spans="1:15" ht="11.25" customHeight="1">
      <c r="A31" s="137"/>
      <c r="C31" s="767" t="s">
        <v>147</v>
      </c>
      <c r="D31" s="768">
        <v>2.1070000000000002</v>
      </c>
      <c r="E31" s="768">
        <v>1.7954301075268833</v>
      </c>
      <c r="F31" s="769">
        <f t="shared" si="2"/>
        <v>0.17353496032340082</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mayo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12" t="s">
        <v>367</v>
      </c>
      <c r="B35" s="912"/>
      <c r="C35" s="912"/>
      <c r="D35" s="912"/>
      <c r="E35" s="912"/>
      <c r="F35" s="912"/>
      <c r="G35" s="912"/>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566</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9">
        <v>27.269166944999998</v>
      </c>
      <c r="O135" s="629">
        <v>15.456000011666667</v>
      </c>
    </row>
    <row r="136" spans="11:15">
      <c r="L136" s="518">
        <v>29</v>
      </c>
      <c r="M136" s="629">
        <v>12.436285836355987</v>
      </c>
      <c r="N136" s="749">
        <v>27.957999638148667</v>
      </c>
      <c r="O136" s="629">
        <v>12.983142989022358</v>
      </c>
    </row>
    <row r="137" spans="11:15">
      <c r="L137" s="518">
        <v>30</v>
      </c>
      <c r="M137" s="629">
        <v>12.081000189999999</v>
      </c>
      <c r="N137" s="749">
        <v>25.709142960000001</v>
      </c>
      <c r="O137" s="629">
        <v>13.575857162857142</v>
      </c>
    </row>
    <row r="138" spans="11:15">
      <c r="L138" s="518">
        <v>31</v>
      </c>
      <c r="M138" s="629">
        <v>11.596285820007285</v>
      </c>
      <c r="N138" s="749">
        <v>24.763571058000789</v>
      </c>
      <c r="O138" s="629">
        <v>11.669857025146444</v>
      </c>
    </row>
    <row r="139" spans="11:15">
      <c r="L139" s="518">
        <v>32</v>
      </c>
      <c r="M139" s="629">
        <v>11.720571517944299</v>
      </c>
      <c r="N139" s="749">
        <v>24.089857101440373</v>
      </c>
      <c r="O139" s="629">
        <v>19.260286058698341</v>
      </c>
    </row>
    <row r="140" spans="11:15">
      <c r="L140" s="518">
        <v>33</v>
      </c>
      <c r="M140" s="629">
        <v>12.527428762857143</v>
      </c>
      <c r="N140" s="749">
        <v>22.760285514285709</v>
      </c>
      <c r="O140" s="629">
        <v>11.767142841428575</v>
      </c>
    </row>
    <row r="141" spans="11:15">
      <c r="L141" s="518">
        <v>34</v>
      </c>
      <c r="M141" s="629">
        <v>16.307285444285718</v>
      </c>
      <c r="N141" s="749">
        <v>25.360285895714288</v>
      </c>
      <c r="O141" s="629">
        <v>9.6848572311428569</v>
      </c>
    </row>
    <row r="142" spans="11:15">
      <c r="L142" s="518">
        <v>35</v>
      </c>
      <c r="M142" s="629">
        <v>16.3159999847412</v>
      </c>
      <c r="N142" s="749">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50">
        <v>35.542857851300859</v>
      </c>
      <c r="O147" s="629">
        <v>14.786999974931945</v>
      </c>
    </row>
    <row r="148" spans="10:15">
      <c r="L148" s="518">
        <v>41</v>
      </c>
      <c r="M148" s="629">
        <v>15.8430898672582</v>
      </c>
      <c r="N148" s="750">
        <v>42.2230343138324</v>
      </c>
      <c r="O148" s="629">
        <v>20.704649510407599</v>
      </c>
    </row>
    <row r="149" spans="10:15">
      <c r="L149" s="518">
        <v>42</v>
      </c>
      <c r="M149" s="629">
        <v>5.7759999548571432</v>
      </c>
      <c r="N149" s="750">
        <v>38.873856951428571</v>
      </c>
      <c r="O149" s="629">
        <v>25.138142720000001</v>
      </c>
    </row>
    <row r="150" spans="10:15">
      <c r="L150" s="518">
        <v>43</v>
      </c>
      <c r="M150" s="629">
        <v>11.382285799298913</v>
      </c>
      <c r="N150" s="750">
        <v>37.477428436279276</v>
      </c>
      <c r="O150" s="629">
        <v>25.216714314051995</v>
      </c>
    </row>
    <row r="151" spans="10:15">
      <c r="L151" s="518">
        <v>44</v>
      </c>
      <c r="M151" s="629">
        <v>5.2291429382857144</v>
      </c>
      <c r="N151" s="750">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L167" s="518">
        <v>8</v>
      </c>
      <c r="M167" s="629">
        <v>94.627143865714288</v>
      </c>
      <c r="N167" s="629">
        <v>127.76542662857143</v>
      </c>
      <c r="O167" s="629">
        <v>119.39471545714287</v>
      </c>
    </row>
    <row r="168" spans="11:15">
      <c r="K168" s="518">
        <v>9</v>
      </c>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L175" s="518">
        <v>16</v>
      </c>
      <c r="M175" s="629">
        <v>26.4</v>
      </c>
      <c r="N175" s="629">
        <v>144.20861904761904</v>
      </c>
      <c r="O175" s="629">
        <v>122.82</v>
      </c>
    </row>
    <row r="176" spans="11:15">
      <c r="L176" s="518">
        <v>17</v>
      </c>
      <c r="M176" s="629">
        <v>40.380714961428573</v>
      </c>
      <c r="N176" s="629">
        <v>104.17842755142858</v>
      </c>
      <c r="O176" s="629">
        <v>111.59999954285715</v>
      </c>
    </row>
    <row r="177" spans="11:15">
      <c r="L177" s="518">
        <v>18</v>
      </c>
      <c r="M177" s="629">
        <v>34.16114289419987</v>
      </c>
      <c r="N177" s="629">
        <v>64.587427411760572</v>
      </c>
      <c r="O177" s="629">
        <v>80.359285627092532</v>
      </c>
    </row>
    <row r="178" spans="11:15">
      <c r="L178" s="518">
        <v>19</v>
      </c>
      <c r="M178" s="629">
        <v>32.890571322857149</v>
      </c>
      <c r="N178" s="629">
        <v>69.162714277142854</v>
      </c>
      <c r="O178" s="629">
        <v>45.066857472857144</v>
      </c>
    </row>
    <row r="179" spans="11:15">
      <c r="L179" s="518">
        <v>20</v>
      </c>
      <c r="M179" s="629">
        <v>29.235714503696958</v>
      </c>
      <c r="N179" s="629">
        <v>53.960142408098463</v>
      </c>
      <c r="O179" s="629">
        <v>32.585143225533585</v>
      </c>
    </row>
    <row r="180" spans="11:15">
      <c r="L180" s="518">
        <v>21</v>
      </c>
      <c r="M180" s="629">
        <v>27.48045950819672</v>
      </c>
      <c r="N180" s="629">
        <v>44.110999999999997</v>
      </c>
      <c r="O180" s="629">
        <v>35.742226190476188</v>
      </c>
    </row>
    <row r="181" spans="11:15">
      <c r="K181" s="518">
        <v>22</v>
      </c>
      <c r="L181" s="518">
        <v>22</v>
      </c>
      <c r="M181" s="629">
        <v>24.021142414285716</v>
      </c>
      <c r="N181" s="629">
        <v>42.745857239999999</v>
      </c>
      <c r="O181" s="629">
        <v>73.717715127142853</v>
      </c>
    </row>
    <row r="182" spans="11:15">
      <c r="M182" s="629"/>
      <c r="N182" s="629"/>
      <c r="O182" s="629"/>
    </row>
    <row r="183" spans="11:15">
      <c r="M183" s="629"/>
      <c r="N183" s="629"/>
      <c r="O183" s="629"/>
    </row>
    <row r="184" spans="11:15">
      <c r="M184" s="629"/>
      <c r="N184" s="629"/>
      <c r="O184" s="629"/>
    </row>
    <row r="185" spans="11:15">
      <c r="M185" s="629"/>
      <c r="N185" s="629"/>
      <c r="O185" s="629"/>
    </row>
    <row r="186" spans="11:15">
      <c r="M186" s="629"/>
      <c r="N186" s="629"/>
      <c r="O186" s="629"/>
    </row>
    <row r="188" spans="11:15">
      <c r="M188" s="276" t="s">
        <v>256</v>
      </c>
      <c r="N188" s="276" t="s">
        <v>257</v>
      </c>
      <c r="O188"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12"/>
  <sheetViews>
    <sheetView showGridLines="0" view="pageBreakPreview" zoomScaleNormal="100" zoomScaleSheetLayoutView="100" zoomScalePageLayoutView="85" workbookViewId="0">
      <selection activeCell="J3" sqref="J3"/>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8"/>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541</v>
      </c>
      <c r="R3" s="277" t="s">
        <v>542</v>
      </c>
      <c r="S3" s="277" t="s">
        <v>259</v>
      </c>
      <c r="T3" s="277" t="s">
        <v>260</v>
      </c>
      <c r="U3" s="277" t="s">
        <v>261</v>
      </c>
      <c r="V3" s="277" t="s">
        <v>262</v>
      </c>
      <c r="W3" s="277" t="s">
        <v>545</v>
      </c>
      <c r="X3" s="277" t="s">
        <v>546</v>
      </c>
      <c r="Y3" s="277" t="s">
        <v>547</v>
      </c>
    </row>
    <row r="4" spans="1:25" ht="11.25" customHeight="1">
      <c r="A4" s="132"/>
      <c r="B4" s="132"/>
      <c r="C4" s="132"/>
      <c r="D4" s="132"/>
      <c r="E4" s="132"/>
      <c r="F4" s="132"/>
      <c r="G4" s="138"/>
      <c r="H4" s="138"/>
      <c r="I4" s="138"/>
      <c r="J4" s="148"/>
      <c r="K4" s="148"/>
      <c r="L4" s="148"/>
      <c r="N4" s="779">
        <v>2020</v>
      </c>
      <c r="O4" s="779"/>
      <c r="P4" s="781">
        <v>1</v>
      </c>
      <c r="Q4" s="778">
        <v>12.763571330479184</v>
      </c>
      <c r="R4" s="778">
        <v>7.4842857292720009</v>
      </c>
      <c r="S4" s="778">
        <v>176.20814078194715</v>
      </c>
      <c r="T4" s="778">
        <v>130.2321406773155</v>
      </c>
      <c r="U4" s="778">
        <v>24.27742849077493</v>
      </c>
      <c r="V4" s="778">
        <v>14.514315741402715</v>
      </c>
      <c r="W4" s="778">
        <v>2.278571367263786</v>
      </c>
      <c r="X4" s="778">
        <v>468.15499877929659</v>
      </c>
      <c r="Y4" s="778">
        <v>152.80385916573601</v>
      </c>
    </row>
    <row r="5" spans="1:25" ht="11.25" customHeight="1">
      <c r="A5" s="176"/>
      <c r="B5" s="176"/>
      <c r="C5" s="176"/>
      <c r="D5" s="176"/>
      <c r="E5" s="176"/>
      <c r="F5" s="176"/>
      <c r="G5" s="176"/>
      <c r="H5" s="176"/>
      <c r="I5" s="176"/>
      <c r="J5" s="24"/>
      <c r="K5" s="24"/>
      <c r="L5" s="131"/>
      <c r="N5" s="779"/>
      <c r="O5" s="779"/>
      <c r="P5" s="781">
        <v>2</v>
      </c>
      <c r="Q5" s="778">
        <v>13.386285781428571</v>
      </c>
      <c r="R5" s="778">
        <v>6.9174285272857139</v>
      </c>
      <c r="S5" s="778">
        <v>159.75199889999999</v>
      </c>
      <c r="T5" s="778">
        <v>106.97614288285715</v>
      </c>
      <c r="U5" s="778">
        <v>30.680286678571431</v>
      </c>
      <c r="V5" s="778">
        <v>13.21958133142857</v>
      </c>
      <c r="W5" s="778">
        <v>1.8857142757142857</v>
      </c>
      <c r="X5" s="778">
        <v>213.59428187142859</v>
      </c>
      <c r="Y5" s="778">
        <v>97.949856347142855</v>
      </c>
    </row>
    <row r="6" spans="1:25" ht="11.25" customHeight="1">
      <c r="A6" s="132"/>
      <c r="B6" s="291"/>
      <c r="C6" s="292"/>
      <c r="D6" s="293"/>
      <c r="E6" s="293"/>
      <c r="F6" s="177"/>
      <c r="G6" s="178"/>
      <c r="H6" s="178"/>
      <c r="I6" s="179"/>
      <c r="J6" s="24"/>
      <c r="K6" s="24"/>
      <c r="L6" s="19"/>
      <c r="N6" s="779"/>
      <c r="O6" s="779"/>
      <c r="P6" s="781">
        <v>3</v>
      </c>
      <c r="Q6" s="778">
        <v>15.196428435714285</v>
      </c>
      <c r="R6" s="778">
        <v>11.330428599714283</v>
      </c>
      <c r="S6" s="778">
        <v>243.87700107142857</v>
      </c>
      <c r="T6" s="778">
        <v>137.04186028571428</v>
      </c>
      <c r="U6" s="778">
        <v>40.240000044285715</v>
      </c>
      <c r="V6" s="778">
        <v>16.855534282857143</v>
      </c>
      <c r="W6" s="778">
        <v>6.3075712748571418</v>
      </c>
      <c r="X6" s="778">
        <v>247.26214164285713</v>
      </c>
      <c r="Y6" s="778">
        <v>78.131857190000005</v>
      </c>
    </row>
    <row r="7" spans="1:25" ht="11.25" customHeight="1">
      <c r="A7" s="132"/>
      <c r="B7" s="180"/>
      <c r="C7" s="180"/>
      <c r="D7" s="181"/>
      <c r="E7" s="181"/>
      <c r="F7" s="177"/>
      <c r="G7" s="178"/>
      <c r="H7" s="178"/>
      <c r="I7" s="179"/>
      <c r="J7" s="25"/>
      <c r="K7" s="25"/>
      <c r="L7" s="22"/>
      <c r="N7" s="779"/>
      <c r="O7" s="779"/>
      <c r="P7" s="781">
        <v>4</v>
      </c>
      <c r="Q7" s="778">
        <v>16.57199968714286</v>
      </c>
      <c r="R7" s="778">
        <v>12.821999958571428</v>
      </c>
      <c r="S7" s="778">
        <v>236.61043005714285</v>
      </c>
      <c r="T7" s="778">
        <v>121.29742760000001</v>
      </c>
      <c r="U7" s="778">
        <v>26.470714297142855</v>
      </c>
      <c r="V7" s="778">
        <v>22.011848449999999</v>
      </c>
      <c r="W7" s="778">
        <v>4.3669999327142861</v>
      </c>
      <c r="X7" s="778">
        <v>212.78856985714287</v>
      </c>
      <c r="Y7" s="778">
        <v>52.875</v>
      </c>
    </row>
    <row r="8" spans="1:25" ht="11.25" customHeight="1">
      <c r="A8" s="132"/>
      <c r="B8" s="182"/>
      <c r="C8" s="132"/>
      <c r="D8" s="156"/>
      <c r="E8" s="156"/>
      <c r="F8" s="177"/>
      <c r="G8" s="178"/>
      <c r="H8" s="178"/>
      <c r="I8" s="179"/>
      <c r="J8" s="23"/>
      <c r="K8" s="23"/>
      <c r="L8" s="24"/>
      <c r="N8" s="779"/>
      <c r="O8" s="779"/>
      <c r="P8" s="781">
        <v>5</v>
      </c>
      <c r="Q8" s="778">
        <v>25.675428661428576</v>
      </c>
      <c r="R8" s="778">
        <v>18.254856927142857</v>
      </c>
      <c r="S8" s="778">
        <v>392.82542635714287</v>
      </c>
      <c r="T8" s="778">
        <v>216.11300005714287</v>
      </c>
      <c r="U8" s="778">
        <v>48.707714625714289</v>
      </c>
      <c r="V8" s="778">
        <v>14.496191432857142</v>
      </c>
      <c r="W8" s="778">
        <v>2.6891428574285712</v>
      </c>
      <c r="X8" s="778">
        <v>410.15428595714286</v>
      </c>
      <c r="Y8" s="778">
        <v>99.128998899999985</v>
      </c>
    </row>
    <row r="9" spans="1:25" ht="11.25" customHeight="1">
      <c r="A9" s="132"/>
      <c r="B9" s="182"/>
      <c r="C9" s="132"/>
      <c r="D9" s="156"/>
      <c r="E9" s="156"/>
      <c r="F9" s="177"/>
      <c r="G9" s="178"/>
      <c r="H9" s="178"/>
      <c r="I9" s="179"/>
      <c r="J9" s="25"/>
      <c r="K9" s="26"/>
      <c r="L9" s="22"/>
      <c r="N9" s="779"/>
      <c r="O9" s="779"/>
      <c r="P9" s="781">
        <v>6</v>
      </c>
      <c r="Q9" s="778">
        <v>22.638571330479174</v>
      </c>
      <c r="R9" s="778">
        <v>17.332571574619813</v>
      </c>
      <c r="S9" s="778">
        <v>448.59157017299066</v>
      </c>
      <c r="T9" s="778">
        <v>221.35714285714261</v>
      </c>
      <c r="U9" s="778">
        <v>51.925000326974022</v>
      </c>
      <c r="V9" s="778">
        <v>17.659045491899729</v>
      </c>
      <c r="W9" s="778">
        <v>9.7964284079415354</v>
      </c>
      <c r="X9" s="778">
        <v>622.45499965122758</v>
      </c>
      <c r="Y9" s="778">
        <v>151.47385733468144</v>
      </c>
    </row>
    <row r="10" spans="1:25" ht="11.25" customHeight="1">
      <c r="A10" s="132"/>
      <c r="B10" s="182"/>
      <c r="C10" s="132"/>
      <c r="D10" s="156"/>
      <c r="E10" s="156"/>
      <c r="F10" s="177"/>
      <c r="G10" s="178"/>
      <c r="H10" s="178"/>
      <c r="I10" s="179"/>
      <c r="J10" s="25"/>
      <c r="K10" s="25"/>
      <c r="L10" s="22"/>
      <c r="N10" s="779"/>
      <c r="O10" s="779"/>
      <c r="P10" s="781">
        <v>7</v>
      </c>
      <c r="Q10" s="778">
        <v>24.818285805714286</v>
      </c>
      <c r="R10" s="778">
        <v>19.436000279999998</v>
      </c>
      <c r="S10" s="778">
        <v>374.25799560000002</v>
      </c>
      <c r="T10" s="778">
        <v>142.54771639999998</v>
      </c>
      <c r="U10" s="778">
        <v>37.997142247142854</v>
      </c>
      <c r="V10" s="778">
        <v>23.642735891428568</v>
      </c>
      <c r="W10" s="778">
        <v>10.810714449000001</v>
      </c>
      <c r="X10" s="778">
        <v>434.32357352857144</v>
      </c>
      <c r="Y10" s="778">
        <v>148.12728554285715</v>
      </c>
    </row>
    <row r="11" spans="1:25" ht="11.25" customHeight="1">
      <c r="A11" s="132"/>
      <c r="B11" s="156"/>
      <c r="C11" s="132"/>
      <c r="D11" s="156"/>
      <c r="E11" s="156"/>
      <c r="F11" s="177"/>
      <c r="G11" s="178"/>
      <c r="H11" s="178"/>
      <c r="I11" s="179"/>
      <c r="J11" s="25"/>
      <c r="K11" s="25"/>
      <c r="L11" s="22"/>
      <c r="N11" s="779"/>
      <c r="O11" s="779">
        <v>8</v>
      </c>
      <c r="P11" s="781">
        <v>8</v>
      </c>
      <c r="Q11" s="778">
        <v>16.877285957336387</v>
      </c>
      <c r="R11" s="778">
        <v>13.084142684936484</v>
      </c>
      <c r="S11" s="778">
        <v>289.19357081821948</v>
      </c>
      <c r="T11" s="778">
        <v>162.01200212751087</v>
      </c>
      <c r="U11" s="778">
        <v>30.780285699026873</v>
      </c>
      <c r="V11" s="778">
        <v>23.681545802525072</v>
      </c>
      <c r="W11" s="778">
        <v>21.290571621486073</v>
      </c>
      <c r="X11" s="778">
        <v>403.40571376255542</v>
      </c>
      <c r="Y11" s="778">
        <v>143.28899928501644</v>
      </c>
    </row>
    <row r="12" spans="1:25" ht="11.25" customHeight="1">
      <c r="A12" s="132"/>
      <c r="B12" s="156"/>
      <c r="C12" s="132"/>
      <c r="D12" s="156"/>
      <c r="E12" s="156"/>
      <c r="F12" s="177"/>
      <c r="G12" s="178"/>
      <c r="H12" s="178"/>
      <c r="I12" s="179"/>
      <c r="J12" s="25"/>
      <c r="K12" s="25"/>
      <c r="L12" s="22"/>
      <c r="N12" s="779"/>
      <c r="O12" s="779"/>
      <c r="P12" s="781">
        <v>9</v>
      </c>
      <c r="Q12" s="778">
        <v>20.463000162857146</v>
      </c>
      <c r="R12" s="778">
        <v>16.131428717142857</v>
      </c>
      <c r="S12" s="778">
        <v>302.38613892857137</v>
      </c>
      <c r="T12" s="778">
        <v>174.72028894285717</v>
      </c>
      <c r="U12" s="778">
        <v>36.13400023285714</v>
      </c>
      <c r="V12" s="778">
        <v>23.625475747142854</v>
      </c>
      <c r="W12" s="778">
        <v>11.064000130142858</v>
      </c>
      <c r="X12" s="778">
        <v>388.35356794285718</v>
      </c>
      <c r="Y12" s="778">
        <v>84.357999531428575</v>
      </c>
    </row>
    <row r="13" spans="1:25" ht="11.25" customHeight="1">
      <c r="A13" s="132"/>
      <c r="B13" s="156"/>
      <c r="C13" s="132"/>
      <c r="D13" s="156"/>
      <c r="E13" s="156"/>
      <c r="F13" s="177"/>
      <c r="G13" s="178"/>
      <c r="H13" s="178"/>
      <c r="I13" s="179"/>
      <c r="J13" s="23"/>
      <c r="K13" s="23"/>
      <c r="L13" s="24"/>
      <c r="N13" s="779"/>
      <c r="O13" s="779"/>
      <c r="P13" s="781">
        <v>10</v>
      </c>
      <c r="Q13" s="778">
        <v>20.001714159999999</v>
      </c>
      <c r="R13" s="778">
        <v>16.133428572857145</v>
      </c>
      <c r="S13" s="778">
        <v>219.49971445714283</v>
      </c>
      <c r="T13" s="778">
        <v>118.91071428571429</v>
      </c>
      <c r="U13" s="778">
        <v>22.61842863857143</v>
      </c>
      <c r="V13" s="778">
        <v>23.72583552857143</v>
      </c>
      <c r="W13" s="778">
        <v>5.0324285712857142</v>
      </c>
      <c r="X13" s="778">
        <v>317.96785625714284</v>
      </c>
      <c r="Y13" s="778">
        <v>76.472572329999977</v>
      </c>
    </row>
    <row r="14" spans="1:25" ht="11.25" customHeight="1">
      <c r="A14" s="132"/>
      <c r="B14" s="156"/>
      <c r="C14" s="132"/>
      <c r="D14" s="156"/>
      <c r="E14" s="156"/>
      <c r="F14" s="177"/>
      <c r="G14" s="178"/>
      <c r="H14" s="178"/>
      <c r="I14" s="179"/>
      <c r="J14" s="25"/>
      <c r="K14" s="26"/>
      <c r="L14" s="22"/>
      <c r="N14" s="779"/>
      <c r="O14" s="779"/>
      <c r="P14" s="781">
        <v>11</v>
      </c>
      <c r="Q14" s="778">
        <v>20.464285714285715</v>
      </c>
      <c r="R14" s="778">
        <v>16.275285719999999</v>
      </c>
      <c r="S14" s="778">
        <v>210.39014761428572</v>
      </c>
      <c r="T14" s="778">
        <v>145.36899785714286</v>
      </c>
      <c r="U14" s="778">
        <v>39.343428748571434</v>
      </c>
      <c r="V14" s="778">
        <v>23.714347295714287</v>
      </c>
      <c r="W14" s="778">
        <v>12.165999821428571</v>
      </c>
      <c r="X14" s="778">
        <v>377.62500435714281</v>
      </c>
      <c r="Y14" s="778">
        <v>110.78628649857141</v>
      </c>
    </row>
    <row r="15" spans="1:25" ht="11.25" customHeight="1">
      <c r="A15" s="132"/>
      <c r="B15" s="156"/>
      <c r="C15" s="132"/>
      <c r="D15" s="156"/>
      <c r="E15" s="156"/>
      <c r="F15" s="177"/>
      <c r="G15" s="178"/>
      <c r="H15" s="178"/>
      <c r="I15" s="179"/>
      <c r="J15" s="25"/>
      <c r="K15" s="26"/>
      <c r="L15" s="22"/>
      <c r="N15" s="779"/>
      <c r="O15" s="779"/>
      <c r="P15" s="781">
        <v>12</v>
      </c>
      <c r="Q15" s="778">
        <v>23.032714026314846</v>
      </c>
      <c r="R15" s="778">
        <v>20.180714198521169</v>
      </c>
      <c r="S15" s="778">
        <v>335.19785417829189</v>
      </c>
      <c r="T15" s="778">
        <v>171.26185716901472</v>
      </c>
      <c r="U15" s="778">
        <v>46.286999838692772</v>
      </c>
      <c r="V15" s="778">
        <v>23.623331614903002</v>
      </c>
      <c r="W15" s="778">
        <v>11.119714055742502</v>
      </c>
      <c r="X15" s="778">
        <v>380.85929216657314</v>
      </c>
      <c r="Y15" s="778">
        <v>113.32999965122723</v>
      </c>
    </row>
    <row r="16" spans="1:25" ht="11.25" customHeight="1">
      <c r="A16" s="132"/>
      <c r="B16" s="156"/>
      <c r="C16" s="132"/>
      <c r="D16" s="156"/>
      <c r="E16" s="156"/>
      <c r="F16" s="177"/>
      <c r="G16" s="178"/>
      <c r="H16" s="178"/>
      <c r="I16" s="179"/>
      <c r="J16" s="25"/>
      <c r="K16" s="26"/>
      <c r="L16" s="22"/>
      <c r="N16" s="779"/>
      <c r="O16" s="779"/>
      <c r="P16" s="781">
        <v>13</v>
      </c>
      <c r="Q16" s="778">
        <v>27.558857236589642</v>
      </c>
      <c r="R16" s="778">
        <v>21.319143022809669</v>
      </c>
      <c r="S16" s="778">
        <v>569.31741768973188</v>
      </c>
      <c r="T16" s="778">
        <v>241.59529113769531</v>
      </c>
      <c r="U16" s="778">
        <v>63.414285387311629</v>
      </c>
      <c r="V16" s="778">
        <v>22.128154209681874</v>
      </c>
      <c r="W16" s="778">
        <v>6.0048571995326432</v>
      </c>
      <c r="X16" s="778">
        <v>332.15285818917374</v>
      </c>
      <c r="Y16" s="778">
        <v>97.158571515764294</v>
      </c>
    </row>
    <row r="17" spans="1:25" ht="11.25" customHeight="1">
      <c r="A17" s="132"/>
      <c r="B17" s="156"/>
      <c r="C17" s="132"/>
      <c r="D17" s="156"/>
      <c r="E17" s="156"/>
      <c r="F17" s="177"/>
      <c r="G17" s="178"/>
      <c r="H17" s="178"/>
      <c r="I17" s="179"/>
      <c r="J17" s="25"/>
      <c r="K17" s="26"/>
      <c r="L17" s="22"/>
      <c r="N17" s="779"/>
      <c r="O17" s="779"/>
      <c r="P17" s="781">
        <v>14</v>
      </c>
      <c r="Q17" s="778">
        <v>18.795857294285714</v>
      </c>
      <c r="R17" s="778">
        <v>18.168000220000003</v>
      </c>
      <c r="S17" s="778">
        <v>298.48543221428571</v>
      </c>
      <c r="T17" s="778">
        <v>156.28586031428571</v>
      </c>
      <c r="U17" s="778">
        <v>40.567142485714285</v>
      </c>
      <c r="V17" s="778">
        <v>21.36</v>
      </c>
      <c r="W17" s="778">
        <v>4.6619999238571435</v>
      </c>
      <c r="X17" s="778">
        <v>272.16142927142863</v>
      </c>
      <c r="Y17" s="778">
        <v>87.023999895714283</v>
      </c>
    </row>
    <row r="18" spans="1:25" ht="11.25" customHeight="1">
      <c r="A18" s="913" t="s">
        <v>569</v>
      </c>
      <c r="B18" s="913"/>
      <c r="C18" s="913"/>
      <c r="D18" s="913"/>
      <c r="E18" s="913"/>
      <c r="F18" s="913"/>
      <c r="G18" s="913"/>
      <c r="H18" s="913"/>
      <c r="I18" s="913"/>
      <c r="J18" s="913"/>
      <c r="K18" s="913"/>
      <c r="L18" s="913"/>
      <c r="N18" s="779"/>
      <c r="O18" s="779"/>
      <c r="P18" s="781">
        <v>15</v>
      </c>
      <c r="Q18" s="778">
        <v>16.380999974285714</v>
      </c>
      <c r="R18" s="778">
        <v>14.786285537142858</v>
      </c>
      <c r="S18" s="778">
        <v>196.30642698571427</v>
      </c>
      <c r="T18" s="778">
        <v>126.20242854857143</v>
      </c>
      <c r="U18" s="778">
        <v>27.609000341428576</v>
      </c>
      <c r="V18" s="778">
        <v>23.601429802857144</v>
      </c>
      <c r="W18" s="778">
        <v>2.5870000464285714</v>
      </c>
      <c r="X18" s="778">
        <v>174.17928642857143</v>
      </c>
      <c r="Y18" s="778">
        <v>56.692000798571428</v>
      </c>
    </row>
    <row r="19" spans="1:25" ht="11.25" customHeight="1">
      <c r="A19" s="25"/>
      <c r="B19" s="156"/>
      <c r="C19" s="132"/>
      <c r="D19" s="156"/>
      <c r="E19" s="156"/>
      <c r="F19" s="177"/>
      <c r="G19" s="178"/>
      <c r="H19" s="178"/>
      <c r="I19" s="179"/>
      <c r="J19" s="25"/>
      <c r="K19" s="26"/>
      <c r="L19" s="22"/>
      <c r="N19" s="779"/>
      <c r="O19" s="779">
        <v>16</v>
      </c>
      <c r="P19" s="781">
        <v>16</v>
      </c>
      <c r="Q19" s="778">
        <v>15.142857142857142</v>
      </c>
      <c r="R19" s="778">
        <v>11.113285608857142</v>
      </c>
      <c r="S19" s="778">
        <v>144.25785718571427</v>
      </c>
      <c r="T19" s="778">
        <v>112.32742854857143</v>
      </c>
      <c r="U19" s="778">
        <v>23.319143022857144</v>
      </c>
      <c r="V19" s="778">
        <v>16.145714351428573</v>
      </c>
      <c r="W19" s="778">
        <v>1.9568571534285717</v>
      </c>
      <c r="X19" s="778">
        <v>124.01500048571428</v>
      </c>
      <c r="Y19" s="778">
        <v>41.578285762857142</v>
      </c>
    </row>
    <row r="20" spans="1:25" ht="11.25" customHeight="1">
      <c r="A20" s="132"/>
      <c r="B20" s="156"/>
      <c r="C20" s="132"/>
      <c r="D20" s="156"/>
      <c r="E20" s="156"/>
      <c r="F20" s="177"/>
      <c r="G20" s="178"/>
      <c r="H20" s="178"/>
      <c r="I20" s="179"/>
      <c r="J20" s="25"/>
      <c r="K20" s="26"/>
      <c r="L20" s="22"/>
      <c r="N20" s="779"/>
      <c r="O20" s="779"/>
      <c r="P20" s="781">
        <v>17</v>
      </c>
      <c r="Q20" s="778">
        <v>14.535142626081141</v>
      </c>
      <c r="R20" s="778">
        <v>7.95871441704886</v>
      </c>
      <c r="S20" s="778">
        <v>118.61742946079741</v>
      </c>
      <c r="T20" s="778">
        <v>86.636999947684131</v>
      </c>
      <c r="U20" s="778">
        <v>19.662570953369116</v>
      </c>
      <c r="V20" s="778">
        <v>14.007261548723459</v>
      </c>
      <c r="W20" s="778">
        <v>2.0897142546517471</v>
      </c>
      <c r="X20" s="778">
        <v>109.72071402413471</v>
      </c>
      <c r="Y20" s="778">
        <v>32.277857099260544</v>
      </c>
    </row>
    <row r="21" spans="1:25" ht="11.25" customHeight="1">
      <c r="A21" s="132"/>
      <c r="B21" s="156"/>
      <c r="C21" s="132"/>
      <c r="D21" s="156"/>
      <c r="E21" s="156"/>
      <c r="F21" s="177"/>
      <c r="G21" s="178"/>
      <c r="H21" s="178"/>
      <c r="I21" s="179"/>
      <c r="J21" s="25"/>
      <c r="K21" s="29"/>
      <c r="L21" s="30"/>
      <c r="N21" s="779"/>
      <c r="O21" s="779"/>
      <c r="P21" s="781">
        <v>18</v>
      </c>
      <c r="Q21" s="778">
        <v>15.919285638571427</v>
      </c>
      <c r="R21" s="778">
        <v>12.133857388142859</v>
      </c>
      <c r="S21" s="778">
        <v>119.46943012857146</v>
      </c>
      <c r="T21" s="778">
        <v>95.79771531714286</v>
      </c>
      <c r="U21" s="778">
        <v>21.329571314285715</v>
      </c>
      <c r="V21" s="778">
        <v>12.484048571428572</v>
      </c>
      <c r="W21" s="778">
        <v>2.074857081857143</v>
      </c>
      <c r="X21" s="778">
        <v>121.69785745714287</v>
      </c>
      <c r="Y21" s="778">
        <v>27.218570980000003</v>
      </c>
    </row>
    <row r="22" spans="1:25" ht="11.25" customHeight="1">
      <c r="A22" s="137"/>
      <c r="B22" s="156"/>
      <c r="C22" s="132"/>
      <c r="D22" s="156"/>
      <c r="E22" s="156"/>
      <c r="F22" s="177"/>
      <c r="G22" s="178"/>
      <c r="H22" s="178"/>
      <c r="I22" s="179"/>
      <c r="J22" s="25"/>
      <c r="K22" s="26"/>
      <c r="L22" s="22"/>
      <c r="N22" s="779"/>
      <c r="O22" s="779"/>
      <c r="P22" s="781">
        <v>19</v>
      </c>
      <c r="Q22" s="778">
        <v>16.148714472857144</v>
      </c>
      <c r="R22" s="778">
        <v>14.776714189999998</v>
      </c>
      <c r="S22" s="778">
        <v>179.62085941428572</v>
      </c>
      <c r="T22" s="778">
        <v>63.654857091428575</v>
      </c>
      <c r="U22" s="778">
        <v>18.961428234285709</v>
      </c>
      <c r="V22" s="778">
        <v>11.436902861999998</v>
      </c>
      <c r="W22" s="778">
        <v>1.6491428614285712</v>
      </c>
      <c r="X22" s="778">
        <v>98.23285565285714</v>
      </c>
      <c r="Y22" s="778">
        <v>23.996714454285712</v>
      </c>
    </row>
    <row r="23" spans="1:25" ht="11.25" customHeight="1">
      <c r="A23" s="137"/>
      <c r="B23" s="156"/>
      <c r="C23" s="132"/>
      <c r="D23" s="156"/>
      <c r="E23" s="156"/>
      <c r="F23" s="177"/>
      <c r="G23" s="178"/>
      <c r="H23" s="178"/>
      <c r="I23" s="179"/>
      <c r="J23" s="25"/>
      <c r="K23" s="26"/>
      <c r="L23" s="22"/>
      <c r="N23" s="779"/>
      <c r="O23" s="779"/>
      <c r="P23" s="781">
        <v>20</v>
      </c>
      <c r="Q23" s="778">
        <v>13.91285719</v>
      </c>
      <c r="R23" s="778">
        <v>10.484285559</v>
      </c>
      <c r="S23" s="778">
        <v>132.41042655714287</v>
      </c>
      <c r="T23" s="778">
        <v>63.017857142857146</v>
      </c>
      <c r="U23" s="778">
        <v>17.724285941428572</v>
      </c>
      <c r="V23" s="778">
        <v>12.01881</v>
      </c>
      <c r="W23" s="778">
        <v>1.6491428614285712</v>
      </c>
      <c r="X23" s="778">
        <v>74.486427307142861</v>
      </c>
      <c r="Y23" s="778">
        <v>27.218570980000003</v>
      </c>
    </row>
    <row r="24" spans="1:25" ht="11.25" customHeight="1">
      <c r="A24" s="137"/>
      <c r="B24" s="156"/>
      <c r="C24" s="132"/>
      <c r="D24" s="156"/>
      <c r="E24" s="156"/>
      <c r="F24" s="177"/>
      <c r="G24" s="178"/>
      <c r="H24" s="178"/>
      <c r="I24" s="179"/>
      <c r="J24" s="26"/>
      <c r="K24" s="26"/>
      <c r="L24" s="22"/>
      <c r="N24" s="779"/>
      <c r="O24" s="779"/>
      <c r="P24" s="781">
        <v>21</v>
      </c>
      <c r="Q24" s="778">
        <v>12.832571710859</v>
      </c>
      <c r="R24" s="778">
        <v>8.7072857448032899</v>
      </c>
      <c r="S24" s="778">
        <v>118.96285901750787</v>
      </c>
      <c r="T24" s="778">
        <v>55.553428649902308</v>
      </c>
      <c r="U24" s="778">
        <v>14.547714369637587</v>
      </c>
      <c r="V24" s="778">
        <v>11.963334356035457</v>
      </c>
      <c r="W24" s="778">
        <v>1.6175714560917398</v>
      </c>
      <c r="X24" s="778">
        <v>66.354285648890865</v>
      </c>
      <c r="Y24" s="778">
        <v>17.639571326119512</v>
      </c>
    </row>
    <row r="25" spans="1:25" ht="11.25" customHeight="1">
      <c r="A25" s="137"/>
      <c r="B25" s="156"/>
      <c r="C25" s="132"/>
      <c r="D25" s="156"/>
      <c r="E25" s="156"/>
      <c r="F25" s="177"/>
      <c r="G25" s="178"/>
      <c r="H25" s="178"/>
      <c r="I25" s="179"/>
      <c r="J25" s="25"/>
      <c r="K25" s="29"/>
      <c r="L25" s="30"/>
      <c r="N25" s="779"/>
      <c r="O25" s="779"/>
      <c r="P25" s="781">
        <v>22</v>
      </c>
      <c r="Q25" s="778">
        <v>11.589857237142857</v>
      </c>
      <c r="R25" s="778">
        <v>7.6087141037142851</v>
      </c>
      <c r="S25" s="778">
        <v>92.527713229999989</v>
      </c>
      <c r="T25" s="778">
        <v>48.85114288285714</v>
      </c>
      <c r="U25" s="778">
        <v>12.851142882857143</v>
      </c>
      <c r="V25" s="778">
        <v>11.972144264285713</v>
      </c>
      <c r="W25" s="778">
        <v>1.7258571555714286</v>
      </c>
      <c r="X25" s="778">
        <v>60.742857795714293</v>
      </c>
      <c r="Y25" s="778">
        <v>13.389714241428573</v>
      </c>
    </row>
    <row r="26" spans="1:25" ht="11.25" customHeight="1">
      <c r="A26" s="137"/>
      <c r="B26" s="156"/>
      <c r="C26" s="132"/>
      <c r="D26" s="156"/>
      <c r="E26" s="156"/>
      <c r="F26" s="138"/>
      <c r="G26" s="138"/>
      <c r="H26" s="138"/>
      <c r="I26" s="138"/>
      <c r="J26" s="23"/>
      <c r="K26" s="26"/>
      <c r="L26" s="22"/>
      <c r="N26" s="779"/>
      <c r="O26" s="779"/>
      <c r="P26" s="781">
        <v>23</v>
      </c>
      <c r="Q26" s="778">
        <v>10.866000038571428</v>
      </c>
      <c r="R26" s="778">
        <v>6.6898570742857144</v>
      </c>
      <c r="S26" s="778">
        <v>86.262142725714284</v>
      </c>
      <c r="T26" s="778">
        <v>49.02971431142857</v>
      </c>
      <c r="U26" s="778">
        <v>13.300571305714286</v>
      </c>
      <c r="V26" s="778">
        <v>12.060297148571431</v>
      </c>
      <c r="W26" s="778">
        <v>2.2755714314285713</v>
      </c>
      <c r="X26" s="778">
        <v>60.932143074285719</v>
      </c>
      <c r="Y26" s="778">
        <v>13.06000001</v>
      </c>
    </row>
    <row r="27" spans="1:25" ht="11.25" customHeight="1">
      <c r="A27" s="137"/>
      <c r="B27" s="156"/>
      <c r="C27" s="132"/>
      <c r="D27" s="156"/>
      <c r="E27" s="156"/>
      <c r="F27" s="138"/>
      <c r="G27" s="138"/>
      <c r="H27" s="138"/>
      <c r="I27" s="138"/>
      <c r="J27" s="23"/>
      <c r="K27" s="26"/>
      <c r="L27" s="22"/>
      <c r="N27" s="779"/>
      <c r="O27" s="779">
        <v>24</v>
      </c>
      <c r="P27" s="781">
        <v>24</v>
      </c>
      <c r="Q27" s="778">
        <v>10.893428530011814</v>
      </c>
      <c r="R27" s="778">
        <v>6.3937142235892095</v>
      </c>
      <c r="S27" s="778">
        <v>80.154999869210343</v>
      </c>
      <c r="T27" s="778">
        <v>39.363000052315797</v>
      </c>
      <c r="U27" s="778">
        <v>11.205857140677287</v>
      </c>
      <c r="V27" s="778">
        <v>12.025059972490542</v>
      </c>
      <c r="W27" s="778">
        <v>2.2755714314324473</v>
      </c>
      <c r="X27" s="778">
        <v>56.771429334367994</v>
      </c>
      <c r="Y27" s="778">
        <v>10.094714164733857</v>
      </c>
    </row>
    <row r="28" spans="1:25" ht="11.25" customHeight="1">
      <c r="A28" s="136"/>
      <c r="B28" s="138"/>
      <c r="C28" s="138"/>
      <c r="D28" s="138"/>
      <c r="E28" s="138"/>
      <c r="F28" s="138"/>
      <c r="G28" s="138"/>
      <c r="H28" s="138"/>
      <c r="I28" s="138"/>
      <c r="J28" s="25"/>
      <c r="K28" s="26"/>
      <c r="L28" s="22"/>
      <c r="N28" s="779"/>
      <c r="O28" s="779"/>
      <c r="P28" s="781">
        <v>25</v>
      </c>
      <c r="Q28" s="778">
        <v>9.7685713087142858</v>
      </c>
      <c r="R28" s="778">
        <v>5.4858571460000007</v>
      </c>
      <c r="S28" s="778">
        <v>71.438000270000003</v>
      </c>
      <c r="T28" s="778">
        <v>31.88514287142857</v>
      </c>
      <c r="U28" s="778">
        <v>9.1724285395714276</v>
      </c>
      <c r="V28" s="778">
        <v>11.867550168571428</v>
      </c>
      <c r="W28" s="778">
        <v>1.7577142885714285</v>
      </c>
      <c r="X28" s="778">
        <v>51.780714305714291</v>
      </c>
      <c r="Y28" s="778">
        <v>9.1595716474285691</v>
      </c>
    </row>
    <row r="29" spans="1:25" ht="11.25" customHeight="1">
      <c r="A29" s="136"/>
      <c r="B29" s="138"/>
      <c r="C29" s="138"/>
      <c r="D29" s="138"/>
      <c r="E29" s="138"/>
      <c r="F29" s="138"/>
      <c r="G29" s="138"/>
      <c r="H29" s="138"/>
      <c r="I29" s="138"/>
      <c r="J29" s="25"/>
      <c r="K29" s="26"/>
      <c r="L29" s="22"/>
      <c r="N29" s="779"/>
      <c r="O29" s="779"/>
      <c r="P29" s="781">
        <v>26</v>
      </c>
      <c r="Q29" s="778">
        <v>9.3011428291428579</v>
      </c>
      <c r="R29" s="778">
        <v>5.6422856875714285</v>
      </c>
      <c r="S29" s="778">
        <v>70.798141479999998</v>
      </c>
      <c r="T29" s="778">
        <v>29.80342864857143</v>
      </c>
      <c r="U29" s="778">
        <v>8.6642858641428564</v>
      </c>
      <c r="V29" s="778">
        <v>11.961507115714285</v>
      </c>
      <c r="W29" s="778">
        <v>1.7387143204285713</v>
      </c>
      <c r="X29" s="778">
        <v>47.265713828571435</v>
      </c>
      <c r="Y29" s="778">
        <v>8.8348572594285706</v>
      </c>
    </row>
    <row r="30" spans="1:25" ht="11.25" customHeight="1">
      <c r="A30" s="136"/>
      <c r="B30" s="138"/>
      <c r="C30" s="138"/>
      <c r="D30" s="138"/>
      <c r="E30" s="138"/>
      <c r="F30" s="138"/>
      <c r="G30" s="138"/>
      <c r="H30" s="138"/>
      <c r="I30" s="138"/>
      <c r="J30" s="25"/>
      <c r="K30" s="26"/>
      <c r="L30" s="22"/>
      <c r="N30" s="779"/>
      <c r="O30" s="779"/>
      <c r="P30" s="781">
        <v>27</v>
      </c>
      <c r="Q30" s="778">
        <v>9.0898572376796078</v>
      </c>
      <c r="R30" s="778">
        <v>4.8411428587777223</v>
      </c>
      <c r="S30" s="778">
        <v>72.323284694126613</v>
      </c>
      <c r="T30" s="778">
        <v>28.875142778669062</v>
      </c>
      <c r="U30" s="778">
        <v>8.3150001253400507</v>
      </c>
      <c r="V30" s="778">
        <v>12.125935554504371</v>
      </c>
      <c r="W30" s="778">
        <v>2.0545714242117699</v>
      </c>
      <c r="X30" s="778">
        <v>44.601428440638877</v>
      </c>
      <c r="Y30" s="778">
        <v>8.4665715353829452</v>
      </c>
    </row>
    <row r="31" spans="1:25" ht="11.25" customHeight="1">
      <c r="A31" s="136"/>
      <c r="B31" s="138"/>
      <c r="C31" s="138"/>
      <c r="D31" s="138"/>
      <c r="E31" s="138"/>
      <c r="F31" s="138"/>
      <c r="G31" s="138"/>
      <c r="H31" s="138"/>
      <c r="I31" s="138"/>
      <c r="J31" s="25"/>
      <c r="K31" s="26"/>
      <c r="L31" s="22"/>
      <c r="N31" s="779"/>
      <c r="O31" s="779"/>
      <c r="P31" s="781">
        <v>28</v>
      </c>
      <c r="Q31" s="778">
        <v>8.3315715788571421</v>
      </c>
      <c r="R31" s="778">
        <v>4.0902857780000001</v>
      </c>
      <c r="S31" s="778">
        <v>70.352427891428562</v>
      </c>
      <c r="T31" s="778">
        <v>27.071428571428573</v>
      </c>
      <c r="U31" s="778">
        <v>7.9792855807142846</v>
      </c>
      <c r="V31" s="778">
        <v>12.036131450000001</v>
      </c>
      <c r="W31" s="778">
        <v>1.862857103571429</v>
      </c>
      <c r="X31" s="778">
        <v>42.742857252857149</v>
      </c>
      <c r="Y31" s="778">
        <v>7.6952857290000001</v>
      </c>
    </row>
    <row r="32" spans="1:25" ht="11.25" customHeight="1">
      <c r="A32" s="136"/>
      <c r="B32" s="138"/>
      <c r="C32" s="138"/>
      <c r="D32" s="138"/>
      <c r="E32" s="138"/>
      <c r="F32" s="138"/>
      <c r="G32" s="138"/>
      <c r="H32" s="138"/>
      <c r="I32" s="138"/>
      <c r="J32" s="26"/>
      <c r="K32" s="26"/>
      <c r="L32" s="22"/>
      <c r="N32" s="779"/>
      <c r="O32" s="779"/>
      <c r="P32" s="781">
        <v>29</v>
      </c>
      <c r="Q32" s="778">
        <v>8.7399999755714273</v>
      </c>
      <c r="R32" s="778">
        <v>3.3690000857142857</v>
      </c>
      <c r="S32" s="778">
        <v>69.363000051428585</v>
      </c>
      <c r="T32" s="778">
        <v>26.369142805714286</v>
      </c>
      <c r="U32" s="778">
        <v>7.2952857698571441</v>
      </c>
      <c r="V32" s="778">
        <v>12.01250158142857</v>
      </c>
      <c r="W32" s="778">
        <v>2.1428571427142855</v>
      </c>
      <c r="X32" s="778">
        <v>40.262857164285712</v>
      </c>
      <c r="Y32" s="778">
        <v>7.1297142847142867</v>
      </c>
    </row>
    <row r="33" spans="1:25" ht="11.25" customHeight="1">
      <c r="A33" s="136"/>
      <c r="B33" s="138"/>
      <c r="C33" s="138"/>
      <c r="D33" s="138"/>
      <c r="E33" s="138"/>
      <c r="F33" s="138"/>
      <c r="G33" s="138"/>
      <c r="H33" s="138"/>
      <c r="I33" s="138"/>
      <c r="J33" s="25"/>
      <c r="K33" s="26"/>
      <c r="L33" s="22"/>
      <c r="N33" s="779"/>
      <c r="O33" s="779"/>
      <c r="P33" s="781">
        <v>30</v>
      </c>
      <c r="Q33" s="778">
        <v>8.2612857819999999</v>
      </c>
      <c r="R33" s="778">
        <v>3.9334286622857135</v>
      </c>
      <c r="S33" s="778">
        <v>68.101856775714282</v>
      </c>
      <c r="T33" s="778">
        <v>23.077571325714285</v>
      </c>
      <c r="U33" s="778">
        <v>7.5452858379999999</v>
      </c>
      <c r="V33" s="778">
        <v>12.065415654285715</v>
      </c>
      <c r="W33" s="778">
        <v>2.0148571899999999</v>
      </c>
      <c r="X33" s="778">
        <v>39.827141895714291</v>
      </c>
      <c r="Y33" s="778">
        <v>8.1214285577142853</v>
      </c>
    </row>
    <row r="34" spans="1:25" ht="11.25" customHeight="1">
      <c r="A34" s="136"/>
      <c r="B34" s="138"/>
      <c r="C34" s="138"/>
      <c r="D34" s="138"/>
      <c r="E34" s="138"/>
      <c r="F34" s="138"/>
      <c r="G34" s="138"/>
      <c r="H34" s="138"/>
      <c r="I34" s="138"/>
      <c r="J34" s="25"/>
      <c r="K34" s="34"/>
      <c r="L34" s="22"/>
      <c r="N34" s="779"/>
      <c r="O34" s="779"/>
      <c r="P34" s="781">
        <v>31</v>
      </c>
      <c r="Q34" s="778">
        <v>7.5295715331428577</v>
      </c>
      <c r="R34" s="778">
        <v>3.8718570981428577</v>
      </c>
      <c r="S34" s="778">
        <v>66.163572037142856</v>
      </c>
      <c r="T34" s="778">
        <v>20.36314283098493</v>
      </c>
      <c r="U34" s="778">
        <v>7.1267142297142865</v>
      </c>
      <c r="V34" s="778">
        <v>12.064045632857143</v>
      </c>
      <c r="W34" s="778">
        <v>2.0708571672857143</v>
      </c>
      <c r="X34" s="778">
        <v>37.761428834285709</v>
      </c>
      <c r="Y34" s="778">
        <v>8.1097143717142863</v>
      </c>
    </row>
    <row r="35" spans="1:25" ht="11.25" customHeight="1">
      <c r="A35" s="136"/>
      <c r="B35" s="138"/>
      <c r="C35" s="138"/>
      <c r="D35" s="138"/>
      <c r="E35" s="138"/>
      <c r="F35" s="138"/>
      <c r="G35" s="138"/>
      <c r="H35" s="138"/>
      <c r="I35" s="138"/>
      <c r="J35" s="25"/>
      <c r="K35" s="34"/>
      <c r="L35" s="38"/>
      <c r="N35" s="779"/>
      <c r="O35" s="779">
        <v>32</v>
      </c>
      <c r="P35" s="781">
        <v>32</v>
      </c>
      <c r="Q35" s="778">
        <v>7.1332857268197154</v>
      </c>
      <c r="R35" s="778">
        <v>3.9694285733359158</v>
      </c>
      <c r="S35" s="778">
        <v>69.589143480573355</v>
      </c>
      <c r="T35" s="778">
        <v>20.36</v>
      </c>
      <c r="U35" s="778">
        <v>6.828428472791396</v>
      </c>
      <c r="V35" s="778">
        <v>11.89809417724604</v>
      </c>
      <c r="W35" s="778">
        <v>1.7728571551186658</v>
      </c>
      <c r="X35" s="778">
        <v>37.760714394705587</v>
      </c>
      <c r="Y35" s="778">
        <v>10.538714272635294</v>
      </c>
    </row>
    <row r="36" spans="1:25" ht="11.25" customHeight="1">
      <c r="A36" s="136"/>
      <c r="B36" s="138"/>
      <c r="C36" s="138"/>
      <c r="D36" s="138"/>
      <c r="E36" s="138"/>
      <c r="F36" s="138"/>
      <c r="G36" s="138"/>
      <c r="H36" s="138"/>
      <c r="I36" s="138"/>
      <c r="J36" s="25"/>
      <c r="K36" s="29"/>
      <c r="L36" s="22"/>
      <c r="N36" s="779"/>
      <c r="O36" s="779"/>
      <c r="P36" s="781">
        <v>33</v>
      </c>
      <c r="Q36" s="778">
        <v>7.307000092</v>
      </c>
      <c r="R36" s="778">
        <v>4.0542857307142848</v>
      </c>
      <c r="S36" s="778">
        <v>67.52914374142857</v>
      </c>
      <c r="T36" s="778">
        <v>23.369000025714286</v>
      </c>
      <c r="U36" s="778">
        <v>6.6690000125714279</v>
      </c>
      <c r="V36" s="778">
        <v>11.954105787142856</v>
      </c>
      <c r="W36" s="778">
        <v>1.7154285907142857</v>
      </c>
      <c r="X36" s="778">
        <v>38.402142115714284</v>
      </c>
      <c r="Y36" s="778">
        <v>6.1292857952857149</v>
      </c>
    </row>
    <row r="37" spans="1:25" ht="11.25" customHeight="1">
      <c r="A37" s="136"/>
      <c r="B37" s="138"/>
      <c r="C37" s="138"/>
      <c r="D37" s="138"/>
      <c r="E37" s="138"/>
      <c r="F37" s="138"/>
      <c r="G37" s="138"/>
      <c r="H37" s="138"/>
      <c r="I37" s="138"/>
      <c r="J37" s="25"/>
      <c r="K37" s="29"/>
      <c r="L37" s="22"/>
      <c r="N37" s="779"/>
      <c r="O37" s="779"/>
      <c r="P37" s="781">
        <v>34</v>
      </c>
      <c r="Q37" s="778">
        <v>6.8864285605714288</v>
      </c>
      <c r="R37" s="778">
        <v>3.8852857181428568</v>
      </c>
      <c r="S37" s="778">
        <v>67.307859692857136</v>
      </c>
      <c r="T37" s="778">
        <v>24.434428622857144</v>
      </c>
      <c r="U37" s="778">
        <v>6.6477142742857138</v>
      </c>
      <c r="V37" s="778">
        <v>11.958392961428572</v>
      </c>
      <c r="W37" s="778">
        <v>2.26100002</v>
      </c>
      <c r="X37" s="778">
        <v>36.792856487142856</v>
      </c>
      <c r="Y37" s="778">
        <v>6.0765714645714288</v>
      </c>
    </row>
    <row r="38" spans="1:25" ht="11.25" customHeight="1">
      <c r="A38" s="136"/>
      <c r="B38" s="138"/>
      <c r="C38" s="138"/>
      <c r="D38" s="138"/>
      <c r="E38" s="138"/>
      <c r="F38" s="138"/>
      <c r="G38" s="138"/>
      <c r="H38" s="138"/>
      <c r="I38" s="138"/>
      <c r="J38" s="25"/>
      <c r="K38" s="29"/>
      <c r="L38" s="22"/>
      <c r="N38" s="779"/>
      <c r="O38" s="779"/>
      <c r="P38" s="781">
        <v>35</v>
      </c>
      <c r="Q38" s="778">
        <v>6.9537143707275364</v>
      </c>
      <c r="R38" s="778">
        <v>3.3560000147138283</v>
      </c>
      <c r="S38" s="778">
        <v>62.870428357805473</v>
      </c>
      <c r="T38" s="778">
        <v>21.077428545270632</v>
      </c>
      <c r="U38" s="778">
        <v>6.0071428843906904</v>
      </c>
      <c r="V38" s="778">
        <v>12.309941428048228</v>
      </c>
      <c r="W38" s="778">
        <v>1.5178571258272411</v>
      </c>
      <c r="X38" s="778">
        <v>37.991428375244077</v>
      </c>
      <c r="Y38" s="778">
        <v>5.9287142923900031</v>
      </c>
    </row>
    <row r="39" spans="1:25" ht="11.25" customHeight="1">
      <c r="N39" s="779"/>
      <c r="O39" s="779"/>
      <c r="P39" s="781">
        <v>36</v>
      </c>
      <c r="Q39" s="778">
        <v>6.8990000316074882</v>
      </c>
      <c r="R39" s="778">
        <v>3.1212857110159686</v>
      </c>
      <c r="S39" s="778">
        <v>65.621286119733483</v>
      </c>
      <c r="T39" s="778">
        <v>23.857142857142815</v>
      </c>
      <c r="U39" s="778">
        <v>6.0528572627476231</v>
      </c>
      <c r="V39" s="778">
        <v>12.697084290640644</v>
      </c>
      <c r="W39" s="778">
        <v>1.0650000040020247</v>
      </c>
      <c r="X39" s="778">
        <v>40.24999999999995</v>
      </c>
      <c r="Y39" s="778">
        <v>6.6625714302062962</v>
      </c>
    </row>
    <row r="40" spans="1:25" ht="11.25" customHeight="1">
      <c r="A40" s="913" t="s">
        <v>568</v>
      </c>
      <c r="B40" s="913"/>
      <c r="C40" s="913"/>
      <c r="D40" s="913"/>
      <c r="E40" s="913"/>
      <c r="F40" s="913"/>
      <c r="G40" s="913"/>
      <c r="H40" s="913"/>
      <c r="I40" s="913"/>
      <c r="J40" s="913"/>
      <c r="K40" s="913"/>
      <c r="L40" s="913"/>
      <c r="N40" s="779"/>
      <c r="O40" s="779"/>
      <c r="P40" s="781">
        <v>37</v>
      </c>
      <c r="Q40" s="778">
        <v>6.6838571003505107</v>
      </c>
      <c r="R40" s="778">
        <v>3.6978571414947474</v>
      </c>
      <c r="S40" s="778">
        <v>65.927430289132204</v>
      </c>
      <c r="T40" s="778">
        <v>21.696428571428545</v>
      </c>
      <c r="U40" s="778">
        <v>5.992857115609298</v>
      </c>
      <c r="V40" s="778">
        <v>12.722499983651257</v>
      </c>
      <c r="W40" s="778">
        <v>1.5737142903464156</v>
      </c>
      <c r="X40" s="778">
        <v>41.220714024135006</v>
      </c>
      <c r="Y40" s="778">
        <v>6.7525714465549971</v>
      </c>
    </row>
    <row r="41" spans="1:25" ht="11.25" customHeight="1">
      <c r="N41" s="779"/>
      <c r="O41" s="779"/>
      <c r="P41" s="781">
        <v>38</v>
      </c>
      <c r="Q41" s="778">
        <v>7.5399999618530247</v>
      </c>
      <c r="R41" s="778">
        <v>4.336428608285714</v>
      </c>
      <c r="S41" s="778">
        <v>68.259427751813561</v>
      </c>
      <c r="T41" s="778">
        <v>32.958285740443614</v>
      </c>
      <c r="U41" s="778">
        <v>6.3054285049438423</v>
      </c>
      <c r="V41" s="778">
        <v>12.757261548723429</v>
      </c>
      <c r="W41" s="778">
        <v>1.6808571304593714</v>
      </c>
      <c r="X41" s="778">
        <v>38.451428549630243</v>
      </c>
      <c r="Y41" s="778">
        <v>6.3287143026079411</v>
      </c>
    </row>
    <row r="42" spans="1:25" ht="11.25" customHeight="1">
      <c r="A42" s="136"/>
      <c r="B42" s="138"/>
      <c r="C42" s="138"/>
      <c r="D42" s="138"/>
      <c r="E42" s="138"/>
      <c r="F42" s="138"/>
      <c r="G42" s="138"/>
      <c r="H42" s="138"/>
      <c r="I42" s="138"/>
      <c r="N42" s="779"/>
      <c r="O42" s="779"/>
      <c r="P42" s="781">
        <v>39</v>
      </c>
      <c r="Q42" s="778">
        <v>6.875</v>
      </c>
      <c r="R42" s="778">
        <v>3.7</v>
      </c>
      <c r="S42" s="778">
        <v>75.159429278571437</v>
      </c>
      <c r="T42" s="778">
        <v>41.827428545714284</v>
      </c>
      <c r="U42" s="778">
        <v>7.6855713981428568</v>
      </c>
      <c r="V42" s="778">
        <v>12.744882855714284</v>
      </c>
      <c r="W42" s="778">
        <v>1.6871428661428571</v>
      </c>
      <c r="X42" s="778">
        <v>41.307143075714286</v>
      </c>
      <c r="Y42" s="778">
        <v>7.4534285069999999</v>
      </c>
    </row>
    <row r="43" spans="1:25" ht="11.25" customHeight="1">
      <c r="A43" s="136"/>
      <c r="B43" s="138"/>
      <c r="C43" s="138"/>
      <c r="D43" s="138"/>
      <c r="E43" s="138"/>
      <c r="F43" s="138"/>
      <c r="G43" s="138"/>
      <c r="H43" s="138"/>
      <c r="I43" s="138"/>
      <c r="N43" s="779"/>
      <c r="O43" s="779">
        <v>40</v>
      </c>
      <c r="P43" s="781">
        <v>40</v>
      </c>
      <c r="Q43" s="778">
        <v>6.0911429268571426</v>
      </c>
      <c r="R43" s="778">
        <v>3.501428569857143</v>
      </c>
      <c r="S43" s="778">
        <v>73.523286004285723</v>
      </c>
      <c r="T43" s="778">
        <v>30.178571428571427</v>
      </c>
      <c r="U43" s="778">
        <v>7.8047143392857157</v>
      </c>
      <c r="V43" s="778">
        <v>13.59601129857143</v>
      </c>
      <c r="W43" s="778">
        <v>1.6130000010000001</v>
      </c>
      <c r="X43" s="778">
        <v>45.036428724285713</v>
      </c>
      <c r="Y43" s="778">
        <v>6.0369999748571432</v>
      </c>
    </row>
    <row r="44" spans="1:25" ht="11.25" customHeight="1">
      <c r="A44" s="136"/>
      <c r="B44" s="138"/>
      <c r="C44" s="138"/>
      <c r="D44" s="138"/>
      <c r="E44" s="138"/>
      <c r="F44" s="138"/>
      <c r="G44" s="138"/>
      <c r="H44" s="138"/>
      <c r="I44" s="138"/>
      <c r="N44" s="779"/>
      <c r="O44" s="779"/>
      <c r="P44" s="781">
        <v>41</v>
      </c>
      <c r="Q44" s="778">
        <v>5.8652857372857152</v>
      </c>
      <c r="R44" s="778">
        <v>4.2169999735714283</v>
      </c>
      <c r="S44" s="778">
        <v>67.761285509999993</v>
      </c>
      <c r="T44" s="778">
        <v>24.547571454285713</v>
      </c>
      <c r="U44" s="778">
        <v>6.762428624428571</v>
      </c>
      <c r="V44" s="778">
        <v>13.258037294285714</v>
      </c>
      <c r="W44" s="778">
        <v>1.8452857051428571</v>
      </c>
      <c r="X44" s="778">
        <v>44.255714417142862</v>
      </c>
      <c r="Y44" s="778">
        <v>6.8767141612857143</v>
      </c>
    </row>
    <row r="45" spans="1:25" ht="11.25" customHeight="1">
      <c r="A45" s="136"/>
      <c r="B45" s="138"/>
      <c r="C45" s="138"/>
      <c r="D45" s="138"/>
      <c r="E45" s="138"/>
      <c r="F45" s="138"/>
      <c r="G45" s="138"/>
      <c r="H45" s="138"/>
      <c r="I45" s="138"/>
      <c r="N45" s="779"/>
      <c r="O45" s="779"/>
      <c r="P45" s="781">
        <v>42</v>
      </c>
      <c r="Q45" s="778">
        <v>6.6280000550406255</v>
      </c>
      <c r="R45" s="778">
        <v>4.7599999564034556</v>
      </c>
      <c r="S45" s="778">
        <v>71.132857186453606</v>
      </c>
      <c r="T45" s="778">
        <v>41.773857116699205</v>
      </c>
      <c r="U45" s="778">
        <v>7.8334286553519048</v>
      </c>
      <c r="V45" s="778">
        <v>12.748987061636742</v>
      </c>
      <c r="W45" s="778">
        <v>1.9990000043596503</v>
      </c>
      <c r="X45" s="778">
        <v>49.407857077462303</v>
      </c>
      <c r="Y45" s="778">
        <v>6.4478571755545433</v>
      </c>
    </row>
    <row r="46" spans="1:25" ht="11.25" customHeight="1">
      <c r="A46" s="136"/>
      <c r="B46" s="138"/>
      <c r="C46" s="138"/>
      <c r="D46" s="138"/>
      <c r="E46" s="138"/>
      <c r="F46" s="138"/>
      <c r="G46" s="138"/>
      <c r="H46" s="138"/>
      <c r="I46" s="138"/>
      <c r="N46" s="779"/>
      <c r="O46" s="779"/>
      <c r="P46" s="781">
        <v>43</v>
      </c>
      <c r="Q46" s="778">
        <v>7.1351429394285715</v>
      </c>
      <c r="R46" s="778">
        <v>5.693714175857143</v>
      </c>
      <c r="S46" s="778">
        <v>76.869857788571409</v>
      </c>
      <c r="T46" s="778">
        <v>39.60114288285714</v>
      </c>
      <c r="U46" s="778">
        <v>6.4934286387142857</v>
      </c>
      <c r="V46" s="778">
        <v>12.771309988571426</v>
      </c>
      <c r="W46" s="778">
        <v>1.5481428758571429</v>
      </c>
      <c r="X46" s="778">
        <v>49.056428090000004</v>
      </c>
      <c r="Y46" s="778">
        <v>6.2457143240000006</v>
      </c>
    </row>
    <row r="47" spans="1:25" ht="11.25" customHeight="1">
      <c r="A47" s="136"/>
      <c r="B47" s="138"/>
      <c r="C47" s="138"/>
      <c r="D47" s="138"/>
      <c r="E47" s="138"/>
      <c r="F47" s="138"/>
      <c r="G47" s="138"/>
      <c r="H47" s="138"/>
      <c r="I47" s="138"/>
      <c r="N47" s="779"/>
      <c r="O47" s="779"/>
      <c r="P47" s="781">
        <v>44</v>
      </c>
      <c r="Q47" s="778">
        <v>6.1070000102857147</v>
      </c>
      <c r="R47" s="778">
        <v>4.3958570957142857</v>
      </c>
      <c r="S47" s="778">
        <v>68.664999825714276</v>
      </c>
      <c r="T47" s="778">
        <v>36.702285765714286</v>
      </c>
      <c r="U47" s="778">
        <v>5.6301428931428577</v>
      </c>
      <c r="V47" s="778">
        <v>13.156308445714286</v>
      </c>
      <c r="W47" s="778">
        <v>1.4392857041428573</v>
      </c>
      <c r="X47" s="778">
        <v>48.241428374285711</v>
      </c>
      <c r="Y47" s="778">
        <v>6.5374285491428568</v>
      </c>
    </row>
    <row r="48" spans="1:25">
      <c r="A48" s="136"/>
      <c r="B48" s="138"/>
      <c r="C48" s="138"/>
      <c r="D48" s="138"/>
      <c r="E48" s="138"/>
      <c r="F48" s="138"/>
      <c r="G48" s="138"/>
      <c r="H48" s="138"/>
      <c r="I48" s="138"/>
      <c r="N48" s="779"/>
      <c r="O48" s="779"/>
      <c r="P48" s="781">
        <v>45</v>
      </c>
      <c r="Q48" s="778">
        <v>5.6735714502857144</v>
      </c>
      <c r="R48" s="778">
        <v>4.5134285178571432</v>
      </c>
      <c r="S48" s="778">
        <v>62.049999781428575</v>
      </c>
      <c r="T48" s="778">
        <v>27.797571454285713</v>
      </c>
      <c r="U48" s="778">
        <v>5.3054286411428562</v>
      </c>
      <c r="V48" s="778">
        <v>12.687737055714285</v>
      </c>
      <c r="W48" s="778">
        <v>1.380714297142857</v>
      </c>
      <c r="X48" s="778">
        <v>46.33071463571428</v>
      </c>
      <c r="Y48" s="778">
        <v>6.183142798285715</v>
      </c>
    </row>
    <row r="49" spans="1:25">
      <c r="A49" s="136"/>
      <c r="B49" s="138"/>
      <c r="C49" s="138"/>
      <c r="D49" s="138"/>
      <c r="E49" s="138"/>
      <c r="F49" s="138"/>
      <c r="G49" s="138"/>
      <c r="H49" s="138"/>
      <c r="I49" s="138"/>
      <c r="N49" s="779"/>
      <c r="O49" s="779"/>
      <c r="P49" s="781">
        <v>46</v>
      </c>
      <c r="Q49" s="778">
        <v>5.9637143271428581</v>
      </c>
      <c r="R49" s="778">
        <v>5.3014286587142854</v>
      </c>
      <c r="S49" s="778">
        <v>57.546571460000003</v>
      </c>
      <c r="T49" s="778">
        <v>32.208285740000001</v>
      </c>
      <c r="U49" s="778">
        <v>5.1785714285714288</v>
      </c>
      <c r="V49" s="778">
        <v>13.157975741428572</v>
      </c>
      <c r="W49" s="778">
        <v>1.3845714331428574</v>
      </c>
      <c r="X49" s="778">
        <v>44.693571362857142</v>
      </c>
      <c r="Y49" s="778">
        <v>7.3267143794285712</v>
      </c>
    </row>
    <row r="50" spans="1:25">
      <c r="A50" s="136"/>
      <c r="B50" s="138"/>
      <c r="C50" s="138"/>
      <c r="D50" s="138"/>
      <c r="E50" s="138"/>
      <c r="F50" s="138"/>
      <c r="G50" s="138"/>
      <c r="H50" s="138"/>
      <c r="I50" s="138"/>
      <c r="N50" s="779"/>
      <c r="O50" s="779"/>
      <c r="P50" s="781">
        <v>47</v>
      </c>
      <c r="Q50" s="778">
        <v>6.7792857034285712</v>
      </c>
      <c r="R50" s="778">
        <v>3.8094285555714285</v>
      </c>
      <c r="S50" s="778">
        <v>56.944714135714285</v>
      </c>
      <c r="T50" s="778">
        <v>25.351285662857144</v>
      </c>
      <c r="U50" s="778">
        <v>6.1274285315714279</v>
      </c>
      <c r="V50" s="778">
        <v>12.246785572857144</v>
      </c>
      <c r="W50" s="778">
        <v>1.5065714290000003</v>
      </c>
      <c r="X50" s="778">
        <v>42.967857361428564</v>
      </c>
      <c r="Y50" s="778">
        <v>9.6325714934285713</v>
      </c>
    </row>
    <row r="51" spans="1:25">
      <c r="A51" s="136"/>
      <c r="B51" s="138"/>
      <c r="C51" s="138"/>
      <c r="D51" s="138"/>
      <c r="E51" s="138"/>
      <c r="F51" s="138"/>
      <c r="G51" s="138"/>
      <c r="H51" s="138"/>
      <c r="I51" s="138"/>
      <c r="N51" s="779"/>
      <c r="O51" s="779"/>
      <c r="P51" s="781">
        <v>48</v>
      </c>
      <c r="Q51" s="778">
        <v>8.2138571738571429</v>
      </c>
      <c r="R51" s="778">
        <v>5.0787143024285717</v>
      </c>
      <c r="S51" s="778">
        <v>56.829999651428572</v>
      </c>
      <c r="T51" s="778">
        <v>37.994142805714283</v>
      </c>
      <c r="U51" s="778">
        <v>8.188285623714286</v>
      </c>
      <c r="V51" s="778">
        <v>13.367501529999998</v>
      </c>
      <c r="W51" s="778">
        <v>1.0268571504285715</v>
      </c>
      <c r="X51" s="778">
        <v>63.644285474285716</v>
      </c>
      <c r="Y51" s="778">
        <v>13.102857045714286</v>
      </c>
    </row>
    <row r="52" spans="1:25">
      <c r="A52" s="136"/>
      <c r="B52" s="138"/>
      <c r="C52" s="138"/>
      <c r="D52" s="138"/>
      <c r="E52" s="138"/>
      <c r="F52" s="138"/>
      <c r="G52" s="138"/>
      <c r="H52" s="138"/>
      <c r="I52" s="138"/>
      <c r="N52" s="779"/>
      <c r="O52" s="779"/>
      <c r="P52" s="781">
        <v>49</v>
      </c>
      <c r="Q52" s="778">
        <v>17.68042864142857</v>
      </c>
      <c r="R52" s="778">
        <v>12.998142924285714</v>
      </c>
      <c r="S52" s="778">
        <v>90.966000160000007</v>
      </c>
      <c r="T52" s="778">
        <v>88.630856108571422</v>
      </c>
      <c r="U52" s="778">
        <v>14.530285971857142</v>
      </c>
      <c r="V52" s="778">
        <v>13.053452899999998</v>
      </c>
      <c r="W52" s="778">
        <v>1.0737142817142857</v>
      </c>
      <c r="X52" s="778">
        <v>90.734285625714293</v>
      </c>
      <c r="Y52" s="778">
        <v>17.667142595714285</v>
      </c>
    </row>
    <row r="53" spans="1:25">
      <c r="A53" s="136"/>
      <c r="B53" s="138"/>
      <c r="C53" s="138"/>
      <c r="D53" s="138"/>
      <c r="E53" s="138"/>
      <c r="F53" s="138"/>
      <c r="G53" s="138"/>
      <c r="H53" s="138"/>
      <c r="I53" s="138"/>
      <c r="N53" s="779"/>
      <c r="O53" s="779"/>
      <c r="P53" s="781">
        <v>50</v>
      </c>
      <c r="Q53" s="778">
        <v>12.617142812857141</v>
      </c>
      <c r="R53" s="778">
        <v>11.908142771714285</v>
      </c>
      <c r="S53" s="778">
        <v>83.198000225714296</v>
      </c>
      <c r="T53" s="778">
        <v>44.297571454285716</v>
      </c>
      <c r="U53" s="778">
        <v>9.220428467142856</v>
      </c>
      <c r="V53" s="778">
        <v>13.068511554285712</v>
      </c>
      <c r="W53" s="778">
        <v>1.2921428212857144</v>
      </c>
      <c r="X53" s="778">
        <v>57.20714296714285</v>
      </c>
      <c r="Y53" s="778">
        <v>14.238999775714285</v>
      </c>
    </row>
    <row r="54" spans="1:25">
      <c r="A54" s="136"/>
      <c r="B54" s="138"/>
      <c r="C54" s="138"/>
      <c r="D54" s="138"/>
      <c r="E54" s="138"/>
      <c r="F54" s="138"/>
      <c r="G54" s="138"/>
      <c r="H54" s="138"/>
      <c r="I54" s="138"/>
      <c r="N54" s="779"/>
      <c r="O54" s="779"/>
      <c r="P54" s="781">
        <v>51</v>
      </c>
      <c r="Q54" s="778">
        <v>19.502285685714288</v>
      </c>
      <c r="R54" s="778">
        <v>17.91042859142857</v>
      </c>
      <c r="S54" s="778">
        <v>93.582571842857163</v>
      </c>
      <c r="T54" s="778">
        <v>77.60742949714286</v>
      </c>
      <c r="U54" s="778">
        <v>9.7118571817142847</v>
      </c>
      <c r="V54" s="778">
        <v>12.987917082857143</v>
      </c>
      <c r="W54" s="778">
        <v>1.2780000142857142</v>
      </c>
      <c r="X54" s="778">
        <v>76.025713785714288</v>
      </c>
      <c r="Y54" s="778">
        <v>17.224714688571428</v>
      </c>
    </row>
    <row r="55" spans="1:25">
      <c r="A55" s="136"/>
      <c r="B55" s="138"/>
      <c r="C55" s="138"/>
      <c r="D55" s="138"/>
      <c r="E55" s="138"/>
      <c r="F55" s="138"/>
      <c r="G55" s="138"/>
      <c r="H55" s="138"/>
      <c r="I55" s="138"/>
      <c r="N55" s="779"/>
      <c r="O55" s="779">
        <v>52</v>
      </c>
      <c r="P55" s="781">
        <v>52</v>
      </c>
      <c r="Q55" s="778">
        <v>24.478714262857146</v>
      </c>
      <c r="R55" s="778">
        <v>20.052142824285713</v>
      </c>
      <c r="S55" s="778">
        <v>198.89756992857141</v>
      </c>
      <c r="T55" s="778">
        <v>158.34513965714288</v>
      </c>
      <c r="U55" s="778">
        <v>34.910285677142852</v>
      </c>
      <c r="V55" s="778">
        <v>18.967856814285714</v>
      </c>
      <c r="W55" s="778">
        <v>7.1757142371428566</v>
      </c>
      <c r="X55" s="778">
        <v>180.25785610000003</v>
      </c>
      <c r="Y55" s="778">
        <v>54.019857132857133</v>
      </c>
    </row>
    <row r="56" spans="1:25">
      <c r="A56" s="136"/>
      <c r="B56" s="138"/>
      <c r="C56" s="138"/>
      <c r="D56" s="138"/>
      <c r="E56" s="138"/>
      <c r="F56" s="138"/>
      <c r="G56" s="138"/>
      <c r="H56" s="138"/>
      <c r="I56" s="138"/>
      <c r="N56" s="779">
        <v>2021</v>
      </c>
      <c r="O56" s="779"/>
      <c r="P56" s="781">
        <v>1</v>
      </c>
      <c r="Q56" s="778">
        <v>32.471142904285713</v>
      </c>
      <c r="R56" s="778">
        <v>23.040428705714284</v>
      </c>
      <c r="S56" s="778">
        <v>363.19999692857135</v>
      </c>
      <c r="T56" s="778">
        <v>212.58328465714288</v>
      </c>
      <c r="U56" s="778">
        <v>44.205428261428565</v>
      </c>
      <c r="V56" s="778">
        <v>22.357858387142851</v>
      </c>
      <c r="W56" s="778">
        <v>6.7241427552857145</v>
      </c>
      <c r="X56" s="778">
        <v>233.42357307142856</v>
      </c>
      <c r="Y56" s="778">
        <v>70.259001594285721</v>
      </c>
    </row>
    <row r="57" spans="1:25">
      <c r="A57" s="136"/>
      <c r="B57" s="138"/>
      <c r="C57" s="138"/>
      <c r="D57" s="138"/>
      <c r="E57" s="138"/>
      <c r="F57" s="138"/>
      <c r="G57" s="138"/>
      <c r="H57" s="138"/>
      <c r="I57" s="138"/>
      <c r="N57" s="779"/>
      <c r="O57" s="779"/>
      <c r="P57" s="781">
        <v>2</v>
      </c>
      <c r="Q57" s="778">
        <v>29.357571737142859</v>
      </c>
      <c r="R57" s="778">
        <v>22.506999971428574</v>
      </c>
      <c r="S57" s="778">
        <v>323.79400198571426</v>
      </c>
      <c r="T57" s="778">
        <v>154.41086031428571</v>
      </c>
      <c r="U57" s="778">
        <v>27.91428565857143</v>
      </c>
      <c r="V57" s="778">
        <v>16.044107027142857</v>
      </c>
      <c r="W57" s="778">
        <v>3.2384286270000002</v>
      </c>
      <c r="X57" s="778">
        <v>199.51214380000002</v>
      </c>
      <c r="Y57" s="778">
        <v>58.126999447142857</v>
      </c>
    </row>
    <row r="58" spans="1:25">
      <c r="A58" s="136"/>
      <c r="B58" s="138"/>
      <c r="C58" s="138"/>
      <c r="D58" s="138"/>
      <c r="E58" s="138"/>
      <c r="F58" s="138"/>
      <c r="G58" s="138"/>
      <c r="H58" s="138"/>
      <c r="I58" s="138"/>
      <c r="N58" s="779"/>
      <c r="O58" s="779"/>
      <c r="P58" s="781">
        <v>3</v>
      </c>
      <c r="Q58" s="778">
        <v>27.718428745714288</v>
      </c>
      <c r="R58" s="778">
        <v>21.345142638571424</v>
      </c>
      <c r="S58" s="778">
        <v>401.6544320142857</v>
      </c>
      <c r="T58" s="778">
        <v>185.14285714285714</v>
      </c>
      <c r="U58" s="778">
        <v>39.37385668142857</v>
      </c>
      <c r="V58" s="778">
        <v>18.835116929999998</v>
      </c>
      <c r="W58" s="778">
        <v>6.560571466571429</v>
      </c>
      <c r="X58" s="778">
        <v>380.69428361428572</v>
      </c>
      <c r="Y58" s="778">
        <v>74.927428108571434</v>
      </c>
    </row>
    <row r="59" spans="1:25">
      <c r="A59" s="136"/>
      <c r="B59" s="138"/>
      <c r="C59" s="138"/>
      <c r="D59" s="138"/>
      <c r="E59" s="138"/>
      <c r="F59" s="138"/>
      <c r="G59" s="138"/>
      <c r="H59" s="138"/>
      <c r="I59" s="138"/>
      <c r="N59" s="779"/>
      <c r="O59" s="779"/>
      <c r="P59" s="781">
        <v>4</v>
      </c>
      <c r="Q59" s="778">
        <v>30.739285877142859</v>
      </c>
      <c r="R59" s="778">
        <v>24.126143047142854</v>
      </c>
      <c r="S59" s="778">
        <v>367.00971765714274</v>
      </c>
      <c r="T59" s="778">
        <v>156.14856614285716</v>
      </c>
      <c r="U59" s="778">
        <v>23.497714179999999</v>
      </c>
      <c r="V59" s="778">
        <v>16.004641395714284</v>
      </c>
      <c r="W59" s="778">
        <v>5.1067142825714296</v>
      </c>
      <c r="X59" s="778">
        <v>322.4650006857143</v>
      </c>
      <c r="Y59" s="778">
        <v>68.394571574285706</v>
      </c>
    </row>
    <row r="60" spans="1:25">
      <c r="A60" s="136"/>
      <c r="B60" s="138"/>
      <c r="C60" s="138"/>
      <c r="D60" s="138"/>
      <c r="E60" s="138"/>
      <c r="F60" s="138"/>
      <c r="G60" s="138"/>
      <c r="H60" s="138"/>
      <c r="I60" s="138"/>
      <c r="N60" s="779"/>
      <c r="O60" s="779"/>
      <c r="P60" s="781">
        <v>5</v>
      </c>
      <c r="Q60" s="778">
        <v>25.584571565714288</v>
      </c>
      <c r="R60" s="778">
        <v>22.874571391428567</v>
      </c>
      <c r="S60" s="778">
        <v>260.95085362857145</v>
      </c>
      <c r="T60" s="778">
        <v>108.66671425714286</v>
      </c>
      <c r="U60" s="778">
        <v>21.321428571428573</v>
      </c>
      <c r="V60" s="778">
        <v>16.024463924285715</v>
      </c>
      <c r="W60" s="778">
        <v>3.1654285022857147</v>
      </c>
      <c r="X60" s="778">
        <v>203.94785854285715</v>
      </c>
      <c r="Y60" s="778">
        <v>56.864572254285704</v>
      </c>
    </row>
    <row r="61" spans="1:25">
      <c r="A61" s="136"/>
      <c r="B61" s="138"/>
      <c r="C61" s="138"/>
      <c r="D61" s="138"/>
      <c r="E61" s="138"/>
      <c r="F61" s="138"/>
      <c r="G61" s="138"/>
      <c r="H61" s="138"/>
      <c r="I61" s="138"/>
      <c r="N61" s="779"/>
      <c r="O61" s="779"/>
      <c r="P61" s="781">
        <v>6</v>
      </c>
      <c r="Q61" s="778">
        <v>18.677976190476191</v>
      </c>
      <c r="R61" s="778">
        <v>19.115142824285716</v>
      </c>
      <c r="S61" s="778">
        <v>266.1391427142857</v>
      </c>
      <c r="T61" s="778">
        <v>132.98228671428572</v>
      </c>
      <c r="U61" s="778">
        <v>30.396999359999999</v>
      </c>
      <c r="V61" s="778">
        <v>15.963094302857142</v>
      </c>
      <c r="W61" s="778">
        <v>5.8411428927142861</v>
      </c>
      <c r="X61" s="778">
        <v>317.90785435714287</v>
      </c>
      <c r="Y61" s="778">
        <v>60.405000412857149</v>
      </c>
    </row>
    <row r="62" spans="1:25" ht="19.2" customHeight="1">
      <c r="A62" s="136"/>
      <c r="B62" s="138"/>
      <c r="C62" s="138"/>
      <c r="D62" s="138"/>
      <c r="E62" s="138"/>
      <c r="F62" s="138"/>
      <c r="G62" s="138"/>
      <c r="H62" s="138"/>
      <c r="I62" s="138"/>
      <c r="N62" s="779"/>
      <c r="O62" s="779"/>
      <c r="P62" s="781">
        <v>7</v>
      </c>
      <c r="Q62" s="778">
        <v>18.677976190476191</v>
      </c>
      <c r="R62" s="778">
        <v>18.677976190476191</v>
      </c>
      <c r="S62" s="778">
        <v>231.286666666667</v>
      </c>
      <c r="T62" s="778">
        <v>91.321428571428569</v>
      </c>
      <c r="U62" s="778">
        <v>18.5625</v>
      </c>
      <c r="V62" s="778">
        <v>14.07</v>
      </c>
      <c r="W62" s="778">
        <v>3.3580000000000001</v>
      </c>
      <c r="X62" s="778">
        <v>339.78</v>
      </c>
      <c r="Y62" s="778">
        <v>76.87</v>
      </c>
    </row>
    <row r="63" spans="1:25">
      <c r="A63" s="136"/>
      <c r="B63" s="138"/>
      <c r="C63" s="138"/>
      <c r="D63" s="138"/>
      <c r="E63" s="138"/>
      <c r="F63" s="138"/>
      <c r="G63" s="138"/>
      <c r="H63" s="138"/>
      <c r="I63" s="138"/>
      <c r="N63" s="779"/>
      <c r="O63" s="779"/>
      <c r="P63" s="781">
        <v>8</v>
      </c>
      <c r="Q63" s="778">
        <v>15.895833333333314</v>
      </c>
      <c r="R63" s="778">
        <v>8.1069999999999993</v>
      </c>
      <c r="S63" s="778">
        <v>131.62660714285707</v>
      </c>
      <c r="T63" s="778">
        <v>104.375</v>
      </c>
      <c r="U63" s="778">
        <v>21.619</v>
      </c>
      <c r="V63" s="778">
        <v>13.162619047619055</v>
      </c>
      <c r="W63" s="778">
        <v>2.181</v>
      </c>
      <c r="X63" s="778">
        <v>264.85700000000003</v>
      </c>
      <c r="Y63" s="778">
        <v>119.958</v>
      </c>
    </row>
    <row r="64" spans="1:25" ht="6" customHeight="1">
      <c r="A64" s="136"/>
      <c r="B64" s="138"/>
      <c r="C64" s="138"/>
      <c r="D64" s="138"/>
      <c r="E64" s="138"/>
      <c r="F64" s="138"/>
      <c r="G64" s="138"/>
      <c r="H64" s="138"/>
      <c r="I64" s="138"/>
      <c r="N64" s="779"/>
      <c r="O64" s="779"/>
      <c r="P64" s="781">
        <v>9</v>
      </c>
      <c r="Q64" s="778">
        <v>16.03157152448377</v>
      </c>
      <c r="R64" s="778">
        <v>10.70885712759833</v>
      </c>
      <c r="S64" s="778">
        <v>115.81614358084498</v>
      </c>
      <c r="T64" s="778">
        <v>81.571428571428527</v>
      </c>
      <c r="U64" s="778">
        <v>19.778999873570012</v>
      </c>
      <c r="V64" s="778">
        <v>11.839642660958372</v>
      </c>
      <c r="W64" s="778">
        <v>2.5798570939472714</v>
      </c>
      <c r="X64" s="778">
        <v>195.40928431919602</v>
      </c>
      <c r="Y64" s="778">
        <v>71.76285661969861</v>
      </c>
    </row>
    <row r="65" spans="1:25" ht="24.75" customHeight="1">
      <c r="A65" s="886" t="s">
        <v>567</v>
      </c>
      <c r="B65" s="886"/>
      <c r="C65" s="886"/>
      <c r="D65" s="886"/>
      <c r="E65" s="886"/>
      <c r="F65" s="886"/>
      <c r="G65" s="886"/>
      <c r="H65" s="886"/>
      <c r="I65" s="886"/>
      <c r="J65" s="886"/>
      <c r="K65" s="886"/>
      <c r="L65" s="886"/>
      <c r="N65" s="779"/>
      <c r="O65" s="779"/>
      <c r="P65" s="781">
        <v>10</v>
      </c>
      <c r="Q65" s="778">
        <v>28.276142392857142</v>
      </c>
      <c r="R65" s="778">
        <v>21.731714248571429</v>
      </c>
      <c r="S65" s="778">
        <v>254.39099884285716</v>
      </c>
      <c r="T65" s="778">
        <v>146.17256928571427</v>
      </c>
      <c r="U65" s="778">
        <v>29.352285658571429</v>
      </c>
      <c r="V65" s="778">
        <v>10.568511418142858</v>
      </c>
      <c r="W65" s="778">
        <v>2.1962857415714288</v>
      </c>
      <c r="X65" s="778">
        <v>212.2000013</v>
      </c>
      <c r="Y65" s="778">
        <v>56.04871422714286</v>
      </c>
    </row>
    <row r="66" spans="1:25" ht="20.25" customHeight="1">
      <c r="N66" s="779"/>
      <c r="O66" s="779"/>
      <c r="P66" s="781">
        <v>11</v>
      </c>
      <c r="Q66" s="778">
        <v>28.634571619999999</v>
      </c>
      <c r="R66" s="778">
        <v>21.524857657142856</v>
      </c>
      <c r="S66" s="778">
        <v>320.82542418571427</v>
      </c>
      <c r="T66" s="778">
        <v>138.12514602857144</v>
      </c>
      <c r="U66" s="778">
        <v>28.100000654285715</v>
      </c>
      <c r="V66" s="778">
        <v>11.367022922857142</v>
      </c>
      <c r="W66" s="778">
        <v>2.7152857098571426</v>
      </c>
      <c r="X66" s="778">
        <v>229.93857247142856</v>
      </c>
      <c r="Y66" s="778">
        <v>63.309571402857145</v>
      </c>
    </row>
    <row r="67" spans="1:25">
      <c r="N67" s="779"/>
      <c r="O67" s="779"/>
      <c r="P67" s="781">
        <v>12</v>
      </c>
      <c r="Q67" s="778">
        <v>28.223285404285715</v>
      </c>
      <c r="R67" s="778">
        <v>22.087285995714286</v>
      </c>
      <c r="S67" s="778">
        <v>295.67700197142852</v>
      </c>
      <c r="T67" s="778">
        <v>176.22028785714286</v>
      </c>
      <c r="U67" s="778">
        <v>43.393999101428577</v>
      </c>
      <c r="V67" s="778">
        <v>14.060239925714285</v>
      </c>
      <c r="W67" s="778">
        <v>3.625</v>
      </c>
      <c r="X67" s="778">
        <v>287.37429152857146</v>
      </c>
      <c r="Y67" s="778">
        <v>68.27</v>
      </c>
    </row>
    <row r="68" spans="1:25">
      <c r="N68" s="779"/>
      <c r="O68" s="779">
        <v>13</v>
      </c>
      <c r="P68" s="781">
        <v>13</v>
      </c>
      <c r="Q68" s="778">
        <v>27.516571317142855</v>
      </c>
      <c r="R68" s="778">
        <v>23.321285792857143</v>
      </c>
      <c r="S68" s="778">
        <v>358.4028538428571</v>
      </c>
      <c r="T68" s="778">
        <v>161.61914497142857</v>
      </c>
      <c r="U68" s="778">
        <v>39.082286288571431</v>
      </c>
      <c r="V68" s="778">
        <v>20.107797215142853</v>
      </c>
      <c r="W68" s="778">
        <v>4.0744285582857147</v>
      </c>
      <c r="X68" s="778">
        <v>292.37857055714284</v>
      </c>
      <c r="Y68" s="778">
        <v>61.654713765714291</v>
      </c>
    </row>
    <row r="69" spans="1:25">
      <c r="N69" s="779"/>
      <c r="O69" s="779"/>
      <c r="P69" s="781">
        <v>14</v>
      </c>
      <c r="Q69" s="778">
        <v>29.126714707142856</v>
      </c>
      <c r="R69" s="778">
        <v>26.810000011428574</v>
      </c>
      <c r="S69" s="778">
        <v>415.37771607142855</v>
      </c>
      <c r="T69" s="778">
        <v>180.97614180000002</v>
      </c>
      <c r="U69" s="778">
        <v>40.325571332857145</v>
      </c>
      <c r="V69" s="778">
        <v>23.453333172857139</v>
      </c>
      <c r="W69" s="778">
        <v>2.8194285800000003</v>
      </c>
      <c r="X69" s="778">
        <v>281.81714740000001</v>
      </c>
      <c r="Y69" s="778">
        <v>68.710573468571425</v>
      </c>
    </row>
    <row r="70" spans="1:25">
      <c r="N70" s="779"/>
      <c r="O70" s="779"/>
      <c r="P70" s="781">
        <v>15</v>
      </c>
      <c r="Q70" s="778">
        <v>28.420428685714288</v>
      </c>
      <c r="R70" s="778">
        <v>22.159857068571426</v>
      </c>
      <c r="S70" s="778">
        <v>388.02957154285713</v>
      </c>
      <c r="T70" s="778">
        <v>187.79186137142855</v>
      </c>
      <c r="U70" s="778">
        <v>52.19757080285715</v>
      </c>
      <c r="V70" s="778">
        <v>23.194762912857147</v>
      </c>
      <c r="W70" s="778">
        <v>2.7518571105714291</v>
      </c>
      <c r="X70" s="778">
        <v>319.64357211428575</v>
      </c>
      <c r="Y70" s="778">
        <v>74.239000592857138</v>
      </c>
    </row>
    <row r="71" spans="1:25">
      <c r="N71" s="779"/>
      <c r="O71" s="779"/>
      <c r="P71" s="781">
        <v>16</v>
      </c>
      <c r="Q71" s="778">
        <v>21.880999702857146</v>
      </c>
      <c r="R71" s="778">
        <v>20.447000231428571</v>
      </c>
      <c r="S71" s="778">
        <v>189.56900242857142</v>
      </c>
      <c r="T71" s="778">
        <v>107.50585611428572</v>
      </c>
      <c r="U71" s="778">
        <v>28.65042877285714</v>
      </c>
      <c r="V71" s="778">
        <v>18.780238424285709</v>
      </c>
      <c r="W71" s="778">
        <v>1.8839999778571432</v>
      </c>
      <c r="X71" s="778">
        <v>174.665717</v>
      </c>
      <c r="Y71" s="778">
        <v>39.415857042857148</v>
      </c>
    </row>
    <row r="72" spans="1:25">
      <c r="N72" s="779"/>
      <c r="O72" s="779"/>
      <c r="P72" s="781">
        <v>17</v>
      </c>
      <c r="Q72" s="778">
        <v>18.000999994285714</v>
      </c>
      <c r="R72" s="778">
        <v>14.095428602857144</v>
      </c>
      <c r="S72" s="778">
        <v>140.97214290000002</v>
      </c>
      <c r="T72" s="778">
        <v>90.738142825714277</v>
      </c>
      <c r="U72" s="778">
        <v>20.563142504285715</v>
      </c>
      <c r="V72" s="778">
        <v>13.920417241428572</v>
      </c>
      <c r="W72" s="778">
        <v>1.7985714162857143</v>
      </c>
      <c r="X72" s="778">
        <v>112.05499922142857</v>
      </c>
      <c r="Y72" s="778">
        <v>25.886856898571434</v>
      </c>
    </row>
    <row r="73" spans="1:25">
      <c r="N73" s="779"/>
      <c r="O73" s="779"/>
      <c r="P73" s="781">
        <v>18</v>
      </c>
      <c r="Q73" s="778">
        <v>16.076714378571427</v>
      </c>
      <c r="R73" s="778">
        <v>12.509142604285715</v>
      </c>
      <c r="S73" s="778">
        <v>114.69700078571428</v>
      </c>
      <c r="T73" s="778">
        <v>67.130999974285714</v>
      </c>
      <c r="U73" s="778">
        <v>16.68214280285714</v>
      </c>
      <c r="V73" s="778">
        <v>10.773084301857143</v>
      </c>
      <c r="W73" s="778">
        <v>1.8058571475714285</v>
      </c>
      <c r="X73" s="778">
        <v>79.242856705714289</v>
      </c>
      <c r="Y73" s="778">
        <v>19.646428789999998</v>
      </c>
    </row>
    <row r="74" spans="1:25">
      <c r="N74" s="779"/>
      <c r="O74" s="779"/>
      <c r="P74" s="781">
        <v>19</v>
      </c>
      <c r="Q74" s="778">
        <v>15.213571411428573</v>
      </c>
      <c r="R74" s="778">
        <v>8.5715713499999993</v>
      </c>
      <c r="S74" s="778">
        <v>99.656284881428547</v>
      </c>
      <c r="T74" s="778">
        <v>64.428571428571431</v>
      </c>
      <c r="U74" s="778">
        <v>17.039285524285713</v>
      </c>
      <c r="V74" s="778">
        <v>11.989167077142856</v>
      </c>
      <c r="W74" s="778">
        <v>1.8551428488571429</v>
      </c>
      <c r="X74" s="778">
        <v>73.040000915714288</v>
      </c>
      <c r="Y74" s="778">
        <v>16.286999974285717</v>
      </c>
    </row>
    <row r="75" spans="1:25">
      <c r="N75" s="779"/>
      <c r="O75" s="779"/>
      <c r="P75" s="781">
        <v>20</v>
      </c>
      <c r="Q75" s="778">
        <v>14.241714205714286</v>
      </c>
      <c r="R75" s="778">
        <v>7.0702857972857149</v>
      </c>
      <c r="S75" s="778">
        <v>88.480572290000026</v>
      </c>
      <c r="T75" s="778">
        <v>61.482142857142854</v>
      </c>
      <c r="U75" s="778">
        <v>13.813714164285713</v>
      </c>
      <c r="V75" s="778">
        <v>12.071368352857144</v>
      </c>
      <c r="W75" s="778">
        <v>1.7121428761428572</v>
      </c>
      <c r="X75" s="778">
        <v>68.874286108571425</v>
      </c>
      <c r="Y75" s="778">
        <v>14.018428667142857</v>
      </c>
    </row>
    <row r="76" spans="1:25">
      <c r="N76" s="779"/>
      <c r="O76" s="779"/>
      <c r="P76" s="781">
        <v>21</v>
      </c>
      <c r="Q76" s="778">
        <v>14.091571398571428</v>
      </c>
      <c r="R76" s="778">
        <v>7.0830000470000005</v>
      </c>
      <c r="S76" s="778">
        <v>98.34657178714285</v>
      </c>
      <c r="T76" s="778">
        <v>63.72614288285714</v>
      </c>
      <c r="U76" s="778">
        <v>14.927285738571429</v>
      </c>
      <c r="V76" s="778">
        <v>12.066725457142857</v>
      </c>
      <c r="W76" s="778">
        <v>1.9470000094285715</v>
      </c>
      <c r="X76" s="778">
        <v>68.332856858571418</v>
      </c>
      <c r="Y76" s="778">
        <v>14.466285705714286</v>
      </c>
    </row>
    <row r="77" spans="1:25">
      <c r="N77" s="779"/>
      <c r="O77" s="779"/>
      <c r="P77" s="781">
        <v>22</v>
      </c>
      <c r="Q77" s="778">
        <v>12.206428662857144</v>
      </c>
      <c r="R77" s="778">
        <v>6.5260000228571426</v>
      </c>
      <c r="S77" s="778">
        <v>88.19400133428573</v>
      </c>
      <c r="T77" s="778">
        <v>49.041857040000004</v>
      </c>
      <c r="U77" s="778">
        <v>12.11642851</v>
      </c>
      <c r="V77" s="778">
        <v>12.046847342857143</v>
      </c>
      <c r="W77" s="778">
        <v>1.9281428372857143</v>
      </c>
      <c r="X77" s="778">
        <v>60.234999522857144</v>
      </c>
      <c r="Y77" s="778">
        <v>11.637142864285716</v>
      </c>
    </row>
    <row r="78" spans="1:25">
      <c r="N78" s="779"/>
      <c r="O78" s="779"/>
      <c r="P78" s="781">
        <v>23</v>
      </c>
      <c r="Q78" s="778">
        <v>10.714285714285714</v>
      </c>
      <c r="R78" s="778">
        <v>6.0984286581428568</v>
      </c>
      <c r="S78" s="778">
        <v>67.392570495714281</v>
      </c>
      <c r="T78" s="778">
        <v>49.232000077142857</v>
      </c>
      <c r="U78" s="778">
        <v>10.973142897142859</v>
      </c>
      <c r="V78" s="778">
        <v>12.030653000000001</v>
      </c>
      <c r="W78" s="778">
        <v>1.8262857195714286</v>
      </c>
      <c r="X78" s="778">
        <v>55.279285977142862</v>
      </c>
      <c r="Y78" s="778">
        <v>10.373285701857142</v>
      </c>
    </row>
    <row r="79" spans="1:25">
      <c r="N79" s="779"/>
      <c r="O79" s="779"/>
      <c r="P79" s="781">
        <v>24</v>
      </c>
      <c r="Q79" s="778">
        <v>10.648285731428571</v>
      </c>
      <c r="R79" s="778">
        <v>5.3554284574285722</v>
      </c>
      <c r="S79" s="778">
        <v>74.302856445714283</v>
      </c>
      <c r="T79" s="778">
        <v>54.952285765714286</v>
      </c>
      <c r="U79" s="778">
        <v>10.649856976285715</v>
      </c>
      <c r="V79" s="778">
        <v>11.902322768571427</v>
      </c>
      <c r="W79" s="778">
        <v>1.3272857154285713</v>
      </c>
      <c r="X79" s="778">
        <v>49.072856904285722</v>
      </c>
      <c r="Y79" s="778">
        <v>9.3365716934285707</v>
      </c>
    </row>
    <row r="80" spans="1:25">
      <c r="N80" s="779"/>
      <c r="O80" s="779"/>
      <c r="P80" s="781">
        <v>25</v>
      </c>
      <c r="Q80" s="778">
        <v>10.931000164428569</v>
      </c>
      <c r="R80" s="778">
        <v>6.0032857149999996</v>
      </c>
      <c r="S80" s="778">
        <v>70.370715551428574</v>
      </c>
      <c r="T80" s="778">
        <v>39.565571377142859</v>
      </c>
      <c r="U80" s="778">
        <v>8.8067141942857141</v>
      </c>
      <c r="V80" s="778">
        <v>11.966488567142857</v>
      </c>
      <c r="W80" s="778">
        <v>1.2890000087142857</v>
      </c>
      <c r="X80" s="778">
        <v>43.960000174285717</v>
      </c>
      <c r="Y80" s="778">
        <v>8.5024284634285721</v>
      </c>
    </row>
    <row r="81" spans="14:25">
      <c r="N81" s="779"/>
      <c r="O81" s="779">
        <v>26</v>
      </c>
      <c r="P81" s="781">
        <v>26</v>
      </c>
      <c r="Q81" s="778">
        <v>9.871286118714286</v>
      </c>
      <c r="R81" s="778">
        <v>4.9715714455714286</v>
      </c>
      <c r="S81" s="778">
        <v>60.400571005714291</v>
      </c>
      <c r="T81" s="778">
        <v>43.083285740000001</v>
      </c>
      <c r="U81" s="778">
        <v>8.6310001098571423</v>
      </c>
      <c r="V81" s="778">
        <v>11.885477065714285</v>
      </c>
      <c r="W81" s="778">
        <v>1.732857125</v>
      </c>
      <c r="X81" s="778">
        <v>41.416428701428572</v>
      </c>
      <c r="Y81" s="778">
        <v>7.8322857448571428</v>
      </c>
    </row>
    <row r="82" spans="14:25">
      <c r="N82" s="779"/>
      <c r="O82" s="779"/>
      <c r="P82" s="781">
        <v>27</v>
      </c>
      <c r="Q82" s="778">
        <v>9.2658571514285715</v>
      </c>
      <c r="R82" s="778">
        <v>4.8162857462857147</v>
      </c>
      <c r="S82" s="778">
        <v>66.665999275714285</v>
      </c>
      <c r="T82" s="778">
        <v>33.029857091428575</v>
      </c>
      <c r="U82" s="778">
        <v>7.6702857698571432</v>
      </c>
      <c r="V82" s="778">
        <v>11.995894294285714</v>
      </c>
      <c r="W82" s="778">
        <v>1.8799999952857143</v>
      </c>
      <c r="X82" s="778">
        <v>38.669285909999992</v>
      </c>
      <c r="Y82" s="778">
        <v>7.0652857510000002</v>
      </c>
    </row>
    <row r="83" spans="14:25">
      <c r="N83" s="779"/>
      <c r="O83" s="779"/>
      <c r="P83" s="781">
        <v>28</v>
      </c>
      <c r="Q83" s="778">
        <v>8.3581429888571428</v>
      </c>
      <c r="R83" s="778">
        <v>4.1457142830000002</v>
      </c>
      <c r="S83" s="778">
        <v>66.009428840000012</v>
      </c>
      <c r="T83" s="778">
        <v>29.922571454285713</v>
      </c>
      <c r="U83" s="778">
        <v>6.9708570752857142</v>
      </c>
      <c r="V83" s="778">
        <v>11.927797181428572</v>
      </c>
      <c r="W83" s="778">
        <v>1.8718571149999998</v>
      </c>
      <c r="X83" s="778">
        <v>36.412143161428574</v>
      </c>
      <c r="Y83" s="778">
        <v>6.2407143457142853</v>
      </c>
    </row>
    <row r="84" spans="14:25">
      <c r="N84" s="779"/>
      <c r="O84" s="779"/>
      <c r="P84" s="781">
        <v>29</v>
      </c>
      <c r="Q84" s="778">
        <v>8.2642856324285709</v>
      </c>
      <c r="R84" s="778">
        <v>4.2404285498571426</v>
      </c>
      <c r="S84" s="778">
        <v>61.976286207142856</v>
      </c>
      <c r="T84" s="778">
        <v>30.851285662857144</v>
      </c>
      <c r="U84" s="778">
        <v>7.1941427504285702</v>
      </c>
      <c r="V84" s="778">
        <v>12.045535904285714</v>
      </c>
      <c r="W84" s="778">
        <v>1.7868571450000001</v>
      </c>
      <c r="X84" s="778">
        <v>36.787142614285713</v>
      </c>
      <c r="Y84" s="778">
        <v>6.221285752</v>
      </c>
    </row>
    <row r="85" spans="14:25">
      <c r="N85" s="779"/>
      <c r="O85" s="779"/>
      <c r="P85" s="781">
        <v>30</v>
      </c>
      <c r="Q85" s="778">
        <v>7.629714148142857</v>
      </c>
      <c r="R85" s="778">
        <v>3.9339999471428575</v>
      </c>
      <c r="S85" s="778">
        <v>56.385429927142859</v>
      </c>
      <c r="T85" s="778">
        <v>26.327428545714287</v>
      </c>
      <c r="U85" s="778">
        <v>6.6857143130000001</v>
      </c>
      <c r="V85" s="778">
        <v>11.927261488571427</v>
      </c>
      <c r="W85" s="778">
        <v>1.8862856968571431</v>
      </c>
      <c r="X85" s="778">
        <v>39.564285824285712</v>
      </c>
      <c r="Y85" s="778">
        <v>5.7022857667142848</v>
      </c>
    </row>
    <row r="86" spans="14:25">
      <c r="N86" s="779"/>
      <c r="O86" s="779"/>
      <c r="P86" s="781">
        <v>31</v>
      </c>
      <c r="Q86" s="778">
        <v>7.8445713860000001</v>
      </c>
      <c r="R86" s="778">
        <v>4.2642856665714284</v>
      </c>
      <c r="S86" s="778">
        <v>63.196000779999999</v>
      </c>
      <c r="T86" s="778">
        <v>30.940428597142859</v>
      </c>
      <c r="U86" s="778">
        <v>7.3144286019999996</v>
      </c>
      <c r="V86" s="778">
        <v>13.712319918571428</v>
      </c>
      <c r="W86" s="778">
        <v>1.8420000075714285</v>
      </c>
      <c r="X86" s="778">
        <v>41.400714874285711</v>
      </c>
      <c r="Y86" s="778">
        <v>7.1649999617142859</v>
      </c>
    </row>
    <row r="87" spans="14:25">
      <c r="N87" s="779"/>
      <c r="O87" s="779"/>
      <c r="P87" s="781">
        <v>32</v>
      </c>
      <c r="Q87" s="778">
        <v>7.8535714147142865</v>
      </c>
      <c r="R87" s="778">
        <v>4.0602857387142857</v>
      </c>
      <c r="S87" s="778">
        <v>61.839428492857145</v>
      </c>
      <c r="T87" s="778">
        <v>23.267714362857141</v>
      </c>
      <c r="U87" s="778">
        <v>6.1658571107142865</v>
      </c>
      <c r="V87" s="778">
        <v>13.989404405714286</v>
      </c>
      <c r="W87" s="778">
        <v>1.8741428512857143</v>
      </c>
      <c r="X87" s="778">
        <v>39.942857471428567</v>
      </c>
      <c r="Y87" s="778">
        <v>7.2785714695714301</v>
      </c>
    </row>
    <row r="88" spans="14:25">
      <c r="N88" s="779"/>
      <c r="O88" s="779">
        <v>33</v>
      </c>
      <c r="P88" s="781">
        <v>33</v>
      </c>
      <c r="Q88" s="778">
        <v>7.8434285441428573</v>
      </c>
      <c r="R88" s="778">
        <v>3.7991428715714286</v>
      </c>
      <c r="S88" s="778">
        <v>59.987286159999996</v>
      </c>
      <c r="T88" s="778">
        <v>22.755999974285714</v>
      </c>
      <c r="U88" s="778">
        <v>5.9981428554285712</v>
      </c>
      <c r="V88" s="778">
        <v>13.973928587142856</v>
      </c>
      <c r="W88" s="778">
        <v>1.871857132285714</v>
      </c>
      <c r="X88" s="778">
        <v>37.965715135714291</v>
      </c>
      <c r="Y88" s="778">
        <v>5.154142958714286</v>
      </c>
    </row>
    <row r="89" spans="14:25">
      <c r="N89" s="779"/>
      <c r="O89" s="779"/>
      <c r="P89" s="781">
        <v>34</v>
      </c>
      <c r="Q89" s="778">
        <v>8.0232857294285722</v>
      </c>
      <c r="R89" s="778">
        <v>3.6017142020000001</v>
      </c>
      <c r="S89" s="778">
        <v>63.141999381428562</v>
      </c>
      <c r="T89" s="778">
        <v>21.678714208571428</v>
      </c>
      <c r="U89" s="778">
        <v>5.9428571975714277</v>
      </c>
      <c r="V89" s="778">
        <v>14.050774301428572</v>
      </c>
      <c r="W89" s="778">
        <v>1.8375714168571429</v>
      </c>
      <c r="X89" s="778">
        <v>37.97857121285714</v>
      </c>
      <c r="Y89" s="778">
        <v>6.0459999357142857</v>
      </c>
    </row>
    <row r="90" spans="14:25">
      <c r="N90" s="779"/>
      <c r="O90" s="779"/>
      <c r="P90" s="781">
        <v>35</v>
      </c>
      <c r="Q90" s="778">
        <v>9.1238570895714286</v>
      </c>
      <c r="R90" s="778">
        <v>6.7515713490000007</v>
      </c>
      <c r="S90" s="778">
        <v>62.449570247142852</v>
      </c>
      <c r="T90" s="778">
        <v>29.398714337142856</v>
      </c>
      <c r="U90" s="778">
        <v>5.5928570885714288</v>
      </c>
      <c r="V90" s="778">
        <v>13.988035748571429</v>
      </c>
      <c r="W90" s="778">
        <v>1.654571413857143</v>
      </c>
      <c r="X90" s="778">
        <v>37.199285234285711</v>
      </c>
      <c r="Y90" s="778">
        <v>5.7705714702857147</v>
      </c>
    </row>
    <row r="91" spans="14:25">
      <c r="N91" s="779"/>
      <c r="O91" s="779"/>
      <c r="P91" s="781">
        <v>36</v>
      </c>
      <c r="Q91" s="778">
        <v>8.2869999062857129</v>
      </c>
      <c r="R91" s="778">
        <v>5.5024285997142854</v>
      </c>
      <c r="S91" s="778">
        <v>62.160142081428567</v>
      </c>
      <c r="T91" s="778">
        <v>24.535714285714285</v>
      </c>
      <c r="U91" s="778">
        <v>5.7147143908571421</v>
      </c>
      <c r="V91" s="778">
        <v>13.989464348571429</v>
      </c>
      <c r="W91" s="778">
        <v>1.7275714362857142</v>
      </c>
      <c r="X91" s="778">
        <v>36.553570882857137</v>
      </c>
      <c r="Y91" s="778">
        <v>7.9151426724285718</v>
      </c>
    </row>
    <row r="92" spans="14:25">
      <c r="N92" s="779"/>
      <c r="O92" s="779"/>
      <c r="P92" s="781">
        <v>37</v>
      </c>
      <c r="Q92" s="778">
        <v>7.2742856564285701</v>
      </c>
      <c r="R92" s="778">
        <v>5.7037142345714287</v>
      </c>
      <c r="S92" s="778">
        <v>63.491571698571427</v>
      </c>
      <c r="T92" s="778">
        <v>33.851285662857144</v>
      </c>
      <c r="U92" s="778">
        <v>6.5815715108571435</v>
      </c>
      <c r="V92" s="778">
        <v>13.932678497142856</v>
      </c>
      <c r="W92" s="778">
        <v>1.6434285640000001</v>
      </c>
      <c r="X92" s="778">
        <v>36.635714938571432</v>
      </c>
      <c r="Y92" s="778">
        <v>5.2711429254285713</v>
      </c>
    </row>
    <row r="93" spans="14:25">
      <c r="N93" s="779"/>
      <c r="O93" s="779"/>
      <c r="P93" s="781">
        <v>38</v>
      </c>
      <c r="Q93" s="778">
        <v>5.7302856442857149</v>
      </c>
      <c r="R93" s="778">
        <v>4.6181428091428574</v>
      </c>
      <c r="S93" s="778">
        <v>66.366000039999989</v>
      </c>
      <c r="T93" s="778">
        <v>30.833285740000001</v>
      </c>
      <c r="U93" s="778">
        <v>6.3408571651428574</v>
      </c>
      <c r="V93" s="778">
        <v>14.030597005714284</v>
      </c>
      <c r="W93" s="778">
        <v>1.7824285711428571</v>
      </c>
      <c r="X93" s="778">
        <v>36.422143117142859</v>
      </c>
      <c r="Y93" s="778">
        <v>4.8772857188571432</v>
      </c>
    </row>
    <row r="94" spans="14:25">
      <c r="N94" s="779"/>
      <c r="O94" s="779"/>
      <c r="P94" s="781">
        <v>39</v>
      </c>
      <c r="Q94" s="778">
        <v>5.3494285172857152</v>
      </c>
      <c r="R94" s="778">
        <v>4.7248570578571423</v>
      </c>
      <c r="S94" s="778">
        <v>75.45028468428572</v>
      </c>
      <c r="T94" s="778">
        <v>25.431428635714287</v>
      </c>
      <c r="U94" s="778">
        <v>6.8902856279999991</v>
      </c>
      <c r="V94" s="778">
        <v>14.026608604285714</v>
      </c>
      <c r="W94" s="778">
        <v>1.7897142852857144</v>
      </c>
      <c r="X94" s="778">
        <v>36.457856858571432</v>
      </c>
      <c r="Y94" s="778">
        <v>6.1969999587142857</v>
      </c>
    </row>
    <row r="95" spans="14:25">
      <c r="N95" s="779"/>
      <c r="O95" s="779"/>
      <c r="P95" s="781">
        <v>40</v>
      </c>
      <c r="Q95" s="778">
        <v>5.4815714698571432</v>
      </c>
      <c r="R95" s="778">
        <v>5.3951427595714279</v>
      </c>
      <c r="S95" s="778">
        <v>78.309284754285713</v>
      </c>
      <c r="T95" s="778">
        <v>54.744000025714286</v>
      </c>
      <c r="U95" s="778">
        <v>7.7940000801428573</v>
      </c>
      <c r="V95" s="778">
        <v>14.026192801428573</v>
      </c>
      <c r="W95" s="778">
        <v>1.7887142725714287</v>
      </c>
      <c r="X95" s="778">
        <v>44.888571058571429</v>
      </c>
      <c r="Y95" s="778">
        <v>10.280285493285716</v>
      </c>
    </row>
    <row r="96" spans="14:25">
      <c r="N96" s="779"/>
      <c r="O96" s="779"/>
      <c r="P96" s="781">
        <v>41</v>
      </c>
      <c r="Q96" s="778">
        <v>6.414142881000001</v>
      </c>
      <c r="R96" s="778">
        <v>5.6744286329999998</v>
      </c>
      <c r="S96" s="778">
        <v>79.701571872857144</v>
      </c>
      <c r="T96" s="778">
        <v>50.934571402857145</v>
      </c>
      <c r="U96" s="778">
        <v>8.9731427602857146</v>
      </c>
      <c r="V96" s="778">
        <v>14.020297051428571</v>
      </c>
      <c r="W96" s="778">
        <v>1.4745714322857144</v>
      </c>
      <c r="X96" s="778">
        <v>49.243571144285717</v>
      </c>
      <c r="Y96" s="778">
        <v>7.658571379714286</v>
      </c>
    </row>
    <row r="97" spans="14:25">
      <c r="N97" s="779"/>
      <c r="O97" s="779"/>
      <c r="P97" s="781">
        <v>42</v>
      </c>
      <c r="Q97" s="778">
        <v>7.0597143174285719</v>
      </c>
      <c r="R97" s="778">
        <v>5.6411428450000001</v>
      </c>
      <c r="S97" s="778">
        <v>71.140427727142864</v>
      </c>
      <c r="T97" s="778">
        <v>43.184428622857141</v>
      </c>
      <c r="U97" s="778">
        <v>9.1315714969999995</v>
      </c>
      <c r="V97" s="778">
        <v>13.992498534285714</v>
      </c>
      <c r="W97" s="778">
        <v>1.325428571</v>
      </c>
      <c r="X97" s="778">
        <v>38.599999562857143</v>
      </c>
      <c r="Y97" s="778">
        <v>5.9647143228571426</v>
      </c>
    </row>
    <row r="98" spans="14:25">
      <c r="N98" s="779"/>
      <c r="O98" s="779"/>
      <c r="P98" s="781">
        <v>43</v>
      </c>
      <c r="Q98" s="778">
        <v>6.5518571988571432</v>
      </c>
      <c r="R98" s="778">
        <v>5.278142861428571</v>
      </c>
      <c r="S98" s="778">
        <v>66.382999420000004</v>
      </c>
      <c r="T98" s="778">
        <v>36.916714259999999</v>
      </c>
      <c r="U98" s="778">
        <v>8.3171428948571435</v>
      </c>
      <c r="V98" s="778">
        <v>14.015835900000001</v>
      </c>
      <c r="W98" s="778">
        <v>1.3259999922857142</v>
      </c>
      <c r="X98" s="778">
        <v>35.493572237142857</v>
      </c>
      <c r="Y98" s="778">
        <v>6.7207142624285723</v>
      </c>
    </row>
    <row r="99" spans="14:25">
      <c r="N99" s="779"/>
      <c r="O99" s="779">
        <v>44</v>
      </c>
      <c r="P99" s="781">
        <v>44</v>
      </c>
      <c r="Q99" s="778">
        <v>6.2178571565714282</v>
      </c>
      <c r="R99" s="778">
        <v>3.7729999678571429</v>
      </c>
      <c r="S99" s="778">
        <v>67.872285570000003</v>
      </c>
      <c r="T99" s="778">
        <v>41.726285662857144</v>
      </c>
      <c r="U99" s="778">
        <v>8.7617143898571435</v>
      </c>
      <c r="V99" s="778">
        <v>13.927204130000002</v>
      </c>
      <c r="W99" s="778">
        <v>1.0918571607142857</v>
      </c>
      <c r="X99" s="778">
        <v>46.067856924285714</v>
      </c>
      <c r="Y99" s="778">
        <v>5.8240000180000004</v>
      </c>
    </row>
    <row r="100" spans="14:25">
      <c r="N100" s="779"/>
      <c r="O100" s="779"/>
      <c r="P100" s="781">
        <v>45</v>
      </c>
      <c r="Q100" s="778">
        <v>5.7207142285714285</v>
      </c>
      <c r="R100" s="778">
        <v>4.0865714210000004</v>
      </c>
      <c r="S100" s="778">
        <v>64.557143075714279</v>
      </c>
      <c r="T100" s="778">
        <v>47.85114288285714</v>
      </c>
      <c r="U100" s="778">
        <v>8.1029998912857142</v>
      </c>
      <c r="V100" s="778">
        <v>13.944405964285716</v>
      </c>
      <c r="W100" s="778">
        <v>1.1197142941428571</v>
      </c>
      <c r="X100" s="778">
        <v>41.25857108142857</v>
      </c>
      <c r="Y100" s="778">
        <v>7.255428586571429</v>
      </c>
    </row>
    <row r="101" spans="14:25">
      <c r="N101" s="779"/>
      <c r="O101" s="779"/>
      <c r="P101" s="781">
        <v>46</v>
      </c>
      <c r="Q101" s="778">
        <v>5.8224285672857139</v>
      </c>
      <c r="R101" s="778">
        <v>4.1967142989999999</v>
      </c>
      <c r="S101" s="778">
        <v>48.114428929999988</v>
      </c>
      <c r="T101" s="778">
        <v>58.976285662857144</v>
      </c>
      <c r="U101" s="778">
        <v>7.6644285747142851</v>
      </c>
      <c r="V101" s="778">
        <v>14.053689955714287</v>
      </c>
      <c r="W101" s="778">
        <v>1.2584285650000002</v>
      </c>
      <c r="X101" s="778">
        <v>59.822143555714284</v>
      </c>
      <c r="Y101" s="778">
        <v>7.569857052142857</v>
      </c>
    </row>
    <row r="102" spans="14:25">
      <c r="N102" s="779"/>
      <c r="O102" s="779"/>
      <c r="P102" s="781">
        <v>47</v>
      </c>
      <c r="Q102" s="778">
        <v>8.7129998894285716</v>
      </c>
      <c r="R102" s="778">
        <v>6.8662857328571425</v>
      </c>
      <c r="S102" s="778">
        <v>75.949856894285716</v>
      </c>
      <c r="T102" s="778">
        <v>107.95228576857143</v>
      </c>
      <c r="U102" s="778">
        <v>21.278142930000001</v>
      </c>
      <c r="V102" s="778">
        <v>14.02023874</v>
      </c>
      <c r="W102" s="778">
        <v>1.6037142788571426</v>
      </c>
      <c r="X102" s="778">
        <v>58.205000194285724</v>
      </c>
      <c r="Y102" s="778">
        <v>11.491143022142859</v>
      </c>
    </row>
    <row r="103" spans="14:25">
      <c r="N103" s="779"/>
      <c r="O103" s="779"/>
      <c r="P103" s="781">
        <v>48</v>
      </c>
      <c r="Q103" s="778">
        <v>9.7443332226190496</v>
      </c>
      <c r="R103" s="778">
        <v>7.8295714628095201</v>
      </c>
      <c r="S103" s="778">
        <v>115.94985689428501</v>
      </c>
      <c r="T103" s="778">
        <v>116.577285768571</v>
      </c>
      <c r="U103" s="778">
        <v>25.523666837380901</v>
      </c>
      <c r="V103" s="778">
        <v>14.0819443290476</v>
      </c>
      <c r="W103" s="778">
        <v>1.686999981</v>
      </c>
      <c r="X103" s="778">
        <v>108.646</v>
      </c>
      <c r="Y103" s="778">
        <v>11.491143022142859</v>
      </c>
    </row>
    <row r="104" spans="14:25">
      <c r="N104" s="779"/>
      <c r="O104" s="779"/>
      <c r="P104" s="781">
        <v>49</v>
      </c>
      <c r="Q104" s="778">
        <v>15.740428922857143</v>
      </c>
      <c r="R104" s="778">
        <v>16.272571155571431</v>
      </c>
      <c r="S104" s="778">
        <v>179.40442985714284</v>
      </c>
      <c r="T104" s="778">
        <v>143.97028568571429</v>
      </c>
      <c r="U104" s="778">
        <v>24.464857102857142</v>
      </c>
      <c r="V104" s="778">
        <v>14.414462907142859</v>
      </c>
      <c r="W104" s="778">
        <v>1.509857126857143</v>
      </c>
      <c r="X104" s="778">
        <v>183.08428410000002</v>
      </c>
      <c r="Y104" s="778">
        <v>11.52</v>
      </c>
    </row>
    <row r="105" spans="14:25">
      <c r="N105" s="779"/>
      <c r="O105" s="779"/>
      <c r="P105" s="781">
        <v>50</v>
      </c>
      <c r="Q105" s="778">
        <v>11.458857127</v>
      </c>
      <c r="R105" s="778">
        <v>8.6871428825714272</v>
      </c>
      <c r="S105" s="778">
        <v>180.05014475714285</v>
      </c>
      <c r="T105" s="778">
        <v>105.38685716857142</v>
      </c>
      <c r="U105" s="778">
        <v>15.326142855714284</v>
      </c>
      <c r="V105" s="778">
        <v>14.382619995714284</v>
      </c>
      <c r="W105" s="778">
        <v>1.5802857021428574</v>
      </c>
      <c r="X105" s="778">
        <v>192.18500408571427</v>
      </c>
      <c r="Y105" s="778">
        <v>63.42214257285714</v>
      </c>
    </row>
    <row r="106" spans="14:25">
      <c r="N106" s="779"/>
      <c r="O106" s="779"/>
      <c r="P106" s="781">
        <v>51</v>
      </c>
      <c r="Q106" s="778">
        <v>9.4554285322857137</v>
      </c>
      <c r="R106" s="778">
        <v>4.7284286361428576</v>
      </c>
      <c r="S106" s="778">
        <v>179.9772862142857</v>
      </c>
      <c r="T106" s="778">
        <v>14.57142870857143</v>
      </c>
      <c r="U106" s="778">
        <v>5</v>
      </c>
      <c r="V106" s="778">
        <v>13.809047154285716</v>
      </c>
      <c r="W106" s="778">
        <v>1.0052857144285714</v>
      </c>
      <c r="X106" s="778">
        <v>189.54214041428571</v>
      </c>
      <c r="Y106" s="778">
        <v>105.71028573142858</v>
      </c>
    </row>
    <row r="107" spans="14:25">
      <c r="N107" s="779"/>
      <c r="O107" s="779">
        <v>52</v>
      </c>
      <c r="P107" s="781">
        <v>52</v>
      </c>
      <c r="Q107" s="778">
        <v>10.030285698</v>
      </c>
      <c r="R107" s="778">
        <v>6.3814284807142858</v>
      </c>
      <c r="S107" s="778">
        <v>180.17299980000001</v>
      </c>
      <c r="T107" s="778">
        <v>59.892857142857146</v>
      </c>
      <c r="U107" s="778">
        <v>9.771428653000001</v>
      </c>
      <c r="V107" s="778">
        <v>13.759048734285715</v>
      </c>
      <c r="W107" s="778">
        <v>1.2590000118571429</v>
      </c>
      <c r="X107" s="778">
        <v>169.73285565714286</v>
      </c>
      <c r="Y107" s="778">
        <v>86.07714135142858</v>
      </c>
    </row>
    <row r="108" spans="14:25">
      <c r="N108" s="779">
        <v>2022</v>
      </c>
      <c r="O108" s="779"/>
      <c r="P108" s="781">
        <v>1</v>
      </c>
      <c r="Q108" s="778">
        <v>11.54385730142857</v>
      </c>
      <c r="R108" s="778">
        <v>6.3410000120000003</v>
      </c>
      <c r="S108" s="778">
        <v>180.25871278571432</v>
      </c>
      <c r="T108" s="778">
        <v>53.005857194285717</v>
      </c>
      <c r="U108" s="778">
        <v>8.6221429277142843</v>
      </c>
      <c r="V108" s="778">
        <v>12.151368549999999</v>
      </c>
      <c r="W108" s="778">
        <v>1.4929999965714287</v>
      </c>
      <c r="X108" s="778">
        <v>101.56500134142858</v>
      </c>
      <c r="Y108" s="778">
        <v>45.721570695714284</v>
      </c>
    </row>
    <row r="109" spans="14:25">
      <c r="N109" s="779"/>
      <c r="O109" s="779"/>
      <c r="P109" s="781">
        <v>2</v>
      </c>
      <c r="Q109" s="778">
        <v>10.532571247428569</v>
      </c>
      <c r="R109" s="778">
        <v>5.6152856691428568</v>
      </c>
      <c r="S109" s="778">
        <v>180.17585754285713</v>
      </c>
      <c r="T109" s="778">
        <v>85.154714317142862</v>
      </c>
      <c r="U109" s="778">
        <v>16.483285767857144</v>
      </c>
      <c r="V109" s="778">
        <v>15.379761560000002</v>
      </c>
      <c r="W109" s="778">
        <v>4.383714250142857</v>
      </c>
      <c r="X109" s="778">
        <v>191.4592830114286</v>
      </c>
      <c r="Y109" s="778">
        <v>44.29957117428571</v>
      </c>
    </row>
    <row r="110" spans="14:25">
      <c r="N110" s="779"/>
      <c r="O110" s="779"/>
      <c r="P110" s="781">
        <v>3</v>
      </c>
      <c r="Q110" s="778">
        <v>12.373285701428571</v>
      </c>
      <c r="R110" s="778">
        <v>6.7777144562857146</v>
      </c>
      <c r="S110" s="778">
        <v>180.45157077142858</v>
      </c>
      <c r="T110" s="778">
        <v>79.166570397142863</v>
      </c>
      <c r="U110" s="778">
        <v>14.234428677142859</v>
      </c>
      <c r="V110" s="778">
        <v>13.331011501428572</v>
      </c>
      <c r="W110" s="778">
        <v>3.4292857477142862</v>
      </c>
      <c r="X110" s="778">
        <v>222.21500070000002</v>
      </c>
      <c r="Y110" s="778">
        <v>55.850142344285707</v>
      </c>
    </row>
    <row r="111" spans="14:25">
      <c r="N111" s="779"/>
      <c r="O111" s="779"/>
      <c r="P111" s="781">
        <v>4</v>
      </c>
      <c r="Q111" s="778">
        <v>13.78142860857143</v>
      </c>
      <c r="R111" s="778">
        <v>10.307714326428572</v>
      </c>
      <c r="S111" s="778">
        <v>200.41585867142899</v>
      </c>
      <c r="T111" s="778">
        <v>156.24399677142856</v>
      </c>
      <c r="U111" s="778">
        <v>35.655428067142857</v>
      </c>
      <c r="V111" s="778">
        <v>12.147084100000001</v>
      </c>
      <c r="W111" s="778">
        <v>5.8837143019999996</v>
      </c>
      <c r="X111" s="778">
        <v>439.25357492857148</v>
      </c>
      <c r="Y111" s="778">
        <v>129.95414407142854</v>
      </c>
    </row>
    <row r="112" spans="14:25">
      <c r="N112" s="779"/>
      <c r="O112" s="779"/>
      <c r="P112" s="781">
        <v>5</v>
      </c>
      <c r="Q112" s="778">
        <v>16.13685744</v>
      </c>
      <c r="R112" s="778">
        <v>10.226857389000001</v>
      </c>
      <c r="S112" s="778">
        <v>288.91129194285719</v>
      </c>
      <c r="T112" s="778">
        <v>182</v>
      </c>
      <c r="U112" s="778">
        <v>43.192856380000002</v>
      </c>
      <c r="V112" s="778">
        <v>11.764999934285715</v>
      </c>
      <c r="W112" s="778">
        <v>5.8837143019999996</v>
      </c>
      <c r="X112" s="778">
        <v>404.03070942857141</v>
      </c>
      <c r="Y112" s="778">
        <v>128.39200045714284</v>
      </c>
    </row>
    <row r="113" spans="14:25">
      <c r="N113" s="779"/>
      <c r="O113" s="780">
        <v>6</v>
      </c>
      <c r="P113" s="779">
        <v>6</v>
      </c>
      <c r="Q113" s="778">
        <v>18.235713957142856</v>
      </c>
      <c r="R113" s="778">
        <v>10.726285798285716</v>
      </c>
      <c r="S113" s="778">
        <v>435.79956928571431</v>
      </c>
      <c r="T113" s="778">
        <v>179.08343068571426</v>
      </c>
      <c r="U113" s="778">
        <v>33.553428921428569</v>
      </c>
      <c r="V113" s="778">
        <v>11.749167034285714</v>
      </c>
      <c r="W113" s="778">
        <v>5.6551427840000006</v>
      </c>
      <c r="X113" s="778">
        <v>420.1207101</v>
      </c>
      <c r="Y113" s="778">
        <v>133.21328737142855</v>
      </c>
    </row>
    <row r="114" spans="14:25">
      <c r="N114" s="779"/>
      <c r="O114" s="779"/>
      <c r="P114" s="779">
        <v>7</v>
      </c>
      <c r="Q114" s="778">
        <v>20.117499826428599</v>
      </c>
      <c r="R114" s="778">
        <v>12.450857264642901</v>
      </c>
      <c r="S114" s="778">
        <v>435.79956928571403</v>
      </c>
      <c r="T114" s="778">
        <v>195.28190973333301</v>
      </c>
      <c r="U114" s="778">
        <v>35.365238643809498</v>
      </c>
      <c r="V114" s="778">
        <v>10.9661612507143</v>
      </c>
      <c r="W114" s="778">
        <v>2.0952857050000002</v>
      </c>
      <c r="X114" s="778">
        <v>427.15742450542803</v>
      </c>
      <c r="Y114" s="778">
        <v>133.77895393333301</v>
      </c>
    </row>
    <row r="115" spans="14:25">
      <c r="N115" s="779"/>
      <c r="O115" s="779"/>
      <c r="P115" s="779">
        <v>8</v>
      </c>
      <c r="Q115" s="778">
        <v>25.340999875749826</v>
      </c>
      <c r="R115" s="778">
        <v>18.084142684936488</v>
      </c>
      <c r="S115" s="778">
        <v>441.50872366768942</v>
      </c>
      <c r="T115" s="778">
        <v>167.45813860212002</v>
      </c>
      <c r="U115" s="778">
        <v>52.961428506033734</v>
      </c>
      <c r="V115" s="778">
        <v>11.586785861424</v>
      </c>
      <c r="W115" s="778">
        <v>3.7204570871142901</v>
      </c>
      <c r="X115" s="778">
        <v>294.89857700892827</v>
      </c>
      <c r="Y115" s="778">
        <v>69.417142050606813</v>
      </c>
    </row>
    <row r="116" spans="14:25">
      <c r="N116" s="779"/>
      <c r="O116" s="779"/>
      <c r="P116" s="779">
        <v>9</v>
      </c>
      <c r="Q116" s="778">
        <v>27.784285954285711</v>
      </c>
      <c r="R116" s="778">
        <v>17.056714467142857</v>
      </c>
      <c r="S116" s="778">
        <v>390.83399745714286</v>
      </c>
      <c r="T116" s="778">
        <v>152.44642748571428</v>
      </c>
      <c r="U116" s="778">
        <v>60.130286080000005</v>
      </c>
      <c r="V116" s="778">
        <v>15.540178571428571</v>
      </c>
      <c r="W116" s="778">
        <v>4.1637142385755217</v>
      </c>
      <c r="X116" s="778">
        <v>302.25500487142864</v>
      </c>
      <c r="Y116" s="778">
        <v>186.68128532857142</v>
      </c>
    </row>
    <row r="117" spans="14:25">
      <c r="N117" s="779"/>
      <c r="O117" s="779"/>
      <c r="P117" s="779">
        <v>10</v>
      </c>
      <c r="Q117" s="778">
        <v>28.093753942631899</v>
      </c>
      <c r="R117" s="778">
        <v>19.095928647332201</v>
      </c>
      <c r="S117" s="778">
        <v>377.74852497494402</v>
      </c>
      <c r="T117" s="778">
        <v>177.15485925714287</v>
      </c>
      <c r="U117" s="778">
        <v>62.624940787617</v>
      </c>
      <c r="V117" s="778">
        <v>12.489226658966601</v>
      </c>
      <c r="W117" s="778">
        <v>4.8724285875714282</v>
      </c>
      <c r="X117" s="778">
        <v>288.89999999999998</v>
      </c>
      <c r="Y117" s="778">
        <v>146.131261154827</v>
      </c>
    </row>
    <row r="118" spans="14:25">
      <c r="N118" s="779"/>
      <c r="O118" s="779"/>
      <c r="P118" s="779">
        <v>11</v>
      </c>
      <c r="Q118" s="778">
        <v>33.420857293265151</v>
      </c>
      <c r="R118" s="778">
        <v>21.210571697780029</v>
      </c>
      <c r="S118" s="778">
        <v>559.81058175223166</v>
      </c>
      <c r="T118" s="778">
        <v>223.70857456752233</v>
      </c>
      <c r="U118" s="778">
        <v>65.082142966134157</v>
      </c>
      <c r="V118" s="778">
        <v>15.861725670950701</v>
      </c>
      <c r="W118" s="778">
        <v>3.3848571777343723</v>
      </c>
      <c r="X118" s="778">
        <v>414.23214285714226</v>
      </c>
      <c r="Y118" s="778">
        <v>110.17142813546286</v>
      </c>
    </row>
    <row r="119" spans="14:25">
      <c r="N119" s="779"/>
      <c r="O119" s="779"/>
      <c r="P119" s="779">
        <v>12</v>
      </c>
      <c r="Q119" s="778">
        <v>23.805857249668641</v>
      </c>
      <c r="R119" s="778">
        <v>19.053143092564113</v>
      </c>
      <c r="S119" s="778">
        <v>323.97713797432982</v>
      </c>
      <c r="T119" s="778">
        <v>151.51800210135301</v>
      </c>
      <c r="U119" s="778">
        <v>38.394142695835612</v>
      </c>
      <c r="V119" s="778">
        <v>15.601665633065315</v>
      </c>
      <c r="W119" s="778">
        <v>2.6404285430908159</v>
      </c>
      <c r="X119" s="778">
        <v>293.36786106654517</v>
      </c>
      <c r="Y119" s="778">
        <v>81.900570460728204</v>
      </c>
    </row>
    <row r="120" spans="14:25">
      <c r="N120" s="779"/>
      <c r="O120" s="779">
        <v>13</v>
      </c>
      <c r="P120" s="779">
        <v>13</v>
      </c>
      <c r="Q120" s="778">
        <v>28.491428571428571</v>
      </c>
      <c r="R120" s="778">
        <v>22.648571428571426</v>
      </c>
      <c r="S120" s="778">
        <v>381.44857142857143</v>
      </c>
      <c r="T120" s="778">
        <v>178.99571428571431</v>
      </c>
      <c r="U120" s="778">
        <v>36.35</v>
      </c>
      <c r="V120" s="778">
        <v>14.272857142857143</v>
      </c>
      <c r="W120" s="778">
        <v>2.0657142857142858</v>
      </c>
      <c r="X120" s="778">
        <v>268.19142857142862</v>
      </c>
      <c r="Y120" s="778">
        <v>61.771428571428579</v>
      </c>
    </row>
    <row r="121" spans="14:25">
      <c r="N121" s="779"/>
      <c r="O121" s="779"/>
      <c r="P121" s="779">
        <v>14</v>
      </c>
      <c r="Q121" s="778">
        <v>27.723999840872604</v>
      </c>
      <c r="R121" s="778">
        <v>25.617999758039169</v>
      </c>
      <c r="S121" s="778">
        <v>593.21614728655084</v>
      </c>
      <c r="T121" s="778">
        <v>183.63700212751101</v>
      </c>
      <c r="U121" s="778">
        <v>45.316000257219557</v>
      </c>
      <c r="V121" s="778">
        <v>12.459285599844744</v>
      </c>
      <c r="W121" s="778">
        <v>1.8045714242117685</v>
      </c>
      <c r="X121" s="778">
        <v>229.34857395717026</v>
      </c>
      <c r="Y121" s="778">
        <v>46.260999952043754</v>
      </c>
    </row>
    <row r="122" spans="14:25">
      <c r="N122" s="779"/>
      <c r="O122" s="779"/>
      <c r="P122" s="779">
        <v>15</v>
      </c>
      <c r="Q122" s="778">
        <v>22.026428767142853</v>
      </c>
      <c r="R122" s="778">
        <v>20.249143055714288</v>
      </c>
      <c r="S122" s="778">
        <v>348.80585371428572</v>
      </c>
      <c r="T122" s="778">
        <v>124.73814282857143</v>
      </c>
      <c r="U122" s="778">
        <v>26.343714578571426</v>
      </c>
      <c r="V122" s="778">
        <v>12.322202818571428</v>
      </c>
      <c r="W122" s="778">
        <v>1.5654285974285713</v>
      </c>
      <c r="X122" s="778">
        <v>215.08928787142855</v>
      </c>
      <c r="Y122" s="778">
        <v>36.220571791428576</v>
      </c>
    </row>
    <row r="123" spans="14:25">
      <c r="N123" s="779"/>
      <c r="O123" s="779"/>
      <c r="P123" s="779">
        <v>16</v>
      </c>
      <c r="Q123" s="778">
        <v>15.928285734994029</v>
      </c>
      <c r="R123" s="778">
        <v>13.163428579057927</v>
      </c>
      <c r="S123" s="778">
        <v>176.68314470563573</v>
      </c>
      <c r="T123" s="778">
        <v>78.339428492954767</v>
      </c>
      <c r="U123" s="778">
        <v>19.653713771275072</v>
      </c>
      <c r="V123" s="778">
        <v>12.955415725707971</v>
      </c>
      <c r="W123" s="778">
        <v>1.6847143173217742</v>
      </c>
      <c r="X123" s="778">
        <v>128.73071398053784</v>
      </c>
      <c r="Y123" s="778">
        <v>27.017142704554924</v>
      </c>
    </row>
    <row r="124" spans="14:25">
      <c r="N124" s="779"/>
      <c r="O124" s="779"/>
      <c r="P124" s="779">
        <v>17</v>
      </c>
      <c r="Q124" s="778">
        <v>14.988285734993999</v>
      </c>
      <c r="R124" s="778">
        <v>14.963714392629401</v>
      </c>
      <c r="S124" s="778">
        <v>174.68314470563601</v>
      </c>
      <c r="T124" s="778">
        <v>73.639428492954806</v>
      </c>
      <c r="U124" s="778">
        <v>18.143000000000001</v>
      </c>
      <c r="V124" s="778">
        <v>13.5886286328445</v>
      </c>
      <c r="W124" s="778">
        <v>1.80400003721498</v>
      </c>
      <c r="X124" s="778">
        <v>118.43833195974599</v>
      </c>
      <c r="Y124" s="778">
        <v>26.255714235187</v>
      </c>
    </row>
    <row r="125" spans="14:25">
      <c r="N125" s="779"/>
      <c r="O125" s="779"/>
      <c r="P125" s="779">
        <v>18</v>
      </c>
      <c r="Q125" s="778">
        <v>13.782857142857143</v>
      </c>
      <c r="R125" s="778">
        <v>9.805714285714286</v>
      </c>
      <c r="S125" s="778">
        <v>119.01714285714286</v>
      </c>
      <c r="T125" s="778">
        <v>55.180000000000007</v>
      </c>
      <c r="U125" s="778">
        <v>17.828571428571429</v>
      </c>
      <c r="V125" s="778">
        <v>12.145714285714286</v>
      </c>
      <c r="W125" s="778">
        <v>1.5071428571428569</v>
      </c>
      <c r="X125" s="778">
        <v>73.115714285714276</v>
      </c>
      <c r="Y125" s="778">
        <v>16.581428571428575</v>
      </c>
    </row>
    <row r="126" spans="14:25">
      <c r="N126" s="779"/>
      <c r="O126" s="779"/>
      <c r="P126" s="779">
        <v>19</v>
      </c>
      <c r="Q126" s="778">
        <v>12.89642851693287</v>
      </c>
      <c r="R126" s="778">
        <v>8.2621427263532308</v>
      </c>
      <c r="S126" s="778">
        <v>110.76885659354043</v>
      </c>
      <c r="T126" s="778">
        <v>59.773714338030103</v>
      </c>
      <c r="U126" s="778">
        <v>15.455142838614288</v>
      </c>
      <c r="V126" s="778">
        <v>11.9720828192574</v>
      </c>
      <c r="W126" s="778">
        <v>1.5408571277345884</v>
      </c>
      <c r="X126" s="778">
        <v>69.296428135463117</v>
      </c>
      <c r="Y126" s="778">
        <v>69.459999084472599</v>
      </c>
    </row>
    <row r="127" spans="14:25">
      <c r="N127" s="779"/>
      <c r="O127" s="779"/>
      <c r="P127" s="779">
        <v>20</v>
      </c>
      <c r="Q127" s="778">
        <v>12.223428453717887</v>
      </c>
      <c r="R127" s="778">
        <v>8.1970000267028773</v>
      </c>
      <c r="S127" s="778">
        <v>101.37014225551034</v>
      </c>
      <c r="T127" s="778">
        <v>76.803571428571416</v>
      </c>
      <c r="U127" s="778">
        <v>17.032571247645741</v>
      </c>
      <c r="V127" s="778">
        <v>12.044524329049228</v>
      </c>
      <c r="W127" s="778">
        <v>1.2638571347509076</v>
      </c>
      <c r="X127" s="778">
        <v>62.86000006539475</v>
      </c>
      <c r="Y127" s="778">
        <v>66.260002136230398</v>
      </c>
    </row>
    <row r="128" spans="14:25">
      <c r="N128" s="779"/>
      <c r="O128" s="779"/>
      <c r="P128" s="779">
        <v>21</v>
      </c>
      <c r="Q128" s="778">
        <v>10.884428433009543</v>
      </c>
      <c r="R128" s="778">
        <v>7.9334286281040693</v>
      </c>
      <c r="S128" s="778">
        <v>97.459857395716909</v>
      </c>
      <c r="T128" s="778">
        <v>50.738285609653985</v>
      </c>
      <c r="U128" s="778">
        <v>13.328000204903701</v>
      </c>
      <c r="V128" s="778">
        <v>12.004824365888286</v>
      </c>
      <c r="W128" s="778">
        <v>1.5594285896846185</v>
      </c>
      <c r="X128" s="778">
        <v>54.305714198521159</v>
      </c>
      <c r="Y128" s="778">
        <v>65.75</v>
      </c>
    </row>
    <row r="129" spans="14:25">
      <c r="N129" s="779"/>
      <c r="O129" s="779">
        <v>22</v>
      </c>
      <c r="P129" s="779">
        <v>22</v>
      </c>
      <c r="Q129" s="778">
        <v>10.348285540285715</v>
      </c>
      <c r="R129" s="778">
        <v>7.5271429334285713</v>
      </c>
      <c r="S129" s="778">
        <v>89.468571255714281</v>
      </c>
      <c r="T129" s="778">
        <v>47.993857245714288</v>
      </c>
      <c r="U129" s="778">
        <v>14.01614271</v>
      </c>
      <c r="V129" s="778">
        <v>12.003629958571429</v>
      </c>
      <c r="W129" s="778">
        <v>1.5562856965714285</v>
      </c>
      <c r="X129" s="778">
        <v>53.467142922857143</v>
      </c>
      <c r="Y129" s="778">
        <v>65.72000122</v>
      </c>
    </row>
    <row r="130" spans="14:25">
      <c r="N130" s="779"/>
      <c r="O130" s="779"/>
      <c r="P130" s="779">
        <v>23</v>
      </c>
      <c r="Q130" s="778">
        <v>9.2024285452706458</v>
      </c>
      <c r="R130" s="778">
        <v>7.8158572060721223</v>
      </c>
      <c r="S130" s="778">
        <v>76.892712184361002</v>
      </c>
      <c r="T130" s="778">
        <v>57.958285740443614</v>
      </c>
      <c r="U130" s="778">
        <v>15.881571360996745</v>
      </c>
      <c r="V130" s="778">
        <v>11.987857137407543</v>
      </c>
      <c r="W130" s="778">
        <v>1.6308571440832915</v>
      </c>
      <c r="X130" s="778">
        <v>51.62714331490649</v>
      </c>
      <c r="Y130" s="778">
        <v>10.504285676138702</v>
      </c>
    </row>
    <row r="131" spans="14:25">
      <c r="N131" s="779"/>
      <c r="O131" s="779"/>
      <c r="P131" s="779">
        <v>24</v>
      </c>
      <c r="Q131" s="778">
        <v>9.7554287231428578</v>
      </c>
      <c r="R131" s="778">
        <v>6.7071426938571426</v>
      </c>
      <c r="S131" s="778">
        <v>81.342571802857151</v>
      </c>
      <c r="T131" s="778">
        <v>44.565714157142857</v>
      </c>
      <c r="U131" s="778">
        <v>11.95571436</v>
      </c>
      <c r="V131" s="778">
        <v>11.995954241428569</v>
      </c>
      <c r="W131" s="778">
        <v>1.5964285474285715</v>
      </c>
      <c r="X131" s="778">
        <v>52.48000008857143</v>
      </c>
      <c r="Y131" s="778">
        <v>8.8472856794285715</v>
      </c>
    </row>
    <row r="132" spans="14:25">
      <c r="N132" s="779"/>
      <c r="O132" s="779"/>
      <c r="P132" s="779">
        <v>25</v>
      </c>
      <c r="Q132" s="778">
        <v>9.0029998505714293</v>
      </c>
      <c r="R132" s="778">
        <v>5.0975714409999995</v>
      </c>
      <c r="S132" s="778">
        <v>74.786714827142859</v>
      </c>
      <c r="T132" s="778">
        <v>37.470142908571425</v>
      </c>
      <c r="U132" s="778">
        <v>10.698285784285716</v>
      </c>
      <c r="V132" s="778">
        <v>12.037141528571428</v>
      </c>
      <c r="W132" s="778">
        <v>1.5865714718571431</v>
      </c>
      <c r="X132" s="778">
        <v>52.899999890000004</v>
      </c>
      <c r="Y132" s="778">
        <v>7.1708572252857135</v>
      </c>
    </row>
    <row r="133" spans="14:25">
      <c r="N133" s="779"/>
      <c r="O133" s="779"/>
      <c r="P133" s="779">
        <v>26</v>
      </c>
      <c r="Q133" s="778">
        <v>8.8088571004285718</v>
      </c>
      <c r="R133" s="778">
        <v>4.9562855787142857</v>
      </c>
      <c r="S133" s="778">
        <v>70.028570991428566</v>
      </c>
      <c r="T133" s="778">
        <v>32.059714182857142</v>
      </c>
      <c r="U133" s="778">
        <v>11.252857207571427</v>
      </c>
      <c r="V133" s="778">
        <v>12.019521304285714</v>
      </c>
      <c r="W133" s="778">
        <v>2.0531428372857143</v>
      </c>
      <c r="X133" s="778">
        <v>50.610000065714296</v>
      </c>
      <c r="Y133" s="778">
        <v>6.7431428091428582</v>
      </c>
    </row>
    <row r="134" spans="14:25">
      <c r="N134" s="779"/>
      <c r="O134" s="779"/>
      <c r="P134" s="779">
        <v>27</v>
      </c>
      <c r="Q134" s="778">
        <v>8.6749999188571429</v>
      </c>
      <c r="R134" s="778">
        <v>5.8004284587142854</v>
      </c>
      <c r="S134" s="778">
        <v>73.483713422857136</v>
      </c>
      <c r="T134" s="778">
        <v>28.196285791428572</v>
      </c>
      <c r="U134" s="778">
        <v>8.894857134285715</v>
      </c>
      <c r="V134" s="778">
        <v>12.048987115714286</v>
      </c>
      <c r="W134" s="778">
        <v>1.7931428807142857</v>
      </c>
      <c r="X134" s="778">
        <v>39.56999969571428</v>
      </c>
      <c r="Y134" s="778">
        <v>6.9555713788571438</v>
      </c>
    </row>
    <row r="135" spans="14:25">
      <c r="N135" s="779"/>
      <c r="O135" s="779"/>
      <c r="P135" s="779">
        <v>28</v>
      </c>
      <c r="Q135" s="778">
        <v>8.5319998604285718</v>
      </c>
      <c r="R135" s="778">
        <v>4.793428557285714</v>
      </c>
      <c r="S135" s="778">
        <v>71.609712874285705</v>
      </c>
      <c r="T135" s="778">
        <v>29.315428597142859</v>
      </c>
      <c r="U135" s="778">
        <v>8.5744282858571417</v>
      </c>
      <c r="V135" s="778">
        <v>13.016607148571428</v>
      </c>
      <c r="W135" s="778">
        <v>1.5484285694285713</v>
      </c>
      <c r="X135" s="778">
        <v>37.367143358571425</v>
      </c>
      <c r="Y135" s="778">
        <v>7.7912856511428572</v>
      </c>
    </row>
    <row r="136" spans="14:25">
      <c r="N136" s="779"/>
      <c r="O136" s="779"/>
      <c r="P136" s="779">
        <v>29</v>
      </c>
      <c r="Q136" s="778">
        <v>7.5015713146754646</v>
      </c>
      <c r="R136" s="778">
        <v>4.1201429026467418</v>
      </c>
      <c r="S136" s="778">
        <v>70.704857962472062</v>
      </c>
      <c r="T136" s="778">
        <v>28.869000026157888</v>
      </c>
      <c r="U136" s="778">
        <v>8.3951428277151887</v>
      </c>
      <c r="V136" s="778">
        <v>11.558748653956785</v>
      </c>
      <c r="W136" s="778">
        <v>1.8301428726741213</v>
      </c>
      <c r="X136" s="778">
        <v>34.207142421177402</v>
      </c>
      <c r="Y136" s="778">
        <v>7.1859999213899801</v>
      </c>
    </row>
    <row r="137" spans="14:25">
      <c r="N137" s="779"/>
      <c r="O137" s="779"/>
      <c r="P137" s="779">
        <v>30</v>
      </c>
      <c r="Q137" s="778">
        <v>6.9631428037142857</v>
      </c>
      <c r="R137" s="778">
        <v>3.7525714465714288</v>
      </c>
      <c r="S137" s="778">
        <v>70.704857962857133</v>
      </c>
      <c r="T137" s="778">
        <v>27.43799999714286</v>
      </c>
      <c r="U137" s="778">
        <v>8.4329999515714285</v>
      </c>
      <c r="V137" s="778">
        <v>11.530537195714285</v>
      </c>
      <c r="W137" s="778">
        <v>1.7351428440000001</v>
      </c>
      <c r="X137" s="778">
        <v>33.177856990000002</v>
      </c>
      <c r="Y137" s="778">
        <v>10.289285525142857</v>
      </c>
    </row>
    <row r="138" spans="14:25">
      <c r="N138" s="779"/>
      <c r="O138" s="779"/>
      <c r="P138" s="779">
        <v>31</v>
      </c>
      <c r="Q138" s="778">
        <v>6.8165713718959227</v>
      </c>
      <c r="R138" s="778">
        <v>3.3494285855974431</v>
      </c>
      <c r="S138" s="778">
        <v>63.379999978201695</v>
      </c>
      <c r="T138" s="778">
        <v>26.440285818917356</v>
      </c>
      <c r="U138" s="778">
        <v>7.6332857949393071</v>
      </c>
      <c r="V138" s="778">
        <v>13.242675645010754</v>
      </c>
      <c r="W138" s="778">
        <v>1.6478571380887672</v>
      </c>
      <c r="X138" s="778">
        <v>31.918571744646293</v>
      </c>
      <c r="Y138" s="778">
        <v>7.0418571063450344</v>
      </c>
    </row>
    <row r="139" spans="14:25">
      <c r="N139" s="779"/>
      <c r="O139" s="779"/>
      <c r="P139" s="779">
        <v>32</v>
      </c>
      <c r="Q139" s="778">
        <v>6.7767143249511674</v>
      </c>
      <c r="R139" s="778">
        <v>3.2958571570260142</v>
      </c>
      <c r="S139" s="778">
        <v>71.012714930943048</v>
      </c>
      <c r="T139" s="778">
        <v>46.172571454729322</v>
      </c>
      <c r="U139" s="778">
        <v>10.471999985831093</v>
      </c>
      <c r="V139" s="778">
        <v>14.178215708051356</v>
      </c>
      <c r="W139" s="778">
        <v>1.7564285823277028</v>
      </c>
      <c r="X139" s="778">
        <v>36.164285932268385</v>
      </c>
      <c r="Y139" s="778">
        <v>6.8281428813934264</v>
      </c>
    </row>
    <row r="140" spans="14:25">
      <c r="N140" s="779"/>
      <c r="O140" s="779"/>
      <c r="P140" s="779">
        <v>33</v>
      </c>
      <c r="Q140" s="778">
        <v>6.6272856167142846</v>
      </c>
      <c r="R140" s="778">
        <v>3.2975714547142858</v>
      </c>
      <c r="S140" s="778">
        <v>68.504143305714294</v>
      </c>
      <c r="T140" s="778">
        <v>27.946428571428573</v>
      </c>
      <c r="U140" s="778">
        <v>7.9560000554285706</v>
      </c>
      <c r="V140" s="778">
        <v>14.038035665714288</v>
      </c>
      <c r="W140" s="778">
        <v>1.7424285411428571</v>
      </c>
      <c r="X140" s="778">
        <v>35.879999975714291</v>
      </c>
      <c r="Y140" s="778">
        <v>5.7674285684285715</v>
      </c>
    </row>
    <row r="141" spans="14:25">
      <c r="N141" s="779"/>
      <c r="O141" s="779">
        <v>34</v>
      </c>
      <c r="P141" s="779">
        <v>34</v>
      </c>
      <c r="Q141" s="778">
        <v>6.5701428822857153</v>
      </c>
      <c r="R141" s="778">
        <v>3.5422857148571425</v>
      </c>
      <c r="S141" s="778">
        <v>67.757142747142865</v>
      </c>
      <c r="T141" s="778">
        <v>25.892714362857141</v>
      </c>
      <c r="U141" s="778">
        <v>7.6575713838571433</v>
      </c>
      <c r="V141" s="778">
        <v>13.967680111428573</v>
      </c>
      <c r="W141" s="778">
        <v>1.731428572</v>
      </c>
      <c r="X141" s="778">
        <v>38.545714242857137</v>
      </c>
      <c r="Y141" s="778">
        <v>2.1432857171428572</v>
      </c>
    </row>
    <row r="142" spans="14:25">
      <c r="N142" s="779"/>
      <c r="O142" s="779"/>
      <c r="P142" s="779">
        <v>35</v>
      </c>
      <c r="Q142" s="778">
        <v>6.5428572382245695</v>
      </c>
      <c r="R142" s="778">
        <v>3.660142830439971</v>
      </c>
      <c r="S142" s="778">
        <v>64.803571428571402</v>
      </c>
      <c r="T142" s="778">
        <v>24.232000078473732</v>
      </c>
      <c r="U142" s="778">
        <v>6.8082856450762028</v>
      </c>
      <c r="V142" s="778">
        <v>14.05898720877507</v>
      </c>
      <c r="W142" s="778">
        <v>1.7037142855780412</v>
      </c>
      <c r="X142" s="778">
        <v>40.62499999999995</v>
      </c>
      <c r="Y142" s="778">
        <v>7.1627143110547582</v>
      </c>
    </row>
    <row r="143" spans="14:25">
      <c r="N143" s="779"/>
      <c r="O143" s="779"/>
      <c r="P143" s="779">
        <v>36</v>
      </c>
      <c r="Q143" s="778">
        <v>6.3227143287142855</v>
      </c>
      <c r="R143" s="778">
        <v>4.3679998937142859</v>
      </c>
      <c r="S143" s="778">
        <v>61.738000054285713</v>
      </c>
      <c r="T143" s="778">
        <v>22.238142831428572</v>
      </c>
      <c r="U143" s="778">
        <v>6.3390000000000004</v>
      </c>
      <c r="V143" s="778">
        <v>14.080715725714285</v>
      </c>
      <c r="W143" s="778">
        <v>1.4800000019999999</v>
      </c>
      <c r="X143" s="778">
        <v>39.675715311428569</v>
      </c>
      <c r="Y143" s="778">
        <v>5.1081428868571424</v>
      </c>
    </row>
    <row r="144" spans="14:25">
      <c r="N144" s="779"/>
      <c r="O144" s="779"/>
      <c r="P144" s="779">
        <v>37</v>
      </c>
      <c r="Q144" s="778">
        <v>6.2865810394126704</v>
      </c>
      <c r="R144" s="778">
        <v>3.77252543796107</v>
      </c>
      <c r="S144" s="778">
        <v>59.887714115714203</v>
      </c>
      <c r="T144" s="778">
        <v>22.866306149296399</v>
      </c>
      <c r="U144" s="778">
        <v>5.7651427948238201</v>
      </c>
      <c r="V144" s="778">
        <v>14.0125123574527</v>
      </c>
      <c r="W144" s="778">
        <v>1.63901983647542</v>
      </c>
      <c r="X144" s="778">
        <v>42.048215323571398</v>
      </c>
      <c r="Y144" s="778">
        <v>5.8057857581702397</v>
      </c>
    </row>
    <row r="145" spans="14:25">
      <c r="N145" s="779"/>
      <c r="O145" s="779"/>
      <c r="P145" s="779">
        <v>38</v>
      </c>
      <c r="Q145" s="778">
        <v>5.793857097625728</v>
      </c>
      <c r="R145" s="778">
        <v>4.5530000073569106</v>
      </c>
      <c r="S145" s="778">
        <v>64.924144199916256</v>
      </c>
      <c r="T145" s="778">
        <v>29.702428545270628</v>
      </c>
      <c r="U145" s="778">
        <v>6.6742858205522735</v>
      </c>
      <c r="V145" s="778">
        <v>13.981904302324526</v>
      </c>
      <c r="W145" s="778">
        <v>1.5090000288827028</v>
      </c>
      <c r="X145" s="778">
        <v>43.403571537562748</v>
      </c>
      <c r="Y145" s="778">
        <v>6.7047142982482857</v>
      </c>
    </row>
    <row r="146" spans="14:25">
      <c r="N146" s="779"/>
      <c r="O146" s="779"/>
      <c r="P146" s="779">
        <v>39</v>
      </c>
      <c r="Q146" s="778">
        <v>5.9811427934285719</v>
      </c>
      <c r="R146" s="778">
        <v>3.9475713797142857</v>
      </c>
      <c r="S146" s="778">
        <v>70.514285495714276</v>
      </c>
      <c r="T146" s="778">
        <v>38.059571402857145</v>
      </c>
      <c r="U146" s="778">
        <v>7.1607142177142862</v>
      </c>
      <c r="V146" s="778">
        <v>14.00559575142857</v>
      </c>
      <c r="W146" s="778">
        <v>1.4841428652857143</v>
      </c>
      <c r="X146" s="778">
        <v>39.662857054285716</v>
      </c>
      <c r="Y146" s="778">
        <v>3.8321428128571426</v>
      </c>
    </row>
    <row r="147" spans="14:25">
      <c r="N147" s="779"/>
      <c r="O147" s="779"/>
      <c r="P147" s="779">
        <v>40</v>
      </c>
      <c r="Q147" s="778">
        <v>5.635571479797358</v>
      </c>
      <c r="R147" s="778">
        <v>4.196571486336838</v>
      </c>
      <c r="S147" s="778">
        <v>63.012999943324473</v>
      </c>
      <c r="T147" s="778">
        <v>36.791714259556329</v>
      </c>
      <c r="U147" s="778">
        <v>7.419142927442274</v>
      </c>
      <c r="V147" s="778">
        <v>14.040832792009573</v>
      </c>
      <c r="W147" s="778">
        <v>1.3278571452413228</v>
      </c>
      <c r="X147" s="778">
        <v>38.878571646554072</v>
      </c>
      <c r="Y147" s="778">
        <v>6.02885715450559</v>
      </c>
    </row>
    <row r="148" spans="14:25">
      <c r="N148" s="779"/>
      <c r="O148" s="779"/>
      <c r="P148" s="779">
        <v>41</v>
      </c>
      <c r="Q148" s="778">
        <v>5.5000561646503403</v>
      </c>
      <c r="R148" s="778">
        <v>4.2840944572134498</v>
      </c>
      <c r="S148" s="778">
        <v>66.388028771146395</v>
      </c>
      <c r="T148" s="778">
        <v>43.221755070626699</v>
      </c>
      <c r="U148" s="778">
        <v>6.8784286265785504</v>
      </c>
      <c r="V148" s="778">
        <v>14.068372771605899</v>
      </c>
      <c r="W148" s="778">
        <v>1.3502551701649099</v>
      </c>
      <c r="X148" s="778">
        <v>39.9741191131004</v>
      </c>
      <c r="Y148" s="778">
        <v>6.1968265237028799</v>
      </c>
    </row>
    <row r="149" spans="14:25">
      <c r="N149" s="779"/>
      <c r="O149" s="779"/>
      <c r="P149" s="779">
        <v>42</v>
      </c>
      <c r="Q149" s="778">
        <v>4.9938571794285718</v>
      </c>
      <c r="R149" s="778">
        <v>4</v>
      </c>
      <c r="S149" s="778">
        <v>62.769999368571426</v>
      </c>
      <c r="T149" s="778">
        <v>38</v>
      </c>
      <c r="U149" s="778">
        <v>9.4662852974285716</v>
      </c>
      <c r="V149" s="778">
        <v>14.016308650000001</v>
      </c>
      <c r="W149" s="778">
        <v>1.3397142717142856</v>
      </c>
      <c r="X149" s="778">
        <v>40.656428200000001</v>
      </c>
      <c r="Y149" s="778">
        <v>9.5699999659999992</v>
      </c>
    </row>
    <row r="150" spans="14:25">
      <c r="N150" s="779"/>
      <c r="O150" s="779"/>
      <c r="P150" s="779">
        <v>43</v>
      </c>
      <c r="Q150" s="778">
        <v>5.6268571444920088</v>
      </c>
      <c r="R150" s="778">
        <v>4.612428597041534</v>
      </c>
      <c r="S150" s="778">
        <v>52.281571524483752</v>
      </c>
      <c r="T150" s="778">
        <v>34.410571507045155</v>
      </c>
      <c r="U150" s="778">
        <v>5.7607142584664448</v>
      </c>
      <c r="V150" s="778">
        <v>14.078072684151758</v>
      </c>
      <c r="W150" s="778">
        <v>1.3554285253797185</v>
      </c>
      <c r="X150" s="778">
        <v>41.783572060721227</v>
      </c>
      <c r="Y150" s="778">
        <v>9.7359999247959532</v>
      </c>
    </row>
    <row r="151" spans="14:25">
      <c r="N151" s="779"/>
      <c r="O151" s="779">
        <v>44</v>
      </c>
      <c r="P151" s="779">
        <v>44</v>
      </c>
      <c r="Q151" s="778">
        <v>5.2291429382857144</v>
      </c>
      <c r="R151" s="778">
        <v>4.4097143239999994</v>
      </c>
      <c r="S151" s="778">
        <v>53.939428057142855</v>
      </c>
      <c r="T151" s="778">
        <v>27.107142857142858</v>
      </c>
      <c r="U151" s="778">
        <v>5.9262857437142857</v>
      </c>
      <c r="V151" s="778">
        <v>13.987262724285713</v>
      </c>
      <c r="W151" s="778">
        <v>1.3972857167142858</v>
      </c>
      <c r="X151" s="778">
        <v>40.991428375714285</v>
      </c>
      <c r="Y151" s="778">
        <v>9.787285668857141</v>
      </c>
    </row>
    <row r="152" spans="14:25">
      <c r="N152" s="779"/>
      <c r="O152" s="779"/>
      <c r="P152" s="779">
        <v>45</v>
      </c>
      <c r="Q152" s="778">
        <v>5.4345714705330943</v>
      </c>
      <c r="R152" s="778">
        <v>3.90100002288818</v>
      </c>
      <c r="S152" s="778">
        <v>62.510428837367428</v>
      </c>
      <c r="T152" s="778">
        <v>29.329142979213128</v>
      </c>
      <c r="U152" s="778">
        <v>5.2147143227713402</v>
      </c>
      <c r="V152" s="778">
        <v>13.874702862330802</v>
      </c>
      <c r="W152" s="778">
        <v>1.3508571045739299</v>
      </c>
      <c r="X152" s="778">
        <v>40.139285496302975</v>
      </c>
      <c r="Y152" s="778">
        <v>8.3278572218758669</v>
      </c>
    </row>
    <row r="153" spans="14:25">
      <c r="N153" s="779"/>
      <c r="O153" s="779"/>
      <c r="P153" s="779">
        <v>46</v>
      </c>
      <c r="Q153" s="778">
        <v>5.3250000135714286</v>
      </c>
      <c r="R153" s="778">
        <v>3.9275713648571431</v>
      </c>
      <c r="S153" s="778">
        <v>53.200286319999996</v>
      </c>
      <c r="T153" s="778">
        <v>26.72028568857143</v>
      </c>
      <c r="U153" s="778">
        <v>6.1838571684285712</v>
      </c>
      <c r="V153" s="778">
        <v>14.021962847142857</v>
      </c>
      <c r="W153" s="778">
        <v>1.3508571042857143</v>
      </c>
      <c r="X153" s="778">
        <v>39.383571627142864</v>
      </c>
      <c r="Y153" s="778">
        <v>8.9714284620000004</v>
      </c>
    </row>
    <row r="154" spans="14:25">
      <c r="N154" s="779"/>
      <c r="O154" s="779"/>
      <c r="P154" s="779">
        <v>47</v>
      </c>
      <c r="Q154" s="778">
        <v>5.2195714201245949</v>
      </c>
      <c r="R154" s="778">
        <v>4.3361428805759958</v>
      </c>
      <c r="S154" s="778">
        <v>58.334714617047958</v>
      </c>
      <c r="T154" s="778">
        <v>27.404714311872173</v>
      </c>
      <c r="U154" s="778">
        <v>5.6749998501368912</v>
      </c>
      <c r="V154" s="778">
        <v>12.869702747889887</v>
      </c>
      <c r="W154" s="778">
        <v>1.3509999513626101</v>
      </c>
      <c r="X154" s="778">
        <v>41.750000544956698</v>
      </c>
      <c r="Y154" s="778">
        <v>7.719999926430833</v>
      </c>
    </row>
    <row r="155" spans="14:25">
      <c r="N155" s="779"/>
      <c r="O155" s="779"/>
      <c r="P155" s="779">
        <v>48</v>
      </c>
      <c r="Q155" s="778">
        <v>5.7077142170497295</v>
      </c>
      <c r="R155" s="778">
        <v>4.0250000272478319</v>
      </c>
      <c r="S155" s="778">
        <v>50.089571816580602</v>
      </c>
      <c r="T155" s="778">
        <v>25.464285714285698</v>
      </c>
      <c r="U155" s="778">
        <v>5.2590000288827037</v>
      </c>
      <c r="V155" s="778">
        <v>12.914761407034687</v>
      </c>
      <c r="W155" s="778">
        <v>1.3509999513626101</v>
      </c>
      <c r="X155" s="778">
        <v>40.275714329310787</v>
      </c>
      <c r="Y155" s="778">
        <v>9.8602855546133554</v>
      </c>
    </row>
    <row r="156" spans="14:25">
      <c r="N156" s="779"/>
      <c r="O156" s="779"/>
      <c r="P156" s="779">
        <v>49</v>
      </c>
      <c r="Q156" s="778">
        <v>6.1595714432857145</v>
      </c>
      <c r="R156" s="778">
        <v>3.979571376428571</v>
      </c>
      <c r="S156" s="778">
        <v>60.034714289999997</v>
      </c>
      <c r="T156" s="778">
        <v>26.208285740000001</v>
      </c>
      <c r="U156" s="778">
        <v>4.6138571330000007</v>
      </c>
      <c r="V156" s="778">
        <v>13.072690148571429</v>
      </c>
      <c r="W156" s="778">
        <v>1.3818571054285713</v>
      </c>
      <c r="X156" s="778">
        <v>41.965714589999997</v>
      </c>
      <c r="Y156" s="778">
        <v>10.514714377142857</v>
      </c>
    </row>
    <row r="157" spans="14:25">
      <c r="N157" s="779"/>
      <c r="O157" s="779"/>
      <c r="P157" s="779">
        <v>50</v>
      </c>
      <c r="Q157" s="778">
        <v>8.2302858491428559</v>
      </c>
      <c r="R157" s="778">
        <v>4.227428538571429</v>
      </c>
      <c r="S157" s="778">
        <v>60.558143069999993</v>
      </c>
      <c r="T157" s="778">
        <v>47.559571402857145</v>
      </c>
      <c r="U157" s="778">
        <v>9.325571467571427</v>
      </c>
      <c r="V157" s="778">
        <v>12.378569737142858</v>
      </c>
      <c r="W157" s="778">
        <v>2.3402857099999999</v>
      </c>
      <c r="X157" s="778">
        <v>44.681428635714283</v>
      </c>
      <c r="Y157" s="778">
        <v>13.792428560000001</v>
      </c>
    </row>
    <row r="158" spans="14:25">
      <c r="N158" s="779"/>
      <c r="O158" s="779"/>
      <c r="P158" s="779">
        <v>51</v>
      </c>
      <c r="Q158" s="778">
        <v>8.6974285665714284</v>
      </c>
      <c r="R158" s="778">
        <v>4.2828571114285712</v>
      </c>
      <c r="S158" s="778">
        <v>76.682998657142861</v>
      </c>
      <c r="T158" s="778">
        <v>47.559571402857145</v>
      </c>
      <c r="U158" s="778">
        <v>9.325571467571427</v>
      </c>
      <c r="V158" s="778">
        <v>13.595178467142899</v>
      </c>
      <c r="W158" s="778">
        <v>2.1075714314285716</v>
      </c>
      <c r="X158" s="778">
        <v>58.199286324285715</v>
      </c>
      <c r="Y158" s="778">
        <v>17.965714182857145</v>
      </c>
    </row>
    <row r="159" spans="14:25">
      <c r="N159" s="779"/>
      <c r="O159" s="779">
        <v>52</v>
      </c>
      <c r="P159" s="779">
        <v>52</v>
      </c>
      <c r="Q159" s="778">
        <v>12.067857061428571</v>
      </c>
      <c r="R159" s="778">
        <v>5.9124286172857135</v>
      </c>
      <c r="S159" s="778">
        <v>82.013715471428569</v>
      </c>
      <c r="T159" s="778">
        <v>71.637142725714284</v>
      </c>
      <c r="U159" s="778">
        <v>27.029714380142856</v>
      </c>
      <c r="V159" s="778">
        <v>13.1345855185714</v>
      </c>
      <c r="W159" s="778">
        <v>1.4207143104285713</v>
      </c>
      <c r="X159" s="778">
        <v>49.959429059999998</v>
      </c>
      <c r="Y159" s="778">
        <v>13.465142795714286</v>
      </c>
    </row>
    <row r="160" spans="14:25">
      <c r="N160" s="277">
        <v>2023</v>
      </c>
      <c r="P160" s="277">
        <v>1</v>
      </c>
      <c r="Q160" s="778">
        <v>15.932143074285715</v>
      </c>
      <c r="R160" s="778">
        <v>11.847142697285713</v>
      </c>
      <c r="S160" s="778">
        <v>128.12399947142856</v>
      </c>
      <c r="T160" s="778">
        <v>120.91071428857143</v>
      </c>
      <c r="U160" s="778">
        <v>7.7642858370000001</v>
      </c>
      <c r="V160" s="778">
        <v>11.095357077142859</v>
      </c>
      <c r="W160" s="778">
        <v>1.6364285774285714</v>
      </c>
      <c r="X160" s="778">
        <v>66.995713914285716</v>
      </c>
      <c r="Y160" s="778">
        <v>22.307714735714285</v>
      </c>
    </row>
    <row r="161" spans="15:25">
      <c r="P161" s="782">
        <v>2</v>
      </c>
      <c r="Q161" s="778">
        <v>13.622000012857143</v>
      </c>
      <c r="R161" s="778">
        <v>10.387571334714284</v>
      </c>
      <c r="S161" s="778">
        <v>121.34800174285715</v>
      </c>
      <c r="T161" s="778">
        <v>63.964285714285715</v>
      </c>
      <c r="U161" s="778">
        <v>8.3012856074285715</v>
      </c>
      <c r="V161" s="778">
        <v>10.665118488571428</v>
      </c>
      <c r="W161" s="778">
        <v>1.4351428745714288</v>
      </c>
      <c r="X161" s="778">
        <v>61.672285351428577</v>
      </c>
      <c r="Y161" s="778">
        <v>20.728857314285712</v>
      </c>
    </row>
    <row r="162" spans="15:25">
      <c r="P162" s="277">
        <v>3</v>
      </c>
      <c r="Q162" s="778">
        <v>14.96771430969237</v>
      </c>
      <c r="R162" s="778">
        <v>12.343428543635765</v>
      </c>
      <c r="S162" s="778">
        <v>86.206856863839235</v>
      </c>
      <c r="T162" s="778">
        <v>66.660714285714292</v>
      </c>
      <c r="U162" s="778">
        <v>13.8641426903861</v>
      </c>
      <c r="V162" s="778">
        <v>10.825061389378083</v>
      </c>
      <c r="W162" s="778">
        <v>1.1248571532113172</v>
      </c>
      <c r="X162" s="778">
        <v>45.978571755545445</v>
      </c>
      <c r="Y162" s="778">
        <v>14.135142598833328</v>
      </c>
    </row>
    <row r="163" spans="15:25">
      <c r="P163" s="277">
        <v>4</v>
      </c>
      <c r="Q163" s="778">
        <v>13.91128580857143</v>
      </c>
      <c r="R163" s="778">
        <v>11.180999892285714</v>
      </c>
      <c r="S163" s="778">
        <v>104.57885634428571</v>
      </c>
      <c r="T163" s="778">
        <v>85.190571371428561</v>
      </c>
      <c r="U163" s="778">
        <v>19.117857387142859</v>
      </c>
      <c r="V163" s="778">
        <v>11.076488631428571</v>
      </c>
      <c r="W163" s="778">
        <v>1.6419999940000001</v>
      </c>
      <c r="X163" s="778">
        <v>48.097142900000001</v>
      </c>
      <c r="Y163" s="778">
        <v>12.892857279999999</v>
      </c>
    </row>
    <row r="164" spans="15:25">
      <c r="P164" s="277">
        <v>5</v>
      </c>
      <c r="Q164" s="778">
        <v>16.3</v>
      </c>
      <c r="R164" s="778">
        <v>12.37</v>
      </c>
      <c r="S164" s="778">
        <v>154.74</v>
      </c>
      <c r="T164" s="778">
        <v>146.63999999999999</v>
      </c>
      <c r="U164" s="778">
        <v>16.501999999999999</v>
      </c>
      <c r="V164" s="778">
        <v>11.3279158734791</v>
      </c>
      <c r="W164" s="778">
        <v>3.9329999999999998</v>
      </c>
      <c r="X164" s="778">
        <v>92.98</v>
      </c>
      <c r="Y164" s="778">
        <v>30.6</v>
      </c>
    </row>
    <row r="165" spans="15:25">
      <c r="P165" s="277">
        <v>6</v>
      </c>
      <c r="Q165" s="778">
        <v>21.669000080653571</v>
      </c>
      <c r="R165" s="778">
        <v>15.139999934605159</v>
      </c>
      <c r="S165" s="778">
        <v>309.78528267996586</v>
      </c>
      <c r="T165" s="778">
        <v>176.99399893624403</v>
      </c>
      <c r="U165" s="778">
        <v>28.743571690150638</v>
      </c>
      <c r="V165" s="778">
        <v>20.581607409885926</v>
      </c>
      <c r="W165" s="778">
        <v>7.3275715282985106</v>
      </c>
      <c r="X165" s="778">
        <v>131.38999938964815</v>
      </c>
      <c r="Y165" s="778">
        <v>52.329999651227638</v>
      </c>
    </row>
    <row r="166" spans="15:25">
      <c r="P166" s="277">
        <v>7</v>
      </c>
      <c r="Q166" s="778">
        <v>23.23</v>
      </c>
      <c r="R166" s="778">
        <v>16.53</v>
      </c>
      <c r="S166" s="778">
        <v>292.54257421428571</v>
      </c>
      <c r="T166" s="778">
        <v>150.71</v>
      </c>
      <c r="U166" s="778">
        <v>26.15</v>
      </c>
      <c r="V166" s="778">
        <v>23.86</v>
      </c>
      <c r="W166" s="778">
        <v>5.78</v>
      </c>
      <c r="X166" s="778">
        <v>150.34</v>
      </c>
      <c r="Y166" s="778">
        <v>59.46</v>
      </c>
    </row>
    <row r="167" spans="15:25">
      <c r="P167" s="277">
        <v>8</v>
      </c>
      <c r="Q167" s="778">
        <v>30.719714572857139</v>
      </c>
      <c r="R167" s="778">
        <v>21.736999784285718</v>
      </c>
      <c r="S167" s="778">
        <v>394.95185634285707</v>
      </c>
      <c r="T167" s="778">
        <v>196.54171534285712</v>
      </c>
      <c r="U167" s="778">
        <v>45.88742882857143</v>
      </c>
      <c r="V167" s="778">
        <v>17.428035462857142</v>
      </c>
      <c r="W167" s="778">
        <v>2.5667143377142865</v>
      </c>
      <c r="X167" s="778">
        <v>130.17400032857142</v>
      </c>
      <c r="Y167" s="778">
        <v>32.804857528571425</v>
      </c>
    </row>
    <row r="168" spans="15:25">
      <c r="O168" s="277">
        <v>9</v>
      </c>
      <c r="P168" s="277">
        <v>9</v>
      </c>
      <c r="Q168" s="778">
        <v>22.826571600777726</v>
      </c>
      <c r="R168" s="778">
        <v>16.407857349940684</v>
      </c>
      <c r="S168" s="778">
        <v>266.61928667340914</v>
      </c>
      <c r="T168" s="778">
        <v>110.57742745535673</v>
      </c>
      <c r="U168" s="778">
        <v>28.721428462437206</v>
      </c>
      <c r="V168" s="778">
        <v>10.229164259774327</v>
      </c>
      <c r="W168" s="778">
        <v>1.7610000031334958</v>
      </c>
      <c r="X168" s="778">
        <v>94.120000566754854</v>
      </c>
      <c r="Y168" s="778">
        <v>24.390714100428941</v>
      </c>
    </row>
    <row r="169" spans="15:25">
      <c r="P169" s="277">
        <v>10</v>
      </c>
      <c r="Q169" s="778">
        <v>21.89857155857143</v>
      </c>
      <c r="R169" s="778">
        <v>14.010285651428573</v>
      </c>
      <c r="S169" s="778">
        <v>184.85557120000001</v>
      </c>
      <c r="T169" s="778">
        <v>94.220285682857138</v>
      </c>
      <c r="U169" s="778">
        <v>24.092285701428573</v>
      </c>
      <c r="V169" s="778">
        <v>9.952202933142857</v>
      </c>
      <c r="W169" s="778">
        <v>1.6931428228105772</v>
      </c>
      <c r="X169" s="778">
        <v>64.657857077142864</v>
      </c>
      <c r="Y169" s="778">
        <v>22.884571348571431</v>
      </c>
    </row>
    <row r="170" spans="15:25">
      <c r="P170" s="277">
        <v>11</v>
      </c>
      <c r="Q170" s="778">
        <v>27.571428843906915</v>
      </c>
      <c r="R170" s="778">
        <v>20.770999908447244</v>
      </c>
      <c r="S170" s="778">
        <v>247.99328395298497</v>
      </c>
      <c r="T170" s="778">
        <v>119.81542750767285</v>
      </c>
      <c r="U170" s="778">
        <v>36.970714841570135</v>
      </c>
      <c r="V170" s="778">
        <v>10.030357224600632</v>
      </c>
      <c r="W170" s="778">
        <v>1.6931428228105772</v>
      </c>
      <c r="X170" s="778">
        <v>92.970001220702912</v>
      </c>
      <c r="Y170" s="778">
        <v>34.45442908150806</v>
      </c>
    </row>
    <row r="171" spans="15:25">
      <c r="P171" s="277">
        <v>12</v>
      </c>
      <c r="Q171" s="778">
        <v>24.635714395714281</v>
      </c>
      <c r="R171" s="778">
        <v>20.710142951428569</v>
      </c>
      <c r="S171" s="778">
        <v>277.09400067142855</v>
      </c>
      <c r="T171" s="778">
        <v>120.231999</v>
      </c>
      <c r="U171" s="778">
        <v>35.331428525714287</v>
      </c>
      <c r="V171" s="778">
        <v>9.9896429611428594</v>
      </c>
      <c r="W171" s="778">
        <v>3.407428588428572</v>
      </c>
      <c r="X171" s="778">
        <v>280.39857048571423</v>
      </c>
      <c r="Y171" s="778">
        <v>76.830001284285714</v>
      </c>
    </row>
    <row r="172" spans="15:25">
      <c r="P172" s="277">
        <v>13</v>
      </c>
      <c r="Q172" s="778">
        <v>20.13</v>
      </c>
      <c r="R172" s="778">
        <v>17.697571481428572</v>
      </c>
      <c r="S172" s="778">
        <v>314.86642892857134</v>
      </c>
      <c r="T172" s="778">
        <v>181.93442862857142</v>
      </c>
      <c r="U172" s="778">
        <v>43.063000269999996</v>
      </c>
      <c r="V172" s="778">
        <v>16.947618347857141</v>
      </c>
      <c r="W172" s="778">
        <v>8.7692857471428578</v>
      </c>
      <c r="X172" s="778">
        <v>214.80214364285712</v>
      </c>
      <c r="Y172" s="778">
        <v>62.251857214285721</v>
      </c>
    </row>
    <row r="173" spans="15:25">
      <c r="P173" s="277">
        <v>14</v>
      </c>
      <c r="Q173" s="778">
        <v>19.794714245714285</v>
      </c>
      <c r="R173" s="778">
        <v>15.424571310000001</v>
      </c>
      <c r="S173" s="778">
        <v>246.36571175714286</v>
      </c>
      <c r="T173" s="778">
        <v>126.89285714285714</v>
      </c>
      <c r="U173" s="778">
        <v>36.577857699999996</v>
      </c>
      <c r="V173" s="778">
        <v>11.487677300714285</v>
      </c>
      <c r="W173" s="778">
        <v>4.3440000669999996</v>
      </c>
      <c r="X173" s="778">
        <v>185.27571324285717</v>
      </c>
      <c r="Y173" s="778">
        <v>47.981285095714284</v>
      </c>
    </row>
    <row r="174" spans="15:25">
      <c r="P174" s="277">
        <v>15</v>
      </c>
      <c r="Q174" s="778">
        <v>16.827428545270614</v>
      </c>
      <c r="R174" s="778">
        <v>13.644285610743902</v>
      </c>
      <c r="S174" s="778">
        <v>194.54785592215356</v>
      </c>
      <c r="T174" s="778">
        <v>95.922428676060008</v>
      </c>
      <c r="U174" s="778">
        <v>21.657714026314832</v>
      </c>
      <c r="V174" s="778">
        <v>9.0023798261369929</v>
      </c>
      <c r="W174" s="778">
        <v>2.7139999525887584</v>
      </c>
      <c r="X174" s="778">
        <v>140.86500113350971</v>
      </c>
      <c r="Y174" s="778">
        <v>40.005713871547108</v>
      </c>
    </row>
    <row r="175" spans="15:25">
      <c r="P175" s="277">
        <v>16</v>
      </c>
      <c r="Q175" s="778">
        <v>16.516999999999999</v>
      </c>
      <c r="R175" s="778">
        <v>13.566000000000001</v>
      </c>
      <c r="S175" s="778">
        <v>124.93465999999998</v>
      </c>
      <c r="T175" s="778">
        <v>80.701999999999998</v>
      </c>
      <c r="U175" s="778">
        <v>17.350999999999999</v>
      </c>
      <c r="V175" s="778">
        <v>9.1519999999999992</v>
      </c>
      <c r="W175" s="778">
        <v>1.9339999999999999</v>
      </c>
      <c r="X175" s="778">
        <v>94.683000000000007</v>
      </c>
      <c r="Y175" s="778">
        <v>25.149166666666666</v>
      </c>
    </row>
    <row r="176" spans="15:25">
      <c r="P176" s="277">
        <v>17</v>
      </c>
      <c r="Q176" s="778">
        <v>15.246857370000001</v>
      </c>
      <c r="R176" s="778">
        <v>10.292142732428571</v>
      </c>
      <c r="S176" s="778">
        <v>97.393165588333332</v>
      </c>
      <c r="T176" s="778">
        <v>55.785714285714285</v>
      </c>
      <c r="U176" s="778">
        <v>13.676856995714287</v>
      </c>
      <c r="V176" s="778">
        <v>9.4439299447142862</v>
      </c>
      <c r="W176" s="778">
        <v>1.63</v>
      </c>
      <c r="X176" s="778">
        <v>65.052142551428574</v>
      </c>
      <c r="Y176" s="778">
        <v>19.712285721428572</v>
      </c>
    </row>
    <row r="177" spans="15:25">
      <c r="P177" s="277">
        <v>18</v>
      </c>
      <c r="Q177" s="778">
        <v>14.46657139914373</v>
      </c>
      <c r="R177" s="778">
        <v>9.2318571635654951</v>
      </c>
      <c r="S177" s="778">
        <v>77.381712777273933</v>
      </c>
      <c r="T177" s="778">
        <v>45.077285766601527</v>
      </c>
      <c r="U177" s="778">
        <v>11.102999959673172</v>
      </c>
      <c r="V177" s="778">
        <v>9.9751769474574132</v>
      </c>
      <c r="W177" s="778">
        <v>1.68928570406777</v>
      </c>
      <c r="X177" s="778">
        <v>54.70571463448654</v>
      </c>
      <c r="Y177" s="778">
        <v>14.60414287022177</v>
      </c>
    </row>
    <row r="178" spans="15:25">
      <c r="P178" s="277">
        <v>19</v>
      </c>
      <c r="Q178" s="778">
        <v>14.411857195714287</v>
      </c>
      <c r="R178" s="778">
        <v>11.184000082714286</v>
      </c>
      <c r="S178" s="778">
        <v>111.58071461571429</v>
      </c>
      <c r="T178" s="778">
        <v>143.95242746</v>
      </c>
      <c r="U178" s="778">
        <v>28.217143328571431</v>
      </c>
      <c r="V178" s="778">
        <v>10.429345675714286</v>
      </c>
      <c r="W178" s="778">
        <v>1.6611428601428571</v>
      </c>
      <c r="X178" s="778">
        <v>100.44000134428572</v>
      </c>
      <c r="Y178" s="778">
        <v>19.104285921428573</v>
      </c>
    </row>
    <row r="179" spans="15:25">
      <c r="P179" s="277">
        <v>20</v>
      </c>
      <c r="Q179" s="778">
        <v>13.445142882210858</v>
      </c>
      <c r="R179" s="778">
        <v>7.7474286215645893</v>
      </c>
      <c r="S179" s="778">
        <v>89.146713256835753</v>
      </c>
      <c r="T179" s="778">
        <v>64.565428597586461</v>
      </c>
      <c r="U179" s="778">
        <v>16.260714122227231</v>
      </c>
      <c r="V179" s="778">
        <v>10.446011407034684</v>
      </c>
      <c r="W179" s="778">
        <v>1.8321428469249157</v>
      </c>
      <c r="X179" s="778">
        <v>77.941428048270041</v>
      </c>
      <c r="Y179" s="778">
        <v>15.358714376177058</v>
      </c>
    </row>
    <row r="180" spans="15:25">
      <c r="P180" s="277">
        <v>21</v>
      </c>
      <c r="Q180" s="778">
        <v>11.638999999999999</v>
      </c>
      <c r="R180" s="778">
        <v>7.3238333333333339</v>
      </c>
      <c r="S180" s="778">
        <v>78.5</v>
      </c>
      <c r="T180" s="778">
        <v>46.94</v>
      </c>
      <c r="U180" s="778">
        <v>12.207000000000001</v>
      </c>
      <c r="V180" s="778">
        <v>10.39517857142857</v>
      </c>
      <c r="W180" s="778">
        <v>1.5392857142857144</v>
      </c>
      <c r="X180" s="778">
        <v>57.008000000000003</v>
      </c>
      <c r="Y180" s="778">
        <v>11.814404761904761</v>
      </c>
    </row>
    <row r="181" spans="15:25">
      <c r="O181" s="277">
        <v>22</v>
      </c>
      <c r="P181" s="277">
        <v>22</v>
      </c>
      <c r="Q181" s="778">
        <v>12.144000052857143</v>
      </c>
      <c r="R181" s="778">
        <v>8.7331427847142855</v>
      </c>
      <c r="S181" s="778">
        <v>72.335334774999993</v>
      </c>
      <c r="T181" s="778">
        <v>42.863000051428571</v>
      </c>
      <c r="U181" s="778">
        <v>12.157142775857142</v>
      </c>
      <c r="V181" s="778">
        <v>10.565415654285715</v>
      </c>
      <c r="W181" s="778">
        <v>1.8451428412857145</v>
      </c>
      <c r="X181" s="778">
        <v>50.488571167142858</v>
      </c>
      <c r="Y181" s="778">
        <v>10.892857143142859</v>
      </c>
    </row>
    <row r="182" spans="15:25">
      <c r="P182" s="582"/>
      <c r="Q182" s="751"/>
      <c r="R182" s="751"/>
      <c r="S182" s="751"/>
      <c r="T182" s="751"/>
      <c r="U182" s="751"/>
      <c r="V182" s="751"/>
      <c r="W182" s="751"/>
      <c r="X182" s="751"/>
      <c r="Y182" s="751"/>
    </row>
    <row r="183" spans="15:25">
      <c r="P183" s="582"/>
      <c r="Q183" s="277" t="s">
        <v>541</v>
      </c>
      <c r="R183" s="277" t="s">
        <v>542</v>
      </c>
      <c r="S183" s="277" t="s">
        <v>259</v>
      </c>
      <c r="T183" s="277" t="s">
        <v>260</v>
      </c>
      <c r="U183" s="277" t="s">
        <v>261</v>
      </c>
      <c r="V183" s="277" t="s">
        <v>262</v>
      </c>
      <c r="W183" s="277" t="s">
        <v>545</v>
      </c>
      <c r="X183" s="277" t="s">
        <v>546</v>
      </c>
      <c r="Y183" s="277" t="s">
        <v>547</v>
      </c>
    </row>
    <row r="184" spans="15:25">
      <c r="P184" s="582"/>
      <c r="Q184" s="751"/>
      <c r="R184" s="751"/>
      <c r="S184" s="751"/>
      <c r="T184" s="751"/>
      <c r="U184" s="751"/>
      <c r="V184" s="751"/>
      <c r="W184" s="751"/>
      <c r="X184" s="751"/>
      <c r="Y184" s="751"/>
    </row>
    <row r="185" spans="15:25">
      <c r="P185" s="582"/>
      <c r="Q185" s="751"/>
      <c r="R185" s="751"/>
      <c r="S185" s="751"/>
      <c r="T185" s="751"/>
      <c r="U185" s="751"/>
      <c r="V185" s="751"/>
      <c r="W185" s="751"/>
      <c r="X185" s="751"/>
      <c r="Y185" s="751"/>
    </row>
    <row r="186" spans="15:25">
      <c r="P186" s="582"/>
      <c r="Q186" s="751"/>
      <c r="R186" s="751"/>
      <c r="S186" s="751"/>
      <c r="T186" s="751"/>
      <c r="U186" s="751"/>
      <c r="V186" s="751"/>
      <c r="W186" s="751"/>
      <c r="X186" s="751"/>
      <c r="Y186" s="751"/>
    </row>
    <row r="187" spans="15:25">
      <c r="P187" s="582"/>
      <c r="Q187" s="751"/>
      <c r="R187" s="751"/>
      <c r="S187" s="751"/>
      <c r="T187" s="751"/>
      <c r="U187" s="751"/>
      <c r="V187" s="751"/>
      <c r="W187" s="751"/>
      <c r="X187" s="751"/>
      <c r="Y187" s="751"/>
    </row>
    <row r="188" spans="15:25">
      <c r="P188" s="582"/>
      <c r="Q188" s="751"/>
      <c r="R188" s="751"/>
      <c r="S188" s="751"/>
      <c r="T188" s="751"/>
      <c r="U188" s="751"/>
      <c r="V188" s="751"/>
      <c r="W188" s="751"/>
      <c r="X188" s="751"/>
      <c r="Y188" s="751"/>
    </row>
    <row r="189" spans="15:25">
      <c r="P189" s="582"/>
      <c r="Q189" s="751"/>
      <c r="R189" s="751"/>
      <c r="S189" s="751"/>
      <c r="T189" s="751"/>
      <c r="U189" s="751"/>
      <c r="V189" s="751"/>
      <c r="W189" s="751"/>
      <c r="X189" s="751"/>
      <c r="Y189" s="751"/>
    </row>
    <row r="190" spans="15:25">
      <c r="P190" s="582"/>
      <c r="Q190" s="751"/>
      <c r="R190" s="751"/>
      <c r="S190" s="751"/>
      <c r="T190" s="751"/>
      <c r="U190" s="751"/>
      <c r="V190" s="751"/>
      <c r="W190" s="751"/>
      <c r="X190" s="751"/>
      <c r="Y190" s="751"/>
    </row>
    <row r="191" spans="15:25">
      <c r="P191" s="582"/>
      <c r="Q191" s="751"/>
      <c r="R191" s="751"/>
      <c r="S191" s="751"/>
      <c r="T191" s="751"/>
      <c r="U191" s="751"/>
      <c r="V191" s="751"/>
      <c r="W191" s="751"/>
      <c r="X191" s="751"/>
      <c r="Y191" s="751"/>
    </row>
    <row r="192" spans="15:25">
      <c r="P192" s="582"/>
      <c r="Q192" s="751"/>
      <c r="R192" s="751"/>
      <c r="S192" s="751"/>
      <c r="T192" s="751"/>
      <c r="U192" s="751"/>
      <c r="V192" s="751"/>
      <c r="W192" s="751"/>
      <c r="X192" s="751"/>
      <c r="Y192" s="751"/>
    </row>
    <row r="193" spans="16:25">
      <c r="P193" s="582"/>
      <c r="Q193" s="751"/>
      <c r="R193" s="751"/>
      <c r="S193" s="751"/>
      <c r="T193" s="751"/>
      <c r="U193" s="751"/>
      <c r="V193" s="751"/>
      <c r="W193" s="751"/>
      <c r="X193" s="751"/>
      <c r="Y193" s="751"/>
    </row>
    <row r="194" spans="16:25">
      <c r="P194" s="582"/>
      <c r="Q194" s="751"/>
      <c r="R194" s="751"/>
      <c r="S194" s="751"/>
      <c r="T194" s="751"/>
      <c r="U194" s="751"/>
      <c r="V194" s="751"/>
      <c r="W194" s="751"/>
      <c r="X194" s="751"/>
      <c r="Y194" s="751"/>
    </row>
    <row r="195" spans="16:25">
      <c r="P195" s="582"/>
      <c r="Q195" s="751"/>
      <c r="R195" s="751"/>
      <c r="S195" s="751"/>
      <c r="T195" s="751"/>
      <c r="U195" s="751"/>
      <c r="V195" s="751"/>
      <c r="W195" s="751"/>
      <c r="X195" s="751"/>
      <c r="Y195" s="751"/>
    </row>
    <row r="196" spans="16:25">
      <c r="P196" s="582"/>
      <c r="Q196" s="751"/>
      <c r="R196" s="751"/>
      <c r="S196" s="751"/>
      <c r="T196" s="751"/>
      <c r="U196" s="751"/>
      <c r="V196" s="751"/>
      <c r="W196" s="751"/>
      <c r="X196" s="751"/>
      <c r="Y196" s="751"/>
    </row>
    <row r="197" spans="16:25">
      <c r="P197" s="582"/>
      <c r="Q197" s="751"/>
      <c r="R197" s="751"/>
      <c r="S197" s="751"/>
      <c r="T197" s="751"/>
      <c r="U197" s="751"/>
      <c r="V197" s="751"/>
      <c r="W197" s="751"/>
      <c r="X197" s="751"/>
      <c r="Y197" s="751"/>
    </row>
    <row r="198" spans="16:25">
      <c r="P198" s="582"/>
      <c r="Q198" s="751"/>
      <c r="R198" s="751"/>
      <c r="S198" s="751"/>
      <c r="T198" s="751"/>
      <c r="U198" s="751"/>
      <c r="V198" s="751"/>
      <c r="W198" s="751"/>
      <c r="X198" s="751"/>
      <c r="Y198" s="751"/>
    </row>
    <row r="199" spans="16:25">
      <c r="P199" s="582"/>
      <c r="Q199" s="751"/>
      <c r="R199" s="751"/>
      <c r="S199" s="751"/>
      <c r="T199" s="751"/>
      <c r="U199" s="751"/>
      <c r="V199" s="751"/>
      <c r="W199" s="751"/>
      <c r="X199" s="751"/>
      <c r="Y199" s="751"/>
    </row>
    <row r="200" spans="16:25">
      <c r="P200" s="582"/>
      <c r="Q200" s="751"/>
      <c r="R200" s="751"/>
      <c r="S200" s="751"/>
      <c r="T200" s="751"/>
      <c r="U200" s="751"/>
      <c r="V200" s="751"/>
      <c r="W200" s="751"/>
      <c r="X200" s="751"/>
      <c r="Y200" s="751"/>
    </row>
    <row r="201" spans="16:25">
      <c r="P201" s="582"/>
      <c r="Q201" s="751"/>
      <c r="R201" s="751"/>
      <c r="S201" s="751"/>
      <c r="T201" s="751"/>
      <c r="U201" s="751"/>
      <c r="V201" s="751"/>
      <c r="W201" s="751"/>
      <c r="X201" s="751"/>
      <c r="Y201" s="751"/>
    </row>
    <row r="202" spans="16:25">
      <c r="P202" s="582"/>
      <c r="Q202" s="751"/>
      <c r="R202" s="751"/>
      <c r="S202" s="751"/>
      <c r="T202" s="751"/>
      <c r="U202" s="751"/>
      <c r="V202" s="751"/>
      <c r="W202" s="751"/>
      <c r="X202" s="751"/>
      <c r="Y202" s="751"/>
    </row>
    <row r="203" spans="16:25">
      <c r="P203" s="582"/>
      <c r="Q203" s="751"/>
      <c r="R203" s="751"/>
      <c r="S203" s="751"/>
      <c r="T203" s="751"/>
      <c r="U203" s="751"/>
      <c r="V203" s="751"/>
      <c r="W203" s="751"/>
      <c r="X203" s="751"/>
      <c r="Y203" s="751"/>
    </row>
    <row r="204" spans="16:25">
      <c r="P204" s="582"/>
      <c r="Q204" s="751"/>
      <c r="R204" s="751"/>
      <c r="S204" s="751"/>
      <c r="T204" s="751"/>
      <c r="U204" s="751"/>
      <c r="V204" s="751"/>
      <c r="W204" s="751"/>
      <c r="X204" s="751"/>
      <c r="Y204" s="751"/>
    </row>
    <row r="205" spans="16:25">
      <c r="P205" s="582"/>
      <c r="Q205" s="751"/>
      <c r="R205" s="751"/>
      <c r="S205" s="751"/>
      <c r="T205" s="751"/>
      <c r="U205" s="751"/>
      <c r="V205" s="751"/>
      <c r="W205" s="751"/>
      <c r="X205" s="751"/>
      <c r="Y205" s="751"/>
    </row>
    <row r="206" spans="16:25">
      <c r="P206" s="582"/>
      <c r="Q206" s="751"/>
      <c r="R206" s="751"/>
      <c r="S206" s="751"/>
      <c r="T206" s="751"/>
      <c r="U206" s="751"/>
      <c r="V206" s="751"/>
      <c r="W206" s="751"/>
      <c r="X206" s="751"/>
      <c r="Y206" s="751"/>
    </row>
    <row r="207" spans="16:25">
      <c r="P207" s="582"/>
      <c r="Q207" s="751"/>
      <c r="R207" s="751"/>
      <c r="S207" s="751"/>
      <c r="T207" s="751"/>
      <c r="U207" s="751"/>
      <c r="V207" s="751"/>
      <c r="W207" s="751"/>
      <c r="X207" s="751"/>
      <c r="Y207" s="751"/>
    </row>
    <row r="208" spans="16:25">
      <c r="P208" s="582"/>
      <c r="Q208" s="751"/>
      <c r="R208" s="751"/>
      <c r="S208" s="751"/>
      <c r="T208" s="751"/>
      <c r="U208" s="751"/>
      <c r="V208" s="751"/>
      <c r="W208" s="751"/>
      <c r="X208" s="751"/>
      <c r="Y208" s="751"/>
    </row>
    <row r="209" spans="16:25">
      <c r="P209" s="582"/>
      <c r="Q209" s="751"/>
      <c r="R209" s="751"/>
      <c r="S209" s="751"/>
      <c r="T209" s="751"/>
      <c r="U209" s="751"/>
      <c r="V209" s="751"/>
      <c r="W209" s="751"/>
      <c r="X209" s="751"/>
      <c r="Y209" s="751"/>
    </row>
    <row r="210" spans="16:25">
      <c r="P210" s="582"/>
      <c r="Q210" s="751"/>
      <c r="R210" s="751"/>
      <c r="S210" s="751"/>
      <c r="T210" s="751"/>
      <c r="U210" s="751"/>
      <c r="V210" s="751"/>
      <c r="W210" s="751"/>
      <c r="X210" s="751"/>
      <c r="Y210" s="751"/>
    </row>
    <row r="211" spans="16:25">
      <c r="P211" s="582"/>
      <c r="Q211" s="751"/>
      <c r="R211" s="751"/>
      <c r="S211" s="751"/>
      <c r="T211" s="751"/>
      <c r="U211" s="751"/>
      <c r="V211" s="751"/>
      <c r="W211" s="751"/>
      <c r="X211" s="751"/>
      <c r="Y211" s="751"/>
    </row>
    <row r="212" spans="16:25">
      <c r="P212"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J3" sqref="J3"/>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90" t="s">
        <v>429</v>
      </c>
      <c r="B2" s="890"/>
      <c r="C2" s="890"/>
      <c r="D2" s="890"/>
      <c r="E2" s="890"/>
      <c r="F2" s="890"/>
      <c r="G2" s="890"/>
      <c r="H2" s="890"/>
      <c r="I2" s="890"/>
      <c r="J2" s="890"/>
      <c r="K2" s="890"/>
    </row>
    <row r="3" spans="1:15" ht="11.25" customHeight="1">
      <c r="A3" s="18"/>
      <c r="B3" s="18"/>
      <c r="C3" s="18"/>
      <c r="D3" s="18"/>
      <c r="E3" s="18"/>
      <c r="F3" s="18"/>
      <c r="G3" s="18"/>
      <c r="H3" s="18"/>
      <c r="I3" s="18"/>
      <c r="J3" s="509"/>
      <c r="K3" s="509"/>
      <c r="L3" s="664"/>
    </row>
    <row r="4" spans="1:15" ht="11.25" customHeight="1">
      <c r="A4" s="876" t="s">
        <v>369</v>
      </c>
      <c r="B4" s="876"/>
      <c r="C4" s="876"/>
      <c r="D4" s="876"/>
      <c r="E4" s="876"/>
      <c r="F4" s="876"/>
      <c r="G4" s="876"/>
      <c r="H4" s="876"/>
      <c r="I4" s="183"/>
      <c r="J4" s="510"/>
      <c r="L4" s="664"/>
    </row>
    <row r="5" spans="1:15" ht="7.5" customHeight="1">
      <c r="A5" s="184"/>
      <c r="B5" s="184"/>
      <c r="C5" s="184"/>
      <c r="D5" s="184"/>
      <c r="E5" s="184"/>
      <c r="F5" s="184"/>
      <c r="G5" s="184"/>
      <c r="H5" s="184"/>
      <c r="I5" s="184"/>
      <c r="J5" s="511"/>
      <c r="L5" s="720"/>
    </row>
    <row r="6" spans="1:15" ht="11.25" customHeight="1">
      <c r="A6" s="184"/>
      <c r="B6" s="188" t="s">
        <v>370</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(61,98 USD/MWh)</v>
      </c>
    </row>
    <row r="9" spans="1:15" ht="18" customHeight="1">
      <c r="A9" s="184"/>
      <c r="B9" s="382" t="s">
        <v>165</v>
      </c>
      <c r="C9" s="266">
        <v>61.980025514636637</v>
      </c>
      <c r="D9" s="266">
        <v>60.848486275501941</v>
      </c>
      <c r="E9" s="266">
        <v>60.105818082045602</v>
      </c>
      <c r="F9" s="266">
        <v>59.640232208564775</v>
      </c>
      <c r="G9" s="266">
        <v>59.717980764274664</v>
      </c>
      <c r="H9" s="180"/>
      <c r="I9" s="180"/>
      <c r="J9" s="512"/>
      <c r="K9" s="512"/>
      <c r="L9" s="723"/>
      <c r="M9" s="519" t="s">
        <v>161</v>
      </c>
      <c r="N9" s="547" t="str">
        <f>M9&amp;"
("&amp;ROUND(HLOOKUP(M9,$C$8:$G$9,2,0),2)&amp;" USD/MWh)"</f>
        <v>CHICLAYO 220
(60,85 USD/MWh)</v>
      </c>
    </row>
    <row r="10" spans="1:15" ht="14.25" customHeight="1">
      <c r="A10" s="184"/>
      <c r="B10" s="914"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914"/>
      <c r="D10" s="914"/>
      <c r="E10" s="914"/>
      <c r="F10" s="914"/>
      <c r="G10" s="914"/>
      <c r="H10" s="914"/>
      <c r="I10" s="914"/>
      <c r="J10" s="512"/>
      <c r="K10" s="512"/>
      <c r="L10" s="723"/>
      <c r="M10" s="519" t="s">
        <v>163</v>
      </c>
      <c r="N10" s="547" t="str">
        <f>M10&amp;"
("&amp;ROUND(HLOOKUP(M10,$C$8:$G$9,2,0),2)&amp;" USD/MWh)"</f>
        <v>TRUJILLO 220
(60,11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(59,64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(59,72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423</v>
      </c>
      <c r="N14" s="547" t="str">
        <f>M14&amp;"
("&amp;ROUND(HLOOKUP(M14,$C$26:$I$27,2,0),2)&amp;" USD/MWh)"</f>
        <v>CHAVARRIA 220
(57,62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(57,84 USD/MWh)</v>
      </c>
    </row>
    <row r="16" spans="1:15" ht="11.25" customHeight="1">
      <c r="A16" s="184"/>
      <c r="B16" s="180"/>
      <c r="C16" s="180"/>
      <c r="D16" s="180"/>
      <c r="E16" s="180"/>
      <c r="F16" s="180"/>
      <c r="G16" s="180"/>
      <c r="H16" s="180"/>
      <c r="I16" s="180"/>
      <c r="J16" s="512"/>
      <c r="K16" s="512"/>
      <c r="L16" s="723"/>
      <c r="M16" s="519" t="s">
        <v>169</v>
      </c>
      <c r="N16" s="547" t="str">
        <f t="shared" si="0"/>
        <v>CARABAYLLO 220
(57,88 USD/MWh)</v>
      </c>
    </row>
    <row r="17" spans="1:14" ht="11.25" customHeight="1">
      <c r="A17" s="184"/>
      <c r="B17" s="180"/>
      <c r="C17" s="180"/>
      <c r="D17" s="180"/>
      <c r="E17" s="180"/>
      <c r="F17" s="180"/>
      <c r="G17" s="180"/>
      <c r="H17" s="180"/>
      <c r="I17" s="180"/>
      <c r="J17" s="512"/>
      <c r="K17" s="512"/>
      <c r="L17" s="723"/>
      <c r="M17" s="519" t="s">
        <v>166</v>
      </c>
      <c r="N17" s="547" t="str">
        <f t="shared" si="0"/>
        <v>SANTA ROSA 220
(57,27 USD/MWh)</v>
      </c>
    </row>
    <row r="18" spans="1:14" ht="11.25" customHeight="1">
      <c r="A18" s="184"/>
      <c r="B18" s="180"/>
      <c r="C18" s="180"/>
      <c r="D18" s="180"/>
      <c r="E18" s="180"/>
      <c r="F18" s="180"/>
      <c r="G18" s="180"/>
      <c r="H18" s="180"/>
      <c r="I18" s="180"/>
      <c r="J18" s="512"/>
      <c r="K18" s="512"/>
      <c r="L18" s="723"/>
      <c r="M18" s="519" t="s">
        <v>167</v>
      </c>
      <c r="N18" s="547" t="str">
        <f t="shared" si="0"/>
        <v>SAN JUAN 220
(56,66 USD/MWh)</v>
      </c>
    </row>
    <row r="19" spans="1:14" ht="11.25" customHeight="1">
      <c r="A19" s="184"/>
      <c r="B19" s="180"/>
      <c r="C19" s="180"/>
      <c r="D19" s="180"/>
      <c r="E19" s="180"/>
      <c r="F19" s="180"/>
      <c r="G19" s="180"/>
      <c r="H19" s="180"/>
      <c r="I19" s="180"/>
      <c r="J19" s="512"/>
      <c r="K19" s="512"/>
      <c r="L19" s="725"/>
      <c r="M19" s="519" t="s">
        <v>170</v>
      </c>
      <c r="N19" s="547" t="str">
        <f t="shared" si="0"/>
        <v>POMACOCHA 220
(56,46 USD/MWh)</v>
      </c>
    </row>
    <row r="20" spans="1:14" ht="11.25" customHeight="1">
      <c r="A20" s="184"/>
      <c r="B20" s="190"/>
      <c r="C20" s="190"/>
      <c r="D20" s="190"/>
      <c r="E20" s="190"/>
      <c r="F20" s="190"/>
      <c r="G20" s="180"/>
      <c r="H20" s="180"/>
      <c r="I20" s="180"/>
      <c r="J20" s="512"/>
      <c r="K20" s="512"/>
      <c r="L20" s="723"/>
      <c r="M20" s="519" t="s">
        <v>171</v>
      </c>
      <c r="N20" s="547" t="str">
        <f t="shared" si="0"/>
        <v>OROYA NUEVA 50
(55,84 USD/MWh)</v>
      </c>
    </row>
    <row r="21" spans="1:14" ht="11.25" customHeight="1">
      <c r="A21" s="184"/>
      <c r="B21" s="915" t="str">
        <f>"Gráfico N°20: Costos marginales medios registrados en las principales barras del área norte durante el mes de "&amp;'1. Resumen'!Q4</f>
        <v>Gráfico N°20: Costos marginales medios registrados en las principales barras del área norte durante el mes de mayo</v>
      </c>
      <c r="C21" s="915"/>
      <c r="D21" s="915"/>
      <c r="E21" s="915"/>
      <c r="F21" s="915"/>
      <c r="G21" s="915"/>
      <c r="H21" s="915"/>
      <c r="I21" s="915"/>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(64,37 USD/MWh)</v>
      </c>
    </row>
    <row r="24" spans="1:14" ht="11.25" customHeight="1">
      <c r="A24" s="184"/>
      <c r="B24" s="189" t="s">
        <v>371</v>
      </c>
      <c r="C24" s="186"/>
      <c r="D24" s="186"/>
      <c r="E24" s="186"/>
      <c r="F24" s="186"/>
      <c r="G24" s="184"/>
      <c r="H24" s="184"/>
      <c r="I24" s="184"/>
      <c r="J24" s="511"/>
      <c r="K24" s="511"/>
      <c r="L24" s="721"/>
      <c r="M24" s="519" t="s">
        <v>173</v>
      </c>
      <c r="N24" s="547" t="str">
        <f t="shared" si="1"/>
        <v>PUNO 138
(63,64 USD/MWh)</v>
      </c>
    </row>
    <row r="25" spans="1:14" ht="6.75" customHeight="1">
      <c r="A25" s="184"/>
      <c r="B25" s="186"/>
      <c r="C25" s="186"/>
      <c r="D25" s="186"/>
      <c r="E25" s="186"/>
      <c r="F25" s="186"/>
      <c r="G25" s="184"/>
      <c r="H25" s="184"/>
      <c r="I25" s="184"/>
      <c r="J25" s="511"/>
      <c r="K25" s="511"/>
      <c r="L25" s="721"/>
      <c r="M25" s="519" t="s">
        <v>174</v>
      </c>
      <c r="N25" s="547" t="str">
        <f t="shared" si="1"/>
        <v>SOCABAYA 220
(62,48 USD/MWh)</v>
      </c>
    </row>
    <row r="26" spans="1:14" ht="25.5" customHeight="1">
      <c r="A26" s="184"/>
      <c r="B26" s="383" t="s">
        <v>159</v>
      </c>
      <c r="C26" s="380" t="s">
        <v>423</v>
      </c>
      <c r="D26" s="380" t="s">
        <v>166</v>
      </c>
      <c r="E26" s="380" t="s">
        <v>169</v>
      </c>
      <c r="F26" s="380" t="s">
        <v>167</v>
      </c>
      <c r="G26" s="380" t="s">
        <v>168</v>
      </c>
      <c r="H26" s="380" t="s">
        <v>170</v>
      </c>
      <c r="I26" s="381" t="s">
        <v>171</v>
      </c>
      <c r="J26" s="514"/>
      <c r="K26" s="512"/>
      <c r="L26" s="723"/>
      <c r="M26" s="519" t="s">
        <v>175</v>
      </c>
      <c r="N26" s="547" t="str">
        <f t="shared" si="1"/>
        <v>MOQUEGUA 138
(62,54 USD/MWh)</v>
      </c>
    </row>
    <row r="27" spans="1:14" ht="18" customHeight="1">
      <c r="A27" s="184"/>
      <c r="B27" s="384" t="s">
        <v>165</v>
      </c>
      <c r="C27" s="266">
        <v>57.619654426796146</v>
      </c>
      <c r="D27" s="266">
        <v>57.268981194294525</v>
      </c>
      <c r="E27" s="266">
        <v>57.878006661110632</v>
      </c>
      <c r="F27" s="266">
        <v>56.658802444725218</v>
      </c>
      <c r="G27" s="266">
        <v>57.843666214744097</v>
      </c>
      <c r="H27" s="266">
        <v>56.463529416209596</v>
      </c>
      <c r="I27" s="266">
        <v>55.843936450503058</v>
      </c>
      <c r="J27" s="515"/>
      <c r="K27" s="512"/>
      <c r="L27" s="723"/>
      <c r="M27" s="519" t="s">
        <v>176</v>
      </c>
      <c r="N27" s="547" t="str">
        <f t="shared" si="1"/>
        <v>DOLORESPATA 138
(59,98 USD/MWh)</v>
      </c>
    </row>
    <row r="28" spans="1:14" ht="19.5" customHeight="1">
      <c r="A28" s="184"/>
      <c r="B28" s="916"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916"/>
      <c r="D28" s="916"/>
      <c r="E28" s="916"/>
      <c r="F28" s="916"/>
      <c r="G28" s="916"/>
      <c r="H28" s="916"/>
      <c r="I28" s="916"/>
      <c r="J28" s="512"/>
      <c r="K28" s="512"/>
      <c r="L28" s="723"/>
      <c r="M28" s="519" t="s">
        <v>177</v>
      </c>
      <c r="N28" s="547" t="str">
        <f t="shared" si="1"/>
        <v>COTARUSE 220
(59,63 USD/MWh)</v>
      </c>
    </row>
    <row r="29" spans="1:14" ht="11.25" customHeight="1">
      <c r="A29" s="184"/>
      <c r="B29" s="190"/>
      <c r="C29" s="190"/>
      <c r="D29" s="190"/>
      <c r="E29" s="190"/>
      <c r="F29" s="190"/>
      <c r="G29" s="190"/>
      <c r="H29" s="190"/>
      <c r="I29" s="190"/>
      <c r="J29" s="516"/>
      <c r="K29" s="516"/>
      <c r="L29" s="723"/>
      <c r="M29" s="519" t="s">
        <v>178</v>
      </c>
      <c r="N29" s="547" t="str">
        <f t="shared" si="1"/>
        <v>SAN GABAN 138
(59,01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14" t="str">
        <f>"Gráfico N°21: Costos marginales medios registrados en las principales barras del área centro durante el mes de "&amp;'1. Resumen'!Q4</f>
        <v>Gráfico N°21: Costos marginales medios registrados en las principales barras del área centro durante el mes de mayo</v>
      </c>
      <c r="C40" s="914"/>
      <c r="D40" s="914"/>
      <c r="E40" s="914"/>
      <c r="F40" s="914"/>
      <c r="G40" s="914"/>
      <c r="H40" s="914"/>
      <c r="I40" s="914"/>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372</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64.365560904399885</v>
      </c>
      <c r="D46" s="266">
        <v>62.479299586991132</v>
      </c>
      <c r="E46" s="266">
        <v>62.543526261148415</v>
      </c>
      <c r="F46" s="266">
        <v>63.638416959065673</v>
      </c>
      <c r="G46" s="266">
        <v>59.977720993002848</v>
      </c>
      <c r="H46" s="266">
        <v>59.6329037350405</v>
      </c>
      <c r="I46" s="266">
        <v>59.00624119499544</v>
      </c>
      <c r="J46" s="515"/>
      <c r="K46" s="516"/>
    </row>
    <row r="47" spans="1:12" ht="18" customHeight="1">
      <c r="A47" s="184"/>
      <c r="B47" s="916" t="str">
        <f>"Cuadro N°13: Valor de los costos marginales medios registrados en las principales barras del área sur durante el mes de "&amp;'1. Resumen'!Q4</f>
        <v>Cuadro N°13: Valor de los costos marginales medios registrados en las principales barras del área sur durante el mes de mayo</v>
      </c>
      <c r="C47" s="916"/>
      <c r="D47" s="916"/>
      <c r="E47" s="916"/>
      <c r="F47" s="916"/>
      <c r="G47" s="916"/>
      <c r="H47" s="916"/>
      <c r="I47" s="916"/>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14" t="str">
        <f>"Gráfico N°22: Costos marginales medios registrados en las principales barras del área sur durante el mes de "&amp;'1. Resumen'!Q4</f>
        <v>Gráfico N°22: Costos marginales medios registrados en las principales barras del área sur durante el mes de mayo</v>
      </c>
      <c r="C58" s="914"/>
      <c r="D58" s="914"/>
      <c r="E58" s="914"/>
      <c r="F58" s="914"/>
      <c r="G58" s="914"/>
      <c r="H58" s="914"/>
      <c r="I58" s="914"/>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J3" sqref="J3"/>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76" t="s">
        <v>374</v>
      </c>
      <c r="B2" s="876"/>
      <c r="C2" s="876"/>
      <c r="D2" s="876"/>
      <c r="E2" s="876"/>
      <c r="F2" s="876"/>
      <c r="G2" s="876"/>
      <c r="H2" s="876"/>
      <c r="I2" s="876"/>
      <c r="J2" s="876"/>
      <c r="K2" s="876"/>
      <c r="L2" s="87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4"/>
  <sheetViews>
    <sheetView showGridLines="0" view="pageBreakPreview" zoomScaleNormal="100" zoomScaleSheetLayoutView="100" zoomScalePageLayoutView="115" workbookViewId="0">
      <selection activeCell="J3" sqref="J3"/>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17" t="s">
        <v>373</v>
      </c>
      <c r="B2" s="917"/>
      <c r="C2" s="917"/>
      <c r="D2" s="917"/>
      <c r="E2" s="917"/>
      <c r="F2" s="917"/>
      <c r="G2" s="917"/>
      <c r="H2" s="917"/>
      <c r="I2" s="203"/>
      <c r="J2" s="203"/>
      <c r="K2" s="203"/>
    </row>
    <row r="3" spans="1:12" ht="3" customHeight="1">
      <c r="A3" s="77"/>
      <c r="B3" s="77"/>
      <c r="C3" s="77"/>
      <c r="D3" s="77"/>
      <c r="E3" s="77"/>
      <c r="F3" s="77"/>
      <c r="G3" s="77"/>
      <c r="H3" s="77"/>
      <c r="I3" s="204"/>
      <c r="J3" s="204"/>
      <c r="K3" s="204"/>
      <c r="L3" s="36"/>
    </row>
    <row r="4" spans="1:12" ht="15" customHeight="1">
      <c r="A4" s="908" t="s">
        <v>420</v>
      </c>
      <c r="B4" s="908"/>
      <c r="C4" s="908"/>
      <c r="D4" s="908"/>
      <c r="E4" s="908"/>
      <c r="F4" s="908"/>
      <c r="G4" s="908"/>
      <c r="H4" s="908"/>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MAYO
 2023</v>
      </c>
      <c r="E6" s="402" t="str">
        <f>UPPER('1. Resumen'!Q4)&amp;"
 "&amp;'1. Resumen'!Q5-1</f>
        <v>MAYO
 2022</v>
      </c>
      <c r="F6" s="402" t="str">
        <f>UPPER('1. Resumen'!Q4)&amp;"
 "&amp;'1. Resumen'!Q5-2</f>
        <v>MAYO
 2021</v>
      </c>
      <c r="G6" s="403" t="s">
        <v>591</v>
      </c>
      <c r="H6" s="404" t="s">
        <v>527</v>
      </c>
      <c r="I6" s="196"/>
      <c r="J6" s="196"/>
      <c r="K6" s="196"/>
      <c r="L6" s="166"/>
    </row>
    <row r="7" spans="1:12" ht="18" customHeight="1">
      <c r="A7" s="826" t="s">
        <v>551</v>
      </c>
      <c r="B7" s="577" t="s">
        <v>552</v>
      </c>
      <c r="C7" s="578" t="s">
        <v>553</v>
      </c>
      <c r="D7" s="579">
        <v>3.2500000000000004</v>
      </c>
      <c r="E7" s="579"/>
      <c r="F7" s="579"/>
      <c r="G7" s="770"/>
      <c r="H7" s="770"/>
      <c r="I7" s="196"/>
      <c r="J7" s="196"/>
      <c r="K7" s="196"/>
      <c r="L7" s="58"/>
    </row>
    <row r="8" spans="1:12" ht="18" customHeight="1">
      <c r="A8" s="918" t="s">
        <v>182</v>
      </c>
      <c r="B8" s="577" t="s">
        <v>602</v>
      </c>
      <c r="C8" s="578" t="s">
        <v>603</v>
      </c>
      <c r="D8" s="579">
        <v>1.3499999999999992</v>
      </c>
      <c r="E8" s="579"/>
      <c r="F8" s="579"/>
      <c r="G8" s="770"/>
      <c r="H8" s="770"/>
      <c r="I8" s="196"/>
      <c r="J8" s="196"/>
      <c r="K8" s="196"/>
      <c r="L8" s="58"/>
    </row>
    <row r="9" spans="1:12" ht="18" customHeight="1">
      <c r="A9" s="919"/>
      <c r="B9" s="577" t="s">
        <v>604</v>
      </c>
      <c r="C9" s="578" t="s">
        <v>605</v>
      </c>
      <c r="D9" s="579">
        <v>4.8166666666666673</v>
      </c>
      <c r="E9" s="579"/>
      <c r="F9" s="579"/>
      <c r="G9" s="770"/>
      <c r="H9" s="770"/>
      <c r="I9" s="196"/>
      <c r="J9" s="196"/>
      <c r="K9" s="196"/>
      <c r="L9" s="58"/>
    </row>
    <row r="10" spans="1:12" ht="18" customHeight="1">
      <c r="A10" s="919"/>
      <c r="B10" s="577" t="s">
        <v>606</v>
      </c>
      <c r="C10" s="578" t="s">
        <v>607</v>
      </c>
      <c r="D10" s="579">
        <v>3</v>
      </c>
      <c r="E10" s="579"/>
      <c r="F10" s="579"/>
      <c r="G10" s="770"/>
      <c r="H10" s="770"/>
      <c r="I10" s="196"/>
      <c r="J10" s="196"/>
      <c r="K10" s="196"/>
      <c r="L10" s="58"/>
    </row>
    <row r="11" spans="1:12" ht="18" customHeight="1">
      <c r="A11" s="919"/>
      <c r="B11" s="577" t="s">
        <v>608</v>
      </c>
      <c r="C11" s="578" t="s">
        <v>609</v>
      </c>
      <c r="D11" s="579">
        <v>1.3499999999999992</v>
      </c>
      <c r="E11" s="579"/>
      <c r="F11" s="579"/>
      <c r="G11" s="770"/>
      <c r="H11" s="770"/>
      <c r="I11" s="196"/>
      <c r="J11" s="196"/>
      <c r="K11" s="196"/>
      <c r="L11" s="58"/>
    </row>
    <row r="12" spans="1:12" ht="18" customHeight="1">
      <c r="A12" s="919"/>
      <c r="B12" s="577" t="s">
        <v>589</v>
      </c>
      <c r="C12" s="578" t="s">
        <v>590</v>
      </c>
      <c r="D12" s="579"/>
      <c r="E12" s="579">
        <v>2.6666666666666652</v>
      </c>
      <c r="F12" s="579"/>
      <c r="G12" s="770">
        <f t="shared" ref="G12:G16" si="0">+D12/E12-1</f>
        <v>-1</v>
      </c>
      <c r="H12" s="770"/>
      <c r="I12" s="196"/>
      <c r="J12" s="196"/>
      <c r="K12" s="196"/>
      <c r="L12" s="58"/>
    </row>
    <row r="13" spans="1:12" ht="18" customHeight="1">
      <c r="A13" s="919"/>
      <c r="B13" s="577" t="s">
        <v>538</v>
      </c>
      <c r="C13" s="578" t="s">
        <v>536</v>
      </c>
      <c r="D13" s="579"/>
      <c r="E13" s="579">
        <v>11.566666666666666</v>
      </c>
      <c r="F13" s="579">
        <v>226.63333333333338</v>
      </c>
      <c r="G13" s="770">
        <f t="shared" si="0"/>
        <v>-1</v>
      </c>
      <c r="H13" s="770">
        <f t="shared" ref="H13:H19" si="1">+E13/F13-1</f>
        <v>-0.94896308280629504</v>
      </c>
      <c r="I13" s="196"/>
      <c r="J13" s="196"/>
      <c r="K13" s="196"/>
      <c r="L13" s="58"/>
    </row>
    <row r="14" spans="1:12" ht="18" customHeight="1">
      <c r="A14" s="919"/>
      <c r="B14" s="577" t="s">
        <v>628</v>
      </c>
      <c r="C14" s="578" t="s">
        <v>629</v>
      </c>
      <c r="D14" s="579"/>
      <c r="E14" s="579"/>
      <c r="F14" s="579">
        <v>21.1</v>
      </c>
      <c r="G14" s="770"/>
      <c r="H14" s="770">
        <f t="shared" si="1"/>
        <v>-1</v>
      </c>
      <c r="I14" s="196"/>
      <c r="J14" s="196"/>
      <c r="K14" s="196"/>
      <c r="L14" s="58"/>
    </row>
    <row r="15" spans="1:12" ht="18" customHeight="1">
      <c r="A15" s="919"/>
      <c r="B15" s="577" t="s">
        <v>630</v>
      </c>
      <c r="C15" s="578" t="s">
        <v>631</v>
      </c>
      <c r="D15" s="579">
        <v>17.833333333333332</v>
      </c>
      <c r="E15" s="579">
        <v>12.933333333333334</v>
      </c>
      <c r="F15" s="579">
        <v>12.81666666666667</v>
      </c>
      <c r="G15" s="770">
        <f t="shared" si="0"/>
        <v>0.37886597938144329</v>
      </c>
      <c r="H15" s="770">
        <f t="shared" si="1"/>
        <v>9.1027308192455081E-3</v>
      </c>
      <c r="I15" s="196"/>
      <c r="J15" s="196"/>
      <c r="K15" s="196"/>
      <c r="L15" s="58"/>
    </row>
    <row r="16" spans="1:12" ht="18" customHeight="1">
      <c r="A16" s="919"/>
      <c r="B16" s="577" t="s">
        <v>632</v>
      </c>
      <c r="C16" s="578" t="s">
        <v>536</v>
      </c>
      <c r="D16" s="579"/>
      <c r="E16" s="579">
        <v>3.3333333333333321</v>
      </c>
      <c r="F16" s="579"/>
      <c r="G16" s="770">
        <f t="shared" si="0"/>
        <v>-1</v>
      </c>
      <c r="H16" s="770"/>
      <c r="I16" s="196"/>
      <c r="J16" s="196"/>
      <c r="K16" s="196"/>
      <c r="L16" s="58"/>
    </row>
    <row r="17" spans="1:12" ht="18" customHeight="1">
      <c r="A17" s="919"/>
      <c r="B17" s="577" t="s">
        <v>633</v>
      </c>
      <c r="C17" s="578" t="s">
        <v>633</v>
      </c>
      <c r="D17" s="579">
        <v>4.8833333333333337</v>
      </c>
      <c r="E17" s="579"/>
      <c r="F17" s="579"/>
      <c r="G17" s="770"/>
      <c r="H17" s="770"/>
      <c r="I17" s="196"/>
      <c r="J17" s="196"/>
      <c r="K17" s="196"/>
      <c r="L17" s="58"/>
    </row>
    <row r="18" spans="1:12" ht="18" customHeight="1">
      <c r="A18" s="920"/>
      <c r="B18" s="577" t="s">
        <v>634</v>
      </c>
      <c r="C18" s="578" t="s">
        <v>634</v>
      </c>
      <c r="D18" s="579">
        <v>9.1833333333333336</v>
      </c>
      <c r="E18" s="579"/>
      <c r="F18" s="579"/>
      <c r="G18" s="770"/>
      <c r="H18" s="770"/>
      <c r="I18" s="196"/>
      <c r="J18" s="196"/>
      <c r="K18" s="196"/>
      <c r="L18" s="58"/>
    </row>
    <row r="19" spans="1:12" ht="18" customHeight="1">
      <c r="A19" s="836" t="s">
        <v>182</v>
      </c>
      <c r="B19" s="577" t="s">
        <v>635</v>
      </c>
      <c r="C19" s="578" t="s">
        <v>636</v>
      </c>
      <c r="D19" s="579"/>
      <c r="E19" s="579"/>
      <c r="F19" s="579">
        <v>0.91666666666666874</v>
      </c>
      <c r="G19" s="770"/>
      <c r="H19" s="770">
        <f t="shared" si="1"/>
        <v>-1</v>
      </c>
      <c r="I19" s="196"/>
      <c r="J19" s="196"/>
      <c r="K19" s="196"/>
      <c r="L19" s="58"/>
    </row>
    <row r="20" spans="1:12" ht="18.75" customHeight="1">
      <c r="A20" s="396" t="s">
        <v>183</v>
      </c>
      <c r="B20" s="397"/>
      <c r="C20" s="398"/>
      <c r="D20" s="399">
        <f>SUM(D7:D19)</f>
        <v>45.666666666666671</v>
      </c>
      <c r="E20" s="399">
        <f>SUM(E7:E19)</f>
        <v>30.499999999999996</v>
      </c>
      <c r="F20" s="399">
        <f>SUM(F7:F19)</f>
        <v>261.46666666666675</v>
      </c>
      <c r="G20" s="544"/>
      <c r="H20" s="544"/>
      <c r="I20" s="196"/>
      <c r="J20" s="196"/>
      <c r="K20" s="197"/>
      <c r="L20" s="206"/>
    </row>
    <row r="21" spans="1:12" ht="11.25" customHeight="1">
      <c r="A21" s="264" t="str">
        <f>"Cuadro N° 14: Horas de operación de los principales equipos de congestión en "&amp;'1. Resumen'!Q4</f>
        <v>Cuadro N° 14: Horas de operación de los principales equipos de congestión en mayo</v>
      </c>
      <c r="B21" s="208"/>
      <c r="C21" s="209"/>
      <c r="D21" s="210"/>
      <c r="E21" s="210"/>
      <c r="F21" s="211"/>
      <c r="G21" s="76"/>
      <c r="H21" s="82"/>
      <c r="I21" s="196"/>
      <c r="J21" s="196"/>
      <c r="K21" s="197"/>
      <c r="L21" s="206"/>
    </row>
    <row r="22" spans="1:12" ht="11.25" customHeight="1">
      <c r="A22" s="137"/>
      <c r="B22" s="208"/>
      <c r="C22" s="209"/>
      <c r="D22" s="210"/>
      <c r="E22" s="210"/>
      <c r="F22" s="211"/>
      <c r="G22" s="76"/>
      <c r="H22" s="76"/>
      <c r="I22" s="196"/>
      <c r="J22" s="196"/>
      <c r="K22" s="197"/>
      <c r="L22" s="206"/>
    </row>
    <row r="23" spans="1:12" ht="11.25" customHeight="1">
      <c r="A23" s="137"/>
      <c r="B23" s="208"/>
      <c r="C23" s="209"/>
      <c r="D23" s="210"/>
      <c r="E23" s="210"/>
      <c r="F23" s="211"/>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7"/>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6"/>
      <c r="L29" s="58"/>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8"/>
      <c r="L45" s="206"/>
    </row>
    <row r="46" spans="1:12" ht="11.25" customHeight="1">
      <c r="A46" s="77"/>
      <c r="B46" s="77"/>
      <c r="C46" s="77"/>
      <c r="D46" s="77"/>
      <c r="E46" s="77"/>
      <c r="F46" s="77"/>
      <c r="G46" s="77"/>
      <c r="H46" s="77"/>
      <c r="I46" s="196"/>
      <c r="J46" s="196"/>
      <c r="K46" s="198"/>
      <c r="L46" s="206"/>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1.25" customHeight="1">
      <c r="A53" s="77"/>
      <c r="B53" s="77"/>
      <c r="C53" s="77"/>
      <c r="D53" s="77"/>
      <c r="E53" s="77"/>
      <c r="F53" s="77"/>
      <c r="G53" s="77"/>
      <c r="H53" s="77"/>
      <c r="I53" s="196"/>
      <c r="J53" s="196"/>
      <c r="K53" s="199"/>
      <c r="L53" s="59"/>
    </row>
    <row r="54" spans="1:12">
      <c r="A54" s="264" t="str">
        <f>"Gráfico N° 23: Comparación de las horas de operación de los principales equipos de congestión en "&amp;'1. Resumen'!Q4&amp;"."</f>
        <v>Gráfico N° 23: Comparación de las horas de operación de los principales equipos de congestión en mayo.</v>
      </c>
      <c r="B54" s="31"/>
      <c r="C54" s="31"/>
      <c r="D54" s="31"/>
      <c r="E54" s="31"/>
      <c r="F54" s="31"/>
      <c r="G54" s="31"/>
      <c r="H54" s="197"/>
      <c r="I54" s="197"/>
      <c r="J54" s="197"/>
      <c r="K54" s="197"/>
    </row>
  </sheetData>
  <mergeCells count="3">
    <mergeCell ref="A4:H4"/>
    <mergeCell ref="A2:H2"/>
    <mergeCell ref="A8:A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6"/>
  <sheetViews>
    <sheetView showGridLines="0" view="pageBreakPreview" zoomScaleNormal="160" zoomScaleSheetLayoutView="100" zoomScalePageLayoutView="130" workbookViewId="0">
      <selection activeCell="J3" sqref="J3"/>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23" t="s">
        <v>401</v>
      </c>
      <c r="B2" s="923"/>
      <c r="C2" s="923"/>
      <c r="D2" s="923"/>
      <c r="E2" s="923"/>
      <c r="F2" s="923"/>
      <c r="G2" s="923"/>
      <c r="H2" s="923"/>
      <c r="I2" s="923"/>
      <c r="J2" s="923"/>
      <c r="K2" s="163"/>
    </row>
    <row r="3" spans="1:12" ht="6.75" customHeight="1">
      <c r="A3" s="17"/>
      <c r="B3" s="159"/>
      <c r="C3" s="212"/>
      <c r="D3" s="18"/>
      <c r="E3" s="18"/>
      <c r="F3" s="192"/>
      <c r="G3" s="66"/>
      <c r="H3" s="66"/>
      <c r="I3" s="71"/>
      <c r="J3" s="163"/>
      <c r="K3" s="163"/>
      <c r="L3" s="36"/>
    </row>
    <row r="4" spans="1:12" ht="15" customHeight="1">
      <c r="A4" s="924" t="s">
        <v>419</v>
      </c>
      <c r="B4" s="924"/>
      <c r="C4" s="924"/>
      <c r="D4" s="924"/>
      <c r="E4" s="924"/>
      <c r="F4" s="924"/>
      <c r="G4" s="924"/>
      <c r="H4" s="924"/>
      <c r="I4" s="924"/>
      <c r="J4" s="924"/>
      <c r="K4" s="163"/>
      <c r="L4" s="36"/>
    </row>
    <row r="5" spans="1:12" ht="38.25" customHeight="1">
      <c r="A5" s="921" t="s">
        <v>184</v>
      </c>
      <c r="B5" s="406" t="s">
        <v>185</v>
      </c>
      <c r="C5" s="407" t="s">
        <v>186</v>
      </c>
      <c r="D5" s="407" t="s">
        <v>187</v>
      </c>
      <c r="E5" s="407" t="s">
        <v>188</v>
      </c>
      <c r="F5" s="407" t="s">
        <v>189</v>
      </c>
      <c r="G5" s="407" t="s">
        <v>190</v>
      </c>
      <c r="H5" s="407" t="s">
        <v>191</v>
      </c>
      <c r="I5" s="408" t="s">
        <v>192</v>
      </c>
      <c r="J5" s="409" t="s">
        <v>193</v>
      </c>
      <c r="K5" s="131"/>
    </row>
    <row r="6" spans="1:12" ht="11.25" customHeight="1">
      <c r="A6" s="922"/>
      <c r="B6" s="529" t="s">
        <v>194</v>
      </c>
      <c r="C6" s="408" t="s">
        <v>195</v>
      </c>
      <c r="D6" s="408" t="s">
        <v>196</v>
      </c>
      <c r="E6" s="408" t="s">
        <v>197</v>
      </c>
      <c r="F6" s="408" t="s">
        <v>198</v>
      </c>
      <c r="G6" s="408" t="s">
        <v>199</v>
      </c>
      <c r="H6" s="408" t="s">
        <v>200</v>
      </c>
      <c r="I6" s="530"/>
      <c r="J6" s="531" t="s">
        <v>201</v>
      </c>
      <c r="K6" s="19"/>
    </row>
    <row r="7" spans="1:12" ht="12.75" customHeight="1">
      <c r="A7" s="535" t="s">
        <v>537</v>
      </c>
      <c r="B7" s="536">
        <v>7</v>
      </c>
      <c r="C7" s="536">
        <v>12</v>
      </c>
      <c r="D7" s="536">
        <v>4</v>
      </c>
      <c r="E7" s="536">
        <v>6</v>
      </c>
      <c r="F7" s="536">
        <v>5</v>
      </c>
      <c r="G7" s="536"/>
      <c r="H7" s="536"/>
      <c r="I7" s="537">
        <f>+SUM(B7:H7)</f>
        <v>34</v>
      </c>
      <c r="J7" s="538">
        <v>440.79999999999995</v>
      </c>
      <c r="K7" s="22"/>
    </row>
    <row r="8" spans="1:12" ht="12.75" customHeight="1">
      <c r="A8" s="535" t="s">
        <v>637</v>
      </c>
      <c r="B8" s="536"/>
      <c r="C8" s="536">
        <v>1</v>
      </c>
      <c r="D8" s="536"/>
      <c r="E8" s="536"/>
      <c r="F8" s="536"/>
      <c r="G8" s="536"/>
      <c r="H8" s="536"/>
      <c r="I8" s="537">
        <f t="shared" ref="I8" si="0">+SUM(B8:H8)</f>
        <v>1</v>
      </c>
      <c r="J8" s="538">
        <v>0.17</v>
      </c>
      <c r="K8" s="22"/>
    </row>
    <row r="9" spans="1:12" ht="14.25" customHeight="1">
      <c r="A9" s="534" t="s">
        <v>192</v>
      </c>
      <c r="B9" s="532">
        <f t="shared" ref="B9:J9" si="1">+SUM(B7:B8)</f>
        <v>7</v>
      </c>
      <c r="C9" s="532">
        <f t="shared" si="1"/>
        <v>13</v>
      </c>
      <c r="D9" s="532">
        <f t="shared" si="1"/>
        <v>4</v>
      </c>
      <c r="E9" s="532">
        <f t="shared" si="1"/>
        <v>6</v>
      </c>
      <c r="F9" s="532">
        <f t="shared" si="1"/>
        <v>5</v>
      </c>
      <c r="G9" s="532">
        <f t="shared" si="1"/>
        <v>0</v>
      </c>
      <c r="H9" s="532">
        <f t="shared" si="1"/>
        <v>0</v>
      </c>
      <c r="I9" s="532">
        <f t="shared" si="1"/>
        <v>35</v>
      </c>
      <c r="J9" s="532">
        <f t="shared" si="1"/>
        <v>440.96999999999997</v>
      </c>
      <c r="K9" s="22"/>
    </row>
    <row r="10" spans="1:12" ht="11.25" customHeight="1">
      <c r="A10" s="92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2023</v>
      </c>
      <c r="B10" s="925"/>
      <c r="C10" s="925"/>
      <c r="D10" s="925"/>
      <c r="E10" s="925"/>
      <c r="F10" s="925"/>
      <c r="G10" s="925"/>
      <c r="H10" s="925"/>
      <c r="I10" s="925"/>
      <c r="J10" s="925"/>
      <c r="K10" s="22"/>
    </row>
    <row r="11" spans="1:12" ht="11.25" customHeight="1">
      <c r="K11" s="22"/>
    </row>
    <row r="12" spans="1:12" ht="11.25" customHeight="1">
      <c r="A12" s="17"/>
      <c r="B12" s="214"/>
      <c r="C12" s="213"/>
      <c r="D12" s="213"/>
      <c r="E12" s="213"/>
      <c r="F12" s="213"/>
      <c r="G12" s="178"/>
      <c r="H12" s="178"/>
      <c r="I12" s="138"/>
      <c r="J12" s="25"/>
      <c r="K12" s="25"/>
      <c r="L12" s="22"/>
    </row>
    <row r="13" spans="1:12" ht="11.25" customHeight="1">
      <c r="A13" s="929" t="str">
        <f>"FALLAS  POR TIPO DE CAUSA  -  "&amp;UPPER('1. Resumen'!Q4)&amp;" "&amp;'1. Resumen'!Q5</f>
        <v>FALLAS  POR TIPO DE CAUSA  -  MAYO 2023</v>
      </c>
      <c r="B13" s="929"/>
      <c r="C13" s="929"/>
      <c r="D13" s="929"/>
      <c r="E13" s="929" t="str">
        <f>"FALLAS  POR TIPO DE EQUIPO  -  "&amp;UPPER('1. Resumen'!Q4)&amp;" "&amp;'1. Resumen'!Q5</f>
        <v>FALLAS  POR TIPO DE EQUIPO  -  MAYO 2023</v>
      </c>
      <c r="F13" s="929"/>
      <c r="G13" s="929"/>
      <c r="H13" s="929"/>
      <c r="I13" s="929"/>
      <c r="J13" s="929"/>
      <c r="K13" s="25"/>
      <c r="L13" s="22"/>
    </row>
    <row r="14" spans="1:12" ht="11.25" customHeight="1">
      <c r="A14" s="17"/>
      <c r="E14" s="213"/>
      <c r="F14" s="213"/>
      <c r="G14" s="178"/>
      <c r="H14" s="178"/>
      <c r="I14" s="138"/>
      <c r="J14" s="111"/>
      <c r="K14" s="111"/>
      <c r="L14" s="22"/>
    </row>
    <row r="15" spans="1:12" ht="11.25" customHeight="1">
      <c r="A15" s="17"/>
      <c r="B15" s="214"/>
      <c r="C15" s="213"/>
      <c r="D15" s="213"/>
      <c r="E15" s="213"/>
      <c r="F15" s="213"/>
      <c r="G15" s="178"/>
      <c r="H15" s="178"/>
      <c r="I15" s="138"/>
      <c r="J15" s="111"/>
      <c r="K15" s="111"/>
      <c r="L15" s="30"/>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23.25" customHeight="1">
      <c r="A31" s="928" t="s">
        <v>389</v>
      </c>
      <c r="B31" s="928"/>
      <c r="C31" s="928"/>
      <c r="D31" s="267"/>
      <c r="E31" s="931" t="s">
        <v>390</v>
      </c>
      <c r="F31" s="931"/>
      <c r="G31" s="931"/>
      <c r="H31" s="931"/>
      <c r="I31" s="931"/>
      <c r="J31" s="931"/>
      <c r="K31" s="25"/>
      <c r="L31" s="22"/>
    </row>
    <row r="32" spans="1:12" ht="11.25" customHeight="1">
      <c r="A32" s="17"/>
      <c r="B32" s="132"/>
      <c r="C32" s="132"/>
      <c r="D32" s="132"/>
      <c r="E32" s="132"/>
      <c r="F32" s="132"/>
      <c r="G32" s="25"/>
      <c r="H32" s="25"/>
      <c r="I32" s="25"/>
      <c r="J32" s="25"/>
      <c r="K32" s="25"/>
      <c r="L32" s="22"/>
    </row>
    <row r="33" spans="1:12" ht="6.75" customHeight="1">
      <c r="A33" s="17"/>
      <c r="B33" s="132"/>
      <c r="C33" s="132"/>
      <c r="D33" s="132"/>
      <c r="E33" s="132"/>
      <c r="F33" s="132"/>
      <c r="G33" s="25"/>
      <c r="H33" s="25"/>
      <c r="I33" s="25"/>
      <c r="J33" s="25"/>
      <c r="K33" s="25"/>
      <c r="L33" s="215"/>
    </row>
    <row r="34" spans="1:12" ht="11.25" customHeight="1">
      <c r="A34" s="930" t="str">
        <f>"ENERGÍA INTERRUMPIDA APROXIMADA POR TIPO DE EQUIPO (MWh)  -  "&amp;UPPER('1. Resumen'!Q4)&amp;" "&amp;'1. Resumen'!Q5</f>
        <v>ENERGÍA INTERRUMPIDA APROXIMADA POR TIPO DE EQUIPO (MWh)  -  MAYO 2023</v>
      </c>
      <c r="B34" s="930"/>
      <c r="C34" s="930"/>
      <c r="D34" s="930"/>
      <c r="E34" s="930"/>
      <c r="F34" s="930"/>
      <c r="G34" s="930"/>
      <c r="H34" s="930"/>
      <c r="I34" s="930"/>
      <c r="J34" s="930"/>
      <c r="K34" s="25"/>
      <c r="L34" s="215"/>
    </row>
    <row r="35" spans="1:12" ht="11.25" customHeight="1">
      <c r="A35" s="17"/>
      <c r="B35" s="132"/>
      <c r="C35" s="132"/>
      <c r="D35" s="132"/>
      <c r="E35" s="132"/>
      <c r="F35" s="132"/>
      <c r="G35" s="25"/>
      <c r="H35" s="25"/>
      <c r="I35" s="25"/>
      <c r="J35" s="25"/>
      <c r="K35" s="25"/>
      <c r="L35" s="215"/>
    </row>
    <row r="36" spans="1:12" ht="11.25" customHeight="1">
      <c r="A36" s="17"/>
      <c r="B36" s="132"/>
      <c r="C36" s="25"/>
      <c r="D36" s="25"/>
      <c r="E36" s="25"/>
      <c r="F36" s="25"/>
      <c r="G36" s="25"/>
      <c r="H36" s="25"/>
      <c r="I36" s="25"/>
      <c r="J36" s="25"/>
      <c r="K36" s="25"/>
      <c r="L36" s="215"/>
    </row>
    <row r="37" spans="1:12" ht="11.25" customHeight="1">
      <c r="A37" s="17"/>
      <c r="B37" s="132"/>
      <c r="C37" s="25"/>
      <c r="D37" s="25"/>
      <c r="E37" s="25"/>
      <c r="F37" s="25"/>
      <c r="G37" s="25"/>
      <c r="H37" s="25"/>
    </row>
    <row r="38" spans="1:12" ht="13.2">
      <c r="A38" s="17"/>
      <c r="B38" s="132"/>
      <c r="J38" s="25"/>
      <c r="K38" s="25"/>
      <c r="L38" s="215"/>
    </row>
    <row r="39" spans="1:12" ht="13.2">
      <c r="A39" s="17"/>
      <c r="B39" s="132"/>
      <c r="J39" s="25"/>
      <c r="K39" s="25"/>
      <c r="L39" s="215"/>
    </row>
    <row r="40" spans="1:12" ht="13.2">
      <c r="A40" s="17"/>
      <c r="B40" s="132"/>
      <c r="J40" s="25"/>
      <c r="K40" s="25"/>
      <c r="L40" s="215"/>
    </row>
    <row r="41" spans="1:12" ht="13.2">
      <c r="A41" s="17"/>
      <c r="B41" s="132"/>
      <c r="J41" s="25"/>
      <c r="K41" s="25"/>
      <c r="L41" s="215"/>
    </row>
    <row r="42" spans="1:12" ht="13.2">
      <c r="A42" s="17"/>
      <c r="B42" s="132"/>
      <c r="C42" s="132"/>
      <c r="D42" s="132"/>
      <c r="E42" s="132"/>
      <c r="F42" s="132"/>
      <c r="G42" s="25"/>
      <c r="H42" s="25"/>
      <c r="I42" s="25"/>
      <c r="J42" s="25"/>
      <c r="K42" s="25"/>
      <c r="L42" s="215"/>
    </row>
    <row r="43" spans="1:12" ht="13.2">
      <c r="A43" s="163"/>
      <c r="B43" s="25"/>
      <c r="C43" s="25"/>
      <c r="D43" s="25"/>
      <c r="E43" s="25"/>
      <c r="F43" s="25"/>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9" customHeight="1">
      <c r="A48" s="163"/>
      <c r="B48" s="25"/>
      <c r="C48" s="25"/>
      <c r="D48" s="25"/>
      <c r="E48" s="25"/>
      <c r="F48" s="25"/>
      <c r="G48" s="25"/>
      <c r="H48" s="25"/>
      <c r="I48" s="25"/>
      <c r="J48" s="25"/>
      <c r="K48" s="25"/>
      <c r="L48" s="215"/>
    </row>
    <row r="49" spans="1:12" ht="22.2" customHeight="1">
      <c r="A49" s="267" t="str">
        <f>"Gráfico N°26: Comparación de la energía interrumpida aproximada por tipo de equipo en "&amp;'1. Resumen'!Q4&amp;" "&amp;'1. Resumen'!Q5</f>
        <v>Gráfico N°26: Comparación de la energía interrumpida aproximada por tipo de equipo en mayo 2023</v>
      </c>
      <c r="B49" s="25"/>
      <c r="C49" s="25"/>
      <c r="D49" s="25"/>
      <c r="E49" s="25"/>
      <c r="F49" s="25"/>
      <c r="G49" s="25"/>
      <c r="H49" s="25"/>
      <c r="I49" s="25"/>
      <c r="J49" s="25"/>
      <c r="K49" s="25"/>
      <c r="L49" s="215"/>
    </row>
    <row r="50" spans="1:12" ht="15" customHeight="1">
      <c r="B50" s="25"/>
      <c r="C50" s="25"/>
      <c r="D50" s="25"/>
      <c r="E50" s="25"/>
      <c r="F50" s="25"/>
      <c r="G50" s="25"/>
      <c r="H50" s="25"/>
      <c r="I50" s="25"/>
      <c r="J50" s="25"/>
      <c r="K50" s="25"/>
      <c r="L50" s="215"/>
    </row>
    <row r="51" spans="1:12" ht="24" customHeight="1">
      <c r="A51" s="926" t="s">
        <v>202</v>
      </c>
      <c r="B51" s="926"/>
      <c r="C51" s="926"/>
      <c r="D51" s="926"/>
      <c r="E51" s="926"/>
      <c r="F51" s="926"/>
      <c r="G51" s="926"/>
      <c r="H51" s="926"/>
      <c r="I51" s="926"/>
      <c r="J51" s="926"/>
      <c r="K51" s="25"/>
      <c r="L51" s="215"/>
    </row>
    <row r="52" spans="1:12" ht="11.25" customHeight="1">
      <c r="A52" s="927" t="s">
        <v>203</v>
      </c>
      <c r="B52" s="927"/>
      <c r="C52" s="927"/>
      <c r="D52" s="927"/>
      <c r="E52" s="927"/>
      <c r="F52" s="927"/>
      <c r="G52" s="927"/>
      <c r="H52" s="927"/>
      <c r="I52" s="927"/>
      <c r="J52" s="927"/>
      <c r="K52" s="25"/>
      <c r="L52" s="215"/>
    </row>
    <row r="53" spans="1:12" ht="13.2">
      <c r="A53" s="163"/>
      <c r="B53" s="25"/>
      <c r="C53" s="25"/>
      <c r="D53" s="25"/>
      <c r="E53" s="25"/>
      <c r="F53" s="25"/>
      <c r="G53" s="25"/>
      <c r="H53" s="25"/>
      <c r="I53" s="25"/>
      <c r="J53" s="25"/>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c r="B67" s="215"/>
      <c r="C67" s="215"/>
      <c r="D67" s="215"/>
      <c r="E67" s="215"/>
      <c r="F67" s="215"/>
      <c r="G67" s="215"/>
      <c r="H67" s="215"/>
      <c r="I67" s="215"/>
      <c r="J67" s="215"/>
      <c r="K67" s="21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sheetData>
  <mergeCells count="11">
    <mergeCell ref="A52:J52"/>
    <mergeCell ref="A31:C31"/>
    <mergeCell ref="A13:D13"/>
    <mergeCell ref="E13:J13"/>
    <mergeCell ref="A34:J34"/>
    <mergeCell ref="E31:J31"/>
    <mergeCell ref="A5:A6"/>
    <mergeCell ref="A2:J2"/>
    <mergeCell ref="A4:J4"/>
    <mergeCell ref="A10:J10"/>
    <mergeCell ref="A51:J5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A3" sqref="A3:L4"/>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37" t="s">
        <v>0</v>
      </c>
      <c r="B3" s="837"/>
      <c r="C3" s="837"/>
      <c r="D3" s="837"/>
      <c r="E3" s="837"/>
      <c r="F3" s="837"/>
      <c r="G3" s="837"/>
      <c r="H3" s="837"/>
      <c r="I3" s="837"/>
      <c r="J3" s="837"/>
      <c r="K3" s="837"/>
      <c r="L3" s="837"/>
    </row>
    <row r="4" spans="1:12">
      <c r="A4" s="837"/>
      <c r="B4" s="837"/>
      <c r="C4" s="837"/>
      <c r="D4" s="837"/>
      <c r="E4" s="837"/>
      <c r="F4" s="837"/>
      <c r="G4" s="837"/>
      <c r="H4" s="837"/>
      <c r="I4" s="837"/>
      <c r="J4" s="837"/>
      <c r="K4" s="837"/>
      <c r="L4" s="837"/>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383</v>
      </c>
      <c r="B7" s="217"/>
      <c r="C7" s="25"/>
      <c r="D7" s="25"/>
      <c r="E7" s="25"/>
      <c r="F7" s="25"/>
      <c r="G7" s="25"/>
      <c r="H7" s="25"/>
      <c r="I7" s="25"/>
      <c r="J7" s="25"/>
      <c r="K7" s="25"/>
      <c r="L7" s="25"/>
    </row>
    <row r="8" spans="1:12" ht="17.25" customHeight="1">
      <c r="A8" s="25"/>
      <c r="B8" s="25" t="s">
        <v>627</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528</v>
      </c>
      <c r="B10" s="217"/>
      <c r="C10" s="25"/>
      <c r="D10" s="25"/>
      <c r="E10" s="25"/>
      <c r="F10" s="25"/>
      <c r="G10" s="25"/>
      <c r="H10" s="25"/>
      <c r="I10" s="25"/>
      <c r="J10" s="25"/>
      <c r="K10" s="25"/>
      <c r="L10" s="22"/>
    </row>
    <row r="11" spans="1:12" ht="19.5" customHeight="1">
      <c r="A11" s="27"/>
      <c r="B11" s="25" t="s">
        <v>425</v>
      </c>
      <c r="C11" s="25"/>
      <c r="D11" s="25"/>
      <c r="E11" s="25"/>
      <c r="F11" s="21"/>
      <c r="G11" s="21"/>
      <c r="H11" s="21"/>
      <c r="I11" s="21"/>
      <c r="J11" s="21"/>
      <c r="K11" s="21"/>
      <c r="L11" s="22" t="s">
        <v>2</v>
      </c>
    </row>
    <row r="12" spans="1:12" ht="19.5" customHeight="1">
      <c r="A12" s="27"/>
      <c r="B12" s="25" t="s">
        <v>364</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376</v>
      </c>
      <c r="B14" s="25"/>
      <c r="C14" s="25"/>
      <c r="D14" s="25"/>
      <c r="E14" s="25"/>
      <c r="F14" s="25"/>
      <c r="G14" s="25"/>
      <c r="H14" s="25"/>
      <c r="I14" s="25"/>
      <c r="J14" s="25"/>
      <c r="K14" s="25"/>
      <c r="L14" s="22"/>
    </row>
    <row r="15" spans="1:12" ht="19.5" customHeight="1">
      <c r="A15" s="27"/>
      <c r="B15" s="25" t="s">
        <v>353</v>
      </c>
      <c r="C15" s="25"/>
      <c r="D15" s="25"/>
      <c r="E15" s="25"/>
      <c r="F15" s="21"/>
      <c r="G15" s="21"/>
      <c r="H15" s="21"/>
      <c r="I15" s="21"/>
      <c r="J15" s="21"/>
      <c r="K15" s="21"/>
      <c r="L15" s="22" t="s">
        <v>3</v>
      </c>
    </row>
    <row r="16" spans="1:12" ht="19.5" customHeight="1">
      <c r="A16" s="27"/>
      <c r="B16" s="25" t="s">
        <v>362</v>
      </c>
      <c r="C16" s="25"/>
      <c r="D16" s="25"/>
      <c r="E16" s="25"/>
      <c r="F16" s="25"/>
      <c r="G16" s="21"/>
      <c r="H16" s="21"/>
      <c r="I16" s="21"/>
      <c r="J16" s="21"/>
      <c r="K16" s="21"/>
      <c r="L16" s="22" t="s">
        <v>4</v>
      </c>
    </row>
    <row r="17" spans="1:12" ht="19.5" customHeight="1">
      <c r="A17" s="27"/>
      <c r="B17" s="25" t="s">
        <v>354</v>
      </c>
      <c r="C17" s="25"/>
      <c r="D17" s="25"/>
      <c r="E17" s="25"/>
      <c r="F17" s="25"/>
      <c r="G17" s="21"/>
      <c r="H17" s="21"/>
      <c r="I17" s="21"/>
      <c r="J17" s="21"/>
      <c r="K17" s="21"/>
      <c r="L17" s="22" t="s">
        <v>5</v>
      </c>
    </row>
    <row r="18" spans="1:12" ht="19.5" customHeight="1">
      <c r="A18" s="27"/>
      <c r="B18" s="25" t="s">
        <v>355</v>
      </c>
      <c r="C18" s="25"/>
      <c r="D18" s="25"/>
      <c r="E18" s="25"/>
      <c r="F18" s="21"/>
      <c r="G18" s="21"/>
      <c r="H18" s="21"/>
      <c r="I18" s="21"/>
      <c r="J18" s="21"/>
      <c r="K18" s="21"/>
      <c r="L18" s="22" t="s">
        <v>6</v>
      </c>
    </row>
    <row r="19" spans="1:12" ht="19.5" customHeight="1">
      <c r="A19" s="27"/>
      <c r="B19" s="25" t="s">
        <v>356</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375</v>
      </c>
      <c r="B21" s="25"/>
      <c r="C21" s="25"/>
      <c r="D21" s="25"/>
      <c r="E21" s="25"/>
      <c r="F21" s="25"/>
      <c r="G21" s="25"/>
      <c r="H21" s="25"/>
      <c r="I21" s="25"/>
      <c r="J21" s="25"/>
      <c r="K21" s="25"/>
      <c r="L21" s="30"/>
    </row>
    <row r="22" spans="1:12" ht="19.5" customHeight="1">
      <c r="A22" s="25"/>
      <c r="B22" s="25" t="s">
        <v>377</v>
      </c>
      <c r="C22" s="25"/>
      <c r="D22" s="25"/>
      <c r="E22" s="25"/>
      <c r="F22" s="25"/>
      <c r="G22" s="21"/>
      <c r="H22" s="21"/>
      <c r="I22" s="21"/>
      <c r="J22" s="21"/>
      <c r="K22" s="21"/>
      <c r="L22" s="22" t="s">
        <v>9</v>
      </c>
    </row>
    <row r="23" spans="1:12" ht="19.5" customHeight="1">
      <c r="A23" s="31"/>
      <c r="B23" s="25" t="s">
        <v>415</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379</v>
      </c>
      <c r="C26" s="25"/>
      <c r="D26" s="25"/>
      <c r="E26" s="25"/>
      <c r="F26" s="21"/>
      <c r="G26" s="21"/>
      <c r="H26" s="21"/>
      <c r="I26" s="21"/>
      <c r="J26" s="21"/>
      <c r="K26" s="33"/>
      <c r="L26" s="22" t="s">
        <v>11</v>
      </c>
    </row>
    <row r="27" spans="1:12" ht="19.5" customHeight="1">
      <c r="A27" s="25"/>
      <c r="B27" s="25" t="s">
        <v>357</v>
      </c>
      <c r="C27" s="25"/>
      <c r="D27" s="25"/>
      <c r="E27" s="25"/>
      <c r="F27" s="25"/>
      <c r="G27" s="21"/>
      <c r="H27" s="21"/>
      <c r="I27" s="21"/>
      <c r="J27" s="21"/>
      <c r="K27" s="33"/>
      <c r="L27" s="22" t="s">
        <v>11</v>
      </c>
    </row>
    <row r="28" spans="1:12" ht="19.5" customHeight="1">
      <c r="A28" s="31"/>
      <c r="B28" s="25" t="s">
        <v>378</v>
      </c>
      <c r="C28" s="25"/>
      <c r="D28" s="25"/>
      <c r="E28" s="25"/>
      <c r="F28" s="21"/>
      <c r="G28" s="21"/>
      <c r="H28" s="33"/>
      <c r="I28" s="33"/>
      <c r="J28" s="33"/>
      <c r="K28" s="33"/>
      <c r="L28" s="22" t="s">
        <v>12</v>
      </c>
    </row>
    <row r="29" spans="1:12" ht="19.5" customHeight="1">
      <c r="A29" s="31"/>
      <c r="B29" s="25" t="s">
        <v>363</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368</v>
      </c>
      <c r="B31" s="25"/>
      <c r="C31" s="25"/>
      <c r="D31" s="25"/>
      <c r="E31" s="25"/>
      <c r="F31" s="25"/>
      <c r="G31" s="25"/>
      <c r="H31" s="25"/>
      <c r="I31" s="25"/>
      <c r="J31" s="25"/>
      <c r="K31" s="25"/>
      <c r="L31" s="22"/>
    </row>
    <row r="32" spans="1:12" ht="19.5" customHeight="1">
      <c r="A32" s="31"/>
      <c r="B32" s="25" t="s">
        <v>380</v>
      </c>
      <c r="C32" s="25"/>
      <c r="D32" s="25"/>
      <c r="E32" s="25"/>
      <c r="F32" s="25"/>
      <c r="G32" s="21"/>
      <c r="H32" s="21"/>
      <c r="I32" s="21"/>
      <c r="J32" s="21"/>
      <c r="K32" s="21"/>
      <c r="L32" s="22" t="s">
        <v>13</v>
      </c>
    </row>
    <row r="33" spans="1:12" ht="19.5" customHeight="1">
      <c r="A33" s="31"/>
      <c r="B33" s="25" t="s">
        <v>358</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359</v>
      </c>
      <c r="B35" s="26"/>
      <c r="C35" s="32"/>
      <c r="D35" s="26"/>
      <c r="E35" s="26"/>
      <c r="F35" s="26"/>
      <c r="G35" s="26"/>
      <c r="H35" s="26"/>
      <c r="I35" s="26"/>
      <c r="J35" s="26"/>
      <c r="K35" s="26"/>
      <c r="L35" s="22"/>
    </row>
    <row r="36" spans="1:12" ht="19.5" customHeight="1">
      <c r="A36" s="27"/>
      <c r="B36" s="25" t="s">
        <v>381</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360</v>
      </c>
      <c r="B38" s="35"/>
      <c r="C38" s="25"/>
      <c r="D38" s="25"/>
      <c r="E38" s="25"/>
      <c r="F38" s="25"/>
      <c r="G38" s="25"/>
      <c r="H38" s="25"/>
      <c r="I38" s="25"/>
      <c r="J38" s="25"/>
      <c r="K38" s="25"/>
      <c r="L38" s="38"/>
    </row>
    <row r="39" spans="1:12" ht="19.5" customHeight="1">
      <c r="A39" s="27"/>
      <c r="B39" s="25" t="s">
        <v>361</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382</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7"/>
  <sheetViews>
    <sheetView showGridLines="0" view="pageBreakPreview" zoomScaleNormal="100" zoomScaleSheetLayoutView="100" zoomScalePageLayoutView="130" workbookViewId="0">
      <selection activeCell="J3" sqref="J3"/>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32" t="s">
        <v>243</v>
      </c>
      <c r="B2" s="935" t="s">
        <v>52</v>
      </c>
      <c r="C2" s="938" t="str">
        <f>"ENERGÍA PRODUCIDA "&amp;UPPER('1. Resumen'!Q4)&amp;" "&amp;'1. Resumen'!Q5</f>
        <v>ENERGÍA PRODUCIDA MAYO 2023</v>
      </c>
      <c r="D2" s="938"/>
      <c r="E2" s="938"/>
      <c r="F2" s="938"/>
      <c r="G2" s="494" t="s">
        <v>264</v>
      </c>
      <c r="H2" s="203"/>
    </row>
    <row r="3" spans="1:8" ht="11.25" customHeight="1">
      <c r="A3" s="933"/>
      <c r="B3" s="936"/>
      <c r="C3" s="939" t="s">
        <v>265</v>
      </c>
      <c r="D3" s="939"/>
      <c r="E3" s="939"/>
      <c r="F3" s="940" t="str">
        <f>"TOTAL 
"&amp;UPPER('1. Resumen'!Q4)</f>
        <v>TOTAL 
MAYO</v>
      </c>
      <c r="G3" s="495" t="s">
        <v>266</v>
      </c>
      <c r="H3" s="194"/>
    </row>
    <row r="4" spans="1:8" ht="12.75" customHeight="1">
      <c r="A4" s="933"/>
      <c r="B4" s="936"/>
      <c r="C4" s="490" t="s">
        <v>208</v>
      </c>
      <c r="D4" s="490" t="s">
        <v>209</v>
      </c>
      <c r="E4" s="490" t="s">
        <v>267</v>
      </c>
      <c r="F4" s="941"/>
      <c r="G4" s="495">
        <v>2023</v>
      </c>
      <c r="H4" s="196"/>
    </row>
    <row r="5" spans="1:8" ht="11.25" customHeight="1">
      <c r="A5" s="934"/>
      <c r="B5" s="937"/>
      <c r="C5" s="491" t="s">
        <v>268</v>
      </c>
      <c r="D5" s="491" t="s">
        <v>268</v>
      </c>
      <c r="E5" s="491" t="s">
        <v>268</v>
      </c>
      <c r="F5" s="491" t="s">
        <v>268</v>
      </c>
      <c r="G5" s="496" t="s">
        <v>201</v>
      </c>
      <c r="H5" s="196"/>
    </row>
    <row r="6" spans="1:8" ht="8.4" customHeight="1">
      <c r="A6" s="525" t="s">
        <v>117</v>
      </c>
      <c r="B6" s="335" t="s">
        <v>84</v>
      </c>
      <c r="C6" s="336"/>
      <c r="D6" s="336"/>
      <c r="E6" s="336">
        <v>0</v>
      </c>
      <c r="F6" s="336">
        <v>0</v>
      </c>
      <c r="G6" s="524">
        <v>1754.6121424999999</v>
      </c>
      <c r="H6" s="196"/>
    </row>
    <row r="7" spans="1:8" ht="8.4" customHeight="1">
      <c r="A7" s="521" t="s">
        <v>457</v>
      </c>
      <c r="B7" s="400"/>
      <c r="C7" s="401"/>
      <c r="D7" s="401"/>
      <c r="E7" s="401">
        <v>0</v>
      </c>
      <c r="F7" s="401">
        <v>0</v>
      </c>
      <c r="G7" s="523">
        <v>1754.6121424999999</v>
      </c>
      <c r="H7" s="196"/>
    </row>
    <row r="8" spans="1:8" ht="8.4" customHeight="1">
      <c r="A8" s="525" t="s">
        <v>116</v>
      </c>
      <c r="B8" s="335" t="s">
        <v>61</v>
      </c>
      <c r="C8" s="336"/>
      <c r="D8" s="336"/>
      <c r="E8" s="336">
        <v>14109.64136</v>
      </c>
      <c r="F8" s="336">
        <v>14109.64136</v>
      </c>
      <c r="G8" s="524">
        <v>69236.940467499997</v>
      </c>
      <c r="H8" s="196"/>
    </row>
    <row r="9" spans="1:8" ht="8.4" customHeight="1">
      <c r="A9" s="521" t="s">
        <v>458</v>
      </c>
      <c r="B9" s="400"/>
      <c r="C9" s="401"/>
      <c r="D9" s="401"/>
      <c r="E9" s="401">
        <v>14109.64136</v>
      </c>
      <c r="F9" s="401">
        <v>14109.64136</v>
      </c>
      <c r="G9" s="523">
        <v>69236.940467499997</v>
      </c>
      <c r="H9" s="196"/>
    </row>
    <row r="10" spans="1:8" ht="8.4" customHeight="1">
      <c r="A10" s="520" t="s">
        <v>104</v>
      </c>
      <c r="B10" s="299" t="s">
        <v>81</v>
      </c>
      <c r="C10" s="493"/>
      <c r="D10" s="493"/>
      <c r="E10" s="493">
        <v>4383.4259899999997</v>
      </c>
      <c r="F10" s="493">
        <v>4383.4259899999997</v>
      </c>
      <c r="G10" s="522">
        <v>37072.044302499999</v>
      </c>
      <c r="H10" s="196"/>
    </row>
    <row r="11" spans="1:8" ht="8.4" customHeight="1">
      <c r="A11" s="521" t="s">
        <v>459</v>
      </c>
      <c r="B11" s="400"/>
      <c r="C11" s="401"/>
      <c r="D11" s="401"/>
      <c r="E11" s="401">
        <v>4383.4259899999997</v>
      </c>
      <c r="F11" s="401">
        <v>4383.4259899999997</v>
      </c>
      <c r="G11" s="523">
        <v>37072.044302499999</v>
      </c>
      <c r="H11" s="196"/>
    </row>
    <row r="12" spans="1:8" ht="8.4" customHeight="1">
      <c r="A12" s="520" t="s">
        <v>400</v>
      </c>
      <c r="B12" s="299" t="s">
        <v>402</v>
      </c>
      <c r="C12" s="493"/>
      <c r="D12" s="493"/>
      <c r="E12" s="493">
        <v>6367.608185</v>
      </c>
      <c r="F12" s="493">
        <v>6367.608185</v>
      </c>
      <c r="G12" s="522">
        <v>45570.121424999998</v>
      </c>
      <c r="H12" s="196"/>
    </row>
    <row r="13" spans="1:8" ht="8.4" customHeight="1">
      <c r="A13" s="521" t="s">
        <v>460</v>
      </c>
      <c r="B13" s="400"/>
      <c r="C13" s="401"/>
      <c r="D13" s="401"/>
      <c r="E13" s="401">
        <v>6367.608185</v>
      </c>
      <c r="F13" s="401">
        <v>6367.608185</v>
      </c>
      <c r="G13" s="523">
        <v>45570.121424999998</v>
      </c>
      <c r="H13" s="196"/>
    </row>
    <row r="14" spans="1:8" ht="8.4" customHeight="1">
      <c r="A14" s="520" t="s">
        <v>449</v>
      </c>
      <c r="B14" s="299" t="s">
        <v>73</v>
      </c>
      <c r="C14" s="493"/>
      <c r="D14" s="493"/>
      <c r="E14" s="493">
        <v>348.59285249999999</v>
      </c>
      <c r="F14" s="493">
        <v>348.59285249999999</v>
      </c>
      <c r="G14" s="522">
        <v>2186.8106174999998</v>
      </c>
      <c r="H14" s="196"/>
    </row>
    <row r="15" spans="1:8" ht="8.4" customHeight="1">
      <c r="A15" s="521" t="s">
        <v>461</v>
      </c>
      <c r="B15" s="400"/>
      <c r="C15" s="401"/>
      <c r="D15" s="401"/>
      <c r="E15" s="401">
        <v>348.59285249999999</v>
      </c>
      <c r="F15" s="401">
        <v>348.59285249999999</v>
      </c>
      <c r="G15" s="523">
        <v>2186.8106174999998</v>
      </c>
      <c r="H15" s="196"/>
    </row>
    <row r="16" spans="1:8" ht="8.4" customHeight="1">
      <c r="A16" s="520" t="s">
        <v>430</v>
      </c>
      <c r="B16" s="299" t="s">
        <v>436</v>
      </c>
      <c r="C16" s="493"/>
      <c r="D16" s="493"/>
      <c r="E16" s="493">
        <v>6883.265625</v>
      </c>
      <c r="F16" s="493">
        <v>6883.265625</v>
      </c>
      <c r="G16" s="522">
        <v>21087.165125</v>
      </c>
      <c r="H16" s="196"/>
    </row>
    <row r="17" spans="1:8" ht="8.4" customHeight="1">
      <c r="A17" s="521" t="s">
        <v>462</v>
      </c>
      <c r="B17" s="400"/>
      <c r="C17" s="401"/>
      <c r="D17" s="401"/>
      <c r="E17" s="401">
        <v>6883.265625</v>
      </c>
      <c r="F17" s="401">
        <v>6883.265625</v>
      </c>
      <c r="G17" s="523">
        <v>21087.165125</v>
      </c>
      <c r="H17" s="196"/>
    </row>
    <row r="18" spans="1:8" ht="8.4" customHeight="1">
      <c r="A18" s="520" t="s">
        <v>92</v>
      </c>
      <c r="B18" s="299" t="s">
        <v>269</v>
      </c>
      <c r="C18" s="493">
        <v>91395.645099999994</v>
      </c>
      <c r="D18" s="493"/>
      <c r="E18" s="493"/>
      <c r="F18" s="493">
        <v>91395.645099999994</v>
      </c>
      <c r="G18" s="522">
        <v>649079.29044999997</v>
      </c>
      <c r="H18" s="196"/>
    </row>
    <row r="19" spans="1:8" ht="8.4" customHeight="1">
      <c r="A19" s="521" t="s">
        <v>463</v>
      </c>
      <c r="B19" s="400"/>
      <c r="C19" s="401">
        <v>91395.645099999994</v>
      </c>
      <c r="D19" s="401"/>
      <c r="E19" s="401"/>
      <c r="F19" s="401">
        <v>91395.645099999994</v>
      </c>
      <c r="G19" s="523">
        <v>649079.29044999997</v>
      </c>
      <c r="H19" s="196"/>
    </row>
    <row r="20" spans="1:8" ht="8.4" customHeight="1">
      <c r="A20" s="520" t="s">
        <v>451</v>
      </c>
      <c r="B20" s="299" t="s">
        <v>308</v>
      </c>
      <c r="C20" s="493">
        <v>14634.325209999999</v>
      </c>
      <c r="D20" s="493"/>
      <c r="E20" s="493"/>
      <c r="F20" s="493">
        <v>14634.325209999999</v>
      </c>
      <c r="G20" s="522">
        <v>67264.160267499989</v>
      </c>
      <c r="H20" s="196"/>
    </row>
    <row r="21" spans="1:8" ht="8.4" customHeight="1">
      <c r="A21" s="521" t="s">
        <v>464</v>
      </c>
      <c r="B21" s="400"/>
      <c r="C21" s="401">
        <v>14634.325209999999</v>
      </c>
      <c r="D21" s="401"/>
      <c r="E21" s="401"/>
      <c r="F21" s="401">
        <v>14634.325209999999</v>
      </c>
      <c r="G21" s="523">
        <v>67264.160267499989</v>
      </c>
      <c r="H21" s="196"/>
    </row>
    <row r="22" spans="1:8" ht="8.4" customHeight="1">
      <c r="A22" s="520" t="s">
        <v>521</v>
      </c>
      <c r="B22" s="299" t="s">
        <v>529</v>
      </c>
      <c r="C22" s="493">
        <v>595.69298749999996</v>
      </c>
      <c r="D22" s="493"/>
      <c r="E22" s="493"/>
      <c r="F22" s="493">
        <v>595.69298749999996</v>
      </c>
      <c r="G22" s="522">
        <v>2611.3584600000004</v>
      </c>
      <c r="H22" s="196"/>
    </row>
    <row r="23" spans="1:8" ht="8.4" customHeight="1">
      <c r="A23" s="520"/>
      <c r="B23" s="299" t="s">
        <v>530</v>
      </c>
      <c r="C23" s="493">
        <v>1121.2233424999999</v>
      </c>
      <c r="D23" s="493"/>
      <c r="E23" s="493"/>
      <c r="F23" s="493">
        <v>1121.2233424999999</v>
      </c>
      <c r="G23" s="522">
        <v>3829.9022399999999</v>
      </c>
      <c r="H23" s="196"/>
    </row>
    <row r="24" spans="1:8" ht="8.4" customHeight="1">
      <c r="A24" s="521" t="s">
        <v>523</v>
      </c>
      <c r="B24" s="400"/>
      <c r="C24" s="401">
        <v>1716.91633</v>
      </c>
      <c r="D24" s="401"/>
      <c r="E24" s="401"/>
      <c r="F24" s="401">
        <v>1716.91633</v>
      </c>
      <c r="G24" s="523">
        <v>6441.2607000000007</v>
      </c>
      <c r="H24" s="196"/>
    </row>
    <row r="25" spans="1:8" ht="8.4" customHeight="1">
      <c r="A25" s="520" t="s">
        <v>229</v>
      </c>
      <c r="B25" s="299" t="s">
        <v>270</v>
      </c>
      <c r="C25" s="493"/>
      <c r="D25" s="493">
        <v>0</v>
      </c>
      <c r="E25" s="493"/>
      <c r="F25" s="493">
        <v>0</v>
      </c>
      <c r="G25" s="522">
        <v>4405.7833199999995</v>
      </c>
      <c r="H25" s="196"/>
    </row>
    <row r="26" spans="1:8" ht="8.4" customHeight="1">
      <c r="A26" s="521" t="s">
        <v>465</v>
      </c>
      <c r="B26" s="400"/>
      <c r="C26" s="401"/>
      <c r="D26" s="401">
        <v>0</v>
      </c>
      <c r="E26" s="401"/>
      <c r="F26" s="401">
        <v>0</v>
      </c>
      <c r="G26" s="523">
        <v>4405.7833199999995</v>
      </c>
      <c r="H26" s="196"/>
    </row>
    <row r="27" spans="1:8" ht="8.4" customHeight="1">
      <c r="A27" s="520" t="s">
        <v>91</v>
      </c>
      <c r="B27" s="299" t="s">
        <v>271</v>
      </c>
      <c r="C27" s="493">
        <v>72746.625499999995</v>
      </c>
      <c r="D27" s="493"/>
      <c r="E27" s="493"/>
      <c r="F27" s="493">
        <v>72746.625499999995</v>
      </c>
      <c r="G27" s="522">
        <v>432230.58125000005</v>
      </c>
      <c r="H27" s="196"/>
    </row>
    <row r="28" spans="1:8" ht="8.4" customHeight="1">
      <c r="A28" s="520"/>
      <c r="B28" s="299" t="s">
        <v>272</v>
      </c>
      <c r="C28" s="493">
        <v>22770.723249999999</v>
      </c>
      <c r="D28" s="493"/>
      <c r="E28" s="493"/>
      <c r="F28" s="493">
        <v>22770.723249999999</v>
      </c>
      <c r="G28" s="522">
        <v>120949.39725000001</v>
      </c>
      <c r="H28" s="196"/>
    </row>
    <row r="29" spans="1:8" ht="8.4" customHeight="1">
      <c r="A29" s="521" t="s">
        <v>466</v>
      </c>
      <c r="B29" s="400"/>
      <c r="C29" s="401">
        <v>95517.34874999999</v>
      </c>
      <c r="D29" s="401"/>
      <c r="E29" s="401"/>
      <c r="F29" s="401">
        <v>95517.34874999999</v>
      </c>
      <c r="G29" s="523">
        <v>553179.97850000008</v>
      </c>
      <c r="H29" s="196"/>
    </row>
    <row r="30" spans="1:8" ht="8.4" customHeight="1">
      <c r="A30" s="520" t="s">
        <v>522</v>
      </c>
      <c r="B30" s="299" t="s">
        <v>531</v>
      </c>
      <c r="C30" s="493"/>
      <c r="D30" s="493"/>
      <c r="E30" s="493">
        <v>242.0915</v>
      </c>
      <c r="F30" s="493">
        <v>242.0915</v>
      </c>
      <c r="G30" s="522">
        <v>987.86749999999995</v>
      </c>
      <c r="H30" s="196"/>
    </row>
    <row r="31" spans="1:8" ht="8.4" customHeight="1">
      <c r="A31" s="521" t="s">
        <v>524</v>
      </c>
      <c r="B31" s="400"/>
      <c r="C31" s="401"/>
      <c r="D31" s="401"/>
      <c r="E31" s="401">
        <v>242.0915</v>
      </c>
      <c r="F31" s="401">
        <v>242.0915</v>
      </c>
      <c r="G31" s="523">
        <v>987.86749999999995</v>
      </c>
      <c r="H31" s="196"/>
    </row>
    <row r="32" spans="1:8" ht="8.4" customHeight="1">
      <c r="A32" s="520" t="s">
        <v>89</v>
      </c>
      <c r="B32" s="299" t="s">
        <v>273</v>
      </c>
      <c r="C32" s="493">
        <v>1178.162785</v>
      </c>
      <c r="D32" s="493"/>
      <c r="E32" s="493"/>
      <c r="F32" s="493">
        <v>1178.162785</v>
      </c>
      <c r="G32" s="522">
        <v>5602.8893625000001</v>
      </c>
      <c r="H32" s="196"/>
    </row>
    <row r="33" spans="1:8" ht="8.4" customHeight="1">
      <c r="A33" s="520"/>
      <c r="B33" s="299" t="s">
        <v>274</v>
      </c>
      <c r="C33" s="493">
        <v>401.77520749999996</v>
      </c>
      <c r="D33" s="493"/>
      <c r="E33" s="493"/>
      <c r="F33" s="493">
        <v>401.77520749999996</v>
      </c>
      <c r="G33" s="522">
        <v>1895.6051199999997</v>
      </c>
      <c r="H33" s="196"/>
    </row>
    <row r="34" spans="1:8" ht="8.4" customHeight="1">
      <c r="A34" s="520"/>
      <c r="B34" s="299" t="s">
        <v>275</v>
      </c>
      <c r="C34" s="493">
        <v>3360.20118</v>
      </c>
      <c r="D34" s="493"/>
      <c r="E34" s="493"/>
      <c r="F34" s="493">
        <v>3360.20118</v>
      </c>
      <c r="G34" s="522">
        <v>16063.11001</v>
      </c>
      <c r="H34" s="196"/>
    </row>
    <row r="35" spans="1:8" ht="8.4" customHeight="1">
      <c r="A35" s="520"/>
      <c r="B35" s="299" t="s">
        <v>276</v>
      </c>
      <c r="C35" s="493">
        <v>7515.8066875000004</v>
      </c>
      <c r="D35" s="493"/>
      <c r="E35" s="493"/>
      <c r="F35" s="493">
        <v>7515.8066875000004</v>
      </c>
      <c r="G35" s="522">
        <v>37560.142302499997</v>
      </c>
      <c r="H35" s="196"/>
    </row>
    <row r="36" spans="1:8" ht="8.4" customHeight="1">
      <c r="A36" s="520"/>
      <c r="B36" s="299" t="s">
        <v>277</v>
      </c>
      <c r="C36" s="493">
        <v>46569.503550000009</v>
      </c>
      <c r="D36" s="493"/>
      <c r="E36" s="493"/>
      <c r="F36" s="493">
        <v>46569.503550000009</v>
      </c>
      <c r="G36" s="522">
        <v>259893.12200000003</v>
      </c>
      <c r="H36" s="196"/>
    </row>
    <row r="37" spans="1:8" ht="8.4" customHeight="1">
      <c r="A37" s="520"/>
      <c r="B37" s="299" t="s">
        <v>278</v>
      </c>
      <c r="C37" s="493">
        <v>4297.2019099999998</v>
      </c>
      <c r="D37" s="493"/>
      <c r="E37" s="493"/>
      <c r="F37" s="493">
        <v>4297.2019099999998</v>
      </c>
      <c r="G37" s="522">
        <v>21795.918172500002</v>
      </c>
      <c r="H37" s="196"/>
    </row>
    <row r="38" spans="1:8" ht="8.4" customHeight="1">
      <c r="A38" s="520"/>
      <c r="B38" s="299" t="s">
        <v>279</v>
      </c>
      <c r="C38" s="493"/>
      <c r="D38" s="493">
        <v>33.702825000000004</v>
      </c>
      <c r="E38" s="493"/>
      <c r="F38" s="493">
        <v>33.702825000000004</v>
      </c>
      <c r="G38" s="522">
        <v>154.16564</v>
      </c>
      <c r="H38" s="196"/>
    </row>
    <row r="39" spans="1:8" ht="8.4" customHeight="1">
      <c r="A39" s="520"/>
      <c r="B39" s="299" t="s">
        <v>280</v>
      </c>
      <c r="C39" s="493"/>
      <c r="D39" s="493">
        <v>67.286509999999993</v>
      </c>
      <c r="E39" s="493"/>
      <c r="F39" s="493">
        <v>67.286509999999993</v>
      </c>
      <c r="G39" s="522">
        <v>106.5285325</v>
      </c>
      <c r="H39" s="196"/>
    </row>
    <row r="40" spans="1:8" ht="8.4" customHeight="1">
      <c r="A40" s="521" t="s">
        <v>467</v>
      </c>
      <c r="B40" s="400"/>
      <c r="C40" s="401">
        <v>63322.651320000004</v>
      </c>
      <c r="D40" s="401">
        <v>100.989335</v>
      </c>
      <c r="E40" s="401"/>
      <c r="F40" s="401">
        <v>63423.640655000003</v>
      </c>
      <c r="G40" s="523">
        <v>343071.48113999999</v>
      </c>
      <c r="H40" s="196"/>
    </row>
    <row r="41" spans="1:8" ht="8.4" customHeight="1">
      <c r="A41" s="520" t="s">
        <v>110</v>
      </c>
      <c r="B41" s="299" t="s">
        <v>68</v>
      </c>
      <c r="C41" s="493"/>
      <c r="D41" s="493"/>
      <c r="E41" s="493">
        <v>1962.7023975</v>
      </c>
      <c r="F41" s="493">
        <v>1962.7023975</v>
      </c>
      <c r="G41" s="522">
        <v>14240.703464999999</v>
      </c>
      <c r="H41" s="196"/>
    </row>
    <row r="42" spans="1:8" ht="8.4" customHeight="1">
      <c r="A42" s="521" t="s">
        <v>468</v>
      </c>
      <c r="B42" s="400"/>
      <c r="C42" s="401"/>
      <c r="D42" s="401"/>
      <c r="E42" s="401">
        <v>1962.7023975</v>
      </c>
      <c r="F42" s="401">
        <v>1962.7023975</v>
      </c>
      <c r="G42" s="523">
        <v>14240.703464999999</v>
      </c>
      <c r="H42" s="196"/>
    </row>
    <row r="43" spans="1:8" ht="8.4" customHeight="1">
      <c r="A43" s="520" t="s">
        <v>90</v>
      </c>
      <c r="B43" s="299" t="s">
        <v>281</v>
      </c>
      <c r="C43" s="493">
        <v>119570.49725</v>
      </c>
      <c r="D43" s="493"/>
      <c r="E43" s="493"/>
      <c r="F43" s="493">
        <v>119570.49725</v>
      </c>
      <c r="G43" s="522">
        <v>588411.80900000001</v>
      </c>
      <c r="H43" s="196"/>
    </row>
    <row r="44" spans="1:8" ht="8.4" customHeight="1">
      <c r="A44" s="521" t="s">
        <v>469</v>
      </c>
      <c r="B44" s="400"/>
      <c r="C44" s="401">
        <v>119570.49725</v>
      </c>
      <c r="D44" s="401"/>
      <c r="E44" s="401"/>
      <c r="F44" s="401">
        <v>119570.49725</v>
      </c>
      <c r="G44" s="523">
        <v>588411.80900000001</v>
      </c>
      <c r="H44" s="196"/>
    </row>
    <row r="45" spans="1:8" ht="8.4" customHeight="1">
      <c r="A45" s="520" t="s">
        <v>99</v>
      </c>
      <c r="B45" s="299" t="s">
        <v>282</v>
      </c>
      <c r="C45" s="493">
        <v>4723.775885</v>
      </c>
      <c r="D45" s="493"/>
      <c r="E45" s="493"/>
      <c r="F45" s="493">
        <v>4723.775885</v>
      </c>
      <c r="G45" s="522">
        <v>20074.6636</v>
      </c>
      <c r="H45" s="196"/>
    </row>
    <row r="46" spans="1:8" ht="8.4" customHeight="1">
      <c r="A46" s="520"/>
      <c r="B46" s="299" t="s">
        <v>283</v>
      </c>
      <c r="C46" s="493">
        <v>0</v>
      </c>
      <c r="D46" s="493"/>
      <c r="E46" s="493"/>
      <c r="F46" s="493">
        <v>0</v>
      </c>
      <c r="G46" s="522">
        <v>0</v>
      </c>
      <c r="H46" s="196"/>
    </row>
    <row r="47" spans="1:8" ht="8.4" customHeight="1">
      <c r="A47" s="520"/>
      <c r="B47" s="299" t="s">
        <v>284</v>
      </c>
      <c r="C47" s="493"/>
      <c r="D47" s="493">
        <v>11903.710677499999</v>
      </c>
      <c r="E47" s="493"/>
      <c r="F47" s="493">
        <v>11903.710677499999</v>
      </c>
      <c r="G47" s="522">
        <v>42089.2774775</v>
      </c>
      <c r="H47" s="196"/>
    </row>
    <row r="48" spans="1:8" ht="8.4" customHeight="1">
      <c r="A48" s="521" t="s">
        <v>470</v>
      </c>
      <c r="B48" s="400"/>
      <c r="C48" s="401">
        <v>4723.775885</v>
      </c>
      <c r="D48" s="401">
        <v>11903.710677499999</v>
      </c>
      <c r="E48" s="401"/>
      <c r="F48" s="401">
        <v>16627.486562499998</v>
      </c>
      <c r="G48" s="523">
        <v>62163.9410775</v>
      </c>
      <c r="H48" s="196"/>
    </row>
    <row r="49" spans="1:8" ht="8.4" customHeight="1">
      <c r="A49" s="520" t="s">
        <v>111</v>
      </c>
      <c r="B49" s="299" t="s">
        <v>71</v>
      </c>
      <c r="C49" s="493"/>
      <c r="D49" s="493"/>
      <c r="E49" s="493">
        <v>2635.5837999999999</v>
      </c>
      <c r="F49" s="493">
        <v>2635.5837999999999</v>
      </c>
      <c r="G49" s="522">
        <v>11801.996949999999</v>
      </c>
      <c r="H49" s="196"/>
    </row>
    <row r="50" spans="1:8" ht="8.4" customHeight="1">
      <c r="A50" s="521" t="s">
        <v>471</v>
      </c>
      <c r="B50" s="400"/>
      <c r="C50" s="401"/>
      <c r="D50" s="401"/>
      <c r="E50" s="401">
        <v>2635.5837999999999</v>
      </c>
      <c r="F50" s="401">
        <v>2635.5837999999999</v>
      </c>
      <c r="G50" s="523">
        <v>11801.996949999999</v>
      </c>
      <c r="H50" s="196"/>
    </row>
    <row r="51" spans="1:8" ht="8.4" customHeight="1">
      <c r="A51" s="520" t="s">
        <v>87</v>
      </c>
      <c r="B51" s="299" t="s">
        <v>285</v>
      </c>
      <c r="C51" s="493">
        <v>405859.72500000003</v>
      </c>
      <c r="D51" s="493"/>
      <c r="E51" s="493"/>
      <c r="F51" s="493">
        <v>405859.72500000003</v>
      </c>
      <c r="G51" s="522">
        <v>2001259.9644000002</v>
      </c>
      <c r="H51" s="196"/>
    </row>
    <row r="52" spans="1:8" ht="8.4" customHeight="1">
      <c r="A52" s="520"/>
      <c r="B52" s="299" t="s">
        <v>286</v>
      </c>
      <c r="C52" s="493">
        <v>129214.88688000001</v>
      </c>
      <c r="D52" s="493"/>
      <c r="E52" s="493"/>
      <c r="F52" s="493">
        <v>129214.88688000001</v>
      </c>
      <c r="G52" s="522">
        <v>644247.8112</v>
      </c>
      <c r="H52" s="196"/>
    </row>
    <row r="53" spans="1:8" ht="8.4" customHeight="1">
      <c r="A53" s="521" t="s">
        <v>472</v>
      </c>
      <c r="B53" s="400"/>
      <c r="C53" s="401">
        <v>535074.61187999998</v>
      </c>
      <c r="D53" s="401"/>
      <c r="E53" s="401"/>
      <c r="F53" s="401">
        <v>535074.61187999998</v>
      </c>
      <c r="G53" s="523">
        <v>2645507.7756000003</v>
      </c>
      <c r="H53" s="196"/>
    </row>
    <row r="54" spans="1:8" ht="8.4" customHeight="1">
      <c r="A54" s="520" t="s">
        <v>230</v>
      </c>
      <c r="B54" s="299" t="s">
        <v>287</v>
      </c>
      <c r="C54" s="493">
        <v>182802.11957749998</v>
      </c>
      <c r="D54" s="493"/>
      <c r="E54" s="493"/>
      <c r="F54" s="493">
        <v>182802.11957749998</v>
      </c>
      <c r="G54" s="522">
        <v>1199799.8752549998</v>
      </c>
      <c r="H54" s="196"/>
    </row>
    <row r="55" spans="1:8" ht="8.4" customHeight="1">
      <c r="A55" s="520"/>
      <c r="B55" s="299" t="s">
        <v>288</v>
      </c>
      <c r="C55" s="493">
        <v>4643.8190075000002</v>
      </c>
      <c r="D55" s="493"/>
      <c r="E55" s="493"/>
      <c r="F55" s="493">
        <v>4643.8190075000002</v>
      </c>
      <c r="G55" s="522">
        <v>22436.735460000004</v>
      </c>
      <c r="H55" s="111"/>
    </row>
    <row r="56" spans="1:8" ht="8.4" customHeight="1">
      <c r="A56" s="521" t="s">
        <v>473</v>
      </c>
      <c r="B56" s="400"/>
      <c r="C56" s="401">
        <v>187445.93858499997</v>
      </c>
      <c r="D56" s="401"/>
      <c r="E56" s="401"/>
      <c r="F56" s="401">
        <v>187445.93858499997</v>
      </c>
      <c r="G56" s="523">
        <v>1222236.610715</v>
      </c>
      <c r="H56" s="111"/>
    </row>
    <row r="57" spans="1:8" ht="8.4" customHeight="1">
      <c r="A57" s="520" t="s">
        <v>231</v>
      </c>
      <c r="B57" s="299" t="s">
        <v>289</v>
      </c>
      <c r="C57" s="493">
        <v>16782.461352499999</v>
      </c>
      <c r="D57" s="493"/>
      <c r="E57" s="493"/>
      <c r="F57" s="493">
        <v>16782.461352499999</v>
      </c>
      <c r="G57" s="522">
        <v>119331.0486375</v>
      </c>
      <c r="H57" s="111"/>
    </row>
    <row r="58" spans="1:8" ht="8.4" customHeight="1">
      <c r="A58" s="521" t="s">
        <v>474</v>
      </c>
      <c r="B58" s="400"/>
      <c r="C58" s="401">
        <v>16782.461352499999</v>
      </c>
      <c r="D58" s="401"/>
      <c r="E58" s="401"/>
      <c r="F58" s="401">
        <v>16782.461352499999</v>
      </c>
      <c r="G58" s="523">
        <v>119331.0486375</v>
      </c>
      <c r="H58" s="111"/>
    </row>
    <row r="59" spans="1:8" ht="8.4" customHeight="1">
      <c r="A59" s="520" t="s">
        <v>450</v>
      </c>
      <c r="B59" s="299" t="s">
        <v>63</v>
      </c>
      <c r="C59" s="493"/>
      <c r="D59" s="493"/>
      <c r="E59" s="493">
        <v>4556.2250199999999</v>
      </c>
      <c r="F59" s="493">
        <v>4556.2250199999999</v>
      </c>
      <c r="G59" s="522">
        <v>27344.740505000002</v>
      </c>
      <c r="H59" s="111"/>
    </row>
    <row r="60" spans="1:8" ht="8.4" customHeight="1">
      <c r="A60" s="520"/>
      <c r="B60" s="299" t="s">
        <v>62</v>
      </c>
      <c r="C60" s="493"/>
      <c r="D60" s="493"/>
      <c r="E60" s="493">
        <v>4884.0316924999997</v>
      </c>
      <c r="F60" s="493">
        <v>4884.0316924999997</v>
      </c>
      <c r="G60" s="522">
        <v>28529.050942499998</v>
      </c>
      <c r="H60" s="111"/>
    </row>
    <row r="61" spans="1:8" ht="8.4" customHeight="1">
      <c r="A61" s="520"/>
      <c r="B61" s="299" t="s">
        <v>58</v>
      </c>
      <c r="C61" s="493"/>
      <c r="D61" s="493"/>
      <c r="E61" s="493">
        <v>8866.5112300000001</v>
      </c>
      <c r="F61" s="493">
        <v>8866.5112300000001</v>
      </c>
      <c r="G61" s="522">
        <v>57844.720914999998</v>
      </c>
      <c r="H61" s="111"/>
    </row>
    <row r="62" spans="1:8" ht="8.4" customHeight="1">
      <c r="A62" s="520"/>
      <c r="B62" s="299" t="s">
        <v>55</v>
      </c>
      <c r="C62" s="493"/>
      <c r="D62" s="493"/>
      <c r="E62" s="493">
        <v>11127.654235</v>
      </c>
      <c r="F62" s="493">
        <v>11127.654235</v>
      </c>
      <c r="G62" s="522">
        <v>66369.434139999998</v>
      </c>
      <c r="H62" s="111"/>
    </row>
    <row r="63" spans="1:8" ht="8.4" customHeight="1">
      <c r="A63" s="520"/>
      <c r="B63" s="299" t="s">
        <v>66</v>
      </c>
      <c r="C63" s="493"/>
      <c r="D63" s="493"/>
      <c r="E63" s="493">
        <v>2447.7976250000002</v>
      </c>
      <c r="F63" s="493">
        <v>2447.7976250000002</v>
      </c>
      <c r="G63" s="522">
        <v>16991.513832500001</v>
      </c>
      <c r="H63" s="111"/>
    </row>
    <row r="64" spans="1:8" ht="8.4" customHeight="1">
      <c r="A64" s="520"/>
      <c r="B64" s="299" t="s">
        <v>65</v>
      </c>
      <c r="C64" s="493"/>
      <c r="D64" s="493"/>
      <c r="E64" s="493">
        <v>2784.9536625000001</v>
      </c>
      <c r="F64" s="493">
        <v>2784.9536625000001</v>
      </c>
      <c r="G64" s="522">
        <v>19247.757075000001</v>
      </c>
      <c r="H64" s="197"/>
    </row>
    <row r="65" spans="1:8" ht="8.4" customHeight="1">
      <c r="A65" s="521" t="s">
        <v>475</v>
      </c>
      <c r="B65" s="400"/>
      <c r="C65" s="401"/>
      <c r="D65" s="401"/>
      <c r="E65" s="401">
        <v>34667.173465</v>
      </c>
      <c r="F65" s="401">
        <v>34667.173465</v>
      </c>
      <c r="G65" s="523">
        <v>216327.21740999998</v>
      </c>
      <c r="H65" s="197"/>
    </row>
    <row r="66" spans="1:8" ht="8.4" customHeight="1">
      <c r="A66" s="520" t="s">
        <v>86</v>
      </c>
      <c r="B66" s="299" t="s">
        <v>437</v>
      </c>
      <c r="C66" s="493">
        <v>36685.234499999999</v>
      </c>
      <c r="D66" s="493"/>
      <c r="E66" s="493"/>
      <c r="F66" s="493">
        <v>36685.234499999999</v>
      </c>
      <c r="G66" s="522">
        <v>221894.024</v>
      </c>
      <c r="H66" s="197"/>
    </row>
    <row r="67" spans="1:8" ht="8.4" customHeight="1">
      <c r="A67" s="520"/>
      <c r="B67" s="299" t="s">
        <v>290</v>
      </c>
      <c r="C67" s="493">
        <v>22003.86075</v>
      </c>
      <c r="D67" s="493"/>
      <c r="E67" s="493"/>
      <c r="F67" s="493">
        <v>22003.86075</v>
      </c>
      <c r="G67" s="522">
        <v>82108.504499999995</v>
      </c>
      <c r="H67" s="197"/>
    </row>
    <row r="68" spans="1:8" ht="8.4" customHeight="1">
      <c r="A68" s="520"/>
      <c r="B68" s="299" t="s">
        <v>291</v>
      </c>
      <c r="C68" s="493">
        <v>65993.023749999993</v>
      </c>
      <c r="D68" s="493"/>
      <c r="E68" s="493"/>
      <c r="F68" s="493">
        <v>65993.023749999993</v>
      </c>
      <c r="G68" s="522">
        <v>489652.34049999999</v>
      </c>
      <c r="H68" s="197"/>
    </row>
    <row r="69" spans="1:8" ht="8.4" customHeight="1">
      <c r="A69" s="520"/>
      <c r="B69" s="299" t="s">
        <v>292</v>
      </c>
      <c r="C69" s="493">
        <v>79638.067999999999</v>
      </c>
      <c r="D69" s="493"/>
      <c r="E69" s="493"/>
      <c r="F69" s="493">
        <v>79638.067999999999</v>
      </c>
      <c r="G69" s="522">
        <v>416546.04000000004</v>
      </c>
      <c r="H69" s="197"/>
    </row>
    <row r="70" spans="1:8" ht="8.4" customHeight="1">
      <c r="A70" s="520"/>
      <c r="B70" s="299" t="s">
        <v>293</v>
      </c>
      <c r="C70" s="493">
        <v>46250.308749999997</v>
      </c>
      <c r="D70" s="493"/>
      <c r="E70" s="493"/>
      <c r="F70" s="493">
        <v>46250.308749999997</v>
      </c>
      <c r="G70" s="522">
        <v>212584.55550000002</v>
      </c>
    </row>
    <row r="71" spans="1:8" ht="8.4" customHeight="1">
      <c r="A71" s="520"/>
      <c r="B71" s="299" t="s">
        <v>294</v>
      </c>
      <c r="C71" s="493"/>
      <c r="D71" s="493">
        <v>89819.964999999997</v>
      </c>
      <c r="E71" s="493"/>
      <c r="F71" s="493">
        <v>89819.964999999997</v>
      </c>
      <c r="G71" s="522">
        <v>201400.82375000001</v>
      </c>
    </row>
    <row r="72" spans="1:8" ht="8.4" customHeight="1">
      <c r="A72" s="520"/>
      <c r="B72" s="299" t="s">
        <v>295</v>
      </c>
      <c r="C72" s="493"/>
      <c r="D72" s="493">
        <v>100691.56449999999</v>
      </c>
      <c r="E72" s="493"/>
      <c r="F72" s="493">
        <v>100691.56449999999</v>
      </c>
      <c r="G72" s="522">
        <v>222609.22949999999</v>
      </c>
    </row>
    <row r="73" spans="1:8" ht="8.4" customHeight="1">
      <c r="A73" s="520"/>
      <c r="B73" s="299" t="s">
        <v>296</v>
      </c>
      <c r="C73" s="493"/>
      <c r="D73" s="493">
        <v>198640.12575000001</v>
      </c>
      <c r="E73" s="493"/>
      <c r="F73" s="493">
        <v>198640.12575000001</v>
      </c>
      <c r="G73" s="522">
        <v>1045108.6664999999</v>
      </c>
    </row>
    <row r="74" spans="1:8" ht="8.4" customHeight="1">
      <c r="A74" s="520"/>
      <c r="B74" s="299" t="s">
        <v>398</v>
      </c>
      <c r="C74" s="493"/>
      <c r="D74" s="493"/>
      <c r="E74" s="493">
        <v>472.57</v>
      </c>
      <c r="F74" s="493">
        <v>472.57</v>
      </c>
      <c r="G74" s="522">
        <v>1590.9517499999999</v>
      </c>
    </row>
    <row r="75" spans="1:8" ht="8.4" customHeight="1">
      <c r="A75" s="521" t="s">
        <v>476</v>
      </c>
      <c r="B75" s="400"/>
      <c r="C75" s="401">
        <v>250570.49574999997</v>
      </c>
      <c r="D75" s="401">
        <v>389151.65525000001</v>
      </c>
      <c r="E75" s="401">
        <v>472.57</v>
      </c>
      <c r="F75" s="401">
        <v>640194.7209999999</v>
      </c>
      <c r="G75" s="523">
        <v>2893495.1359999999</v>
      </c>
    </row>
    <row r="76" spans="1:8" ht="8.4" customHeight="1">
      <c r="A76" s="520" t="s">
        <v>94</v>
      </c>
      <c r="B76" s="299" t="s">
        <v>297</v>
      </c>
      <c r="C76" s="493"/>
      <c r="D76" s="493">
        <v>344.31975</v>
      </c>
      <c r="E76" s="493"/>
      <c r="F76" s="493">
        <v>344.31975</v>
      </c>
      <c r="G76" s="522">
        <v>2660.7467500000002</v>
      </c>
    </row>
    <row r="77" spans="1:8" ht="8.4" customHeight="1">
      <c r="A77" s="520"/>
      <c r="B77" s="299" t="s">
        <v>298</v>
      </c>
      <c r="C77" s="493"/>
      <c r="D77" s="493">
        <v>61337.124499999998</v>
      </c>
      <c r="E77" s="493"/>
      <c r="F77" s="493">
        <v>61337.124499999998</v>
      </c>
      <c r="G77" s="522">
        <v>241062.77550000002</v>
      </c>
    </row>
    <row r="78" spans="1:8" ht="8.4" customHeight="1">
      <c r="A78" s="520"/>
      <c r="B78" s="299" t="s">
        <v>299</v>
      </c>
      <c r="C78" s="493"/>
      <c r="D78" s="493">
        <v>1165.7962500000001</v>
      </c>
      <c r="E78" s="493"/>
      <c r="F78" s="493">
        <v>1165.7962500000001</v>
      </c>
      <c r="G78" s="522">
        <v>48965.911500000002</v>
      </c>
    </row>
    <row r="79" spans="1:8" ht="8.4" customHeight="1">
      <c r="A79" s="521" t="s">
        <v>477</v>
      </c>
      <c r="B79" s="400"/>
      <c r="C79" s="401"/>
      <c r="D79" s="401">
        <v>62847.2405</v>
      </c>
      <c r="E79" s="401"/>
      <c r="F79" s="401">
        <v>62847.2405</v>
      </c>
      <c r="G79" s="523">
        <v>292689.43375000003</v>
      </c>
    </row>
    <row r="80" spans="1:8" ht="8.4" customHeight="1">
      <c r="A80" s="520" t="s">
        <v>96</v>
      </c>
      <c r="B80" s="299" t="s">
        <v>405</v>
      </c>
      <c r="C80" s="493"/>
      <c r="D80" s="493"/>
      <c r="E80" s="493">
        <v>31416.789250000002</v>
      </c>
      <c r="F80" s="493">
        <v>31416.789250000002</v>
      </c>
      <c r="G80" s="522">
        <v>164658.23475</v>
      </c>
    </row>
    <row r="81" spans="1:7" ht="8.4" customHeight="1">
      <c r="A81" s="520"/>
      <c r="B81" s="299" t="s">
        <v>404</v>
      </c>
      <c r="C81" s="493"/>
      <c r="D81" s="493"/>
      <c r="E81" s="493">
        <v>43749.299749999998</v>
      </c>
      <c r="F81" s="493">
        <v>43749.299749999998</v>
      </c>
      <c r="G81" s="522">
        <v>161727.777</v>
      </c>
    </row>
    <row r="82" spans="1:7" ht="8.4" customHeight="1">
      <c r="A82" s="520"/>
      <c r="B82" s="299" t="s">
        <v>613</v>
      </c>
      <c r="C82" s="493"/>
      <c r="D82" s="493"/>
      <c r="E82" s="493">
        <v>1715.5215000000001</v>
      </c>
      <c r="F82" s="493">
        <v>1715.5215000000001</v>
      </c>
      <c r="G82" s="522">
        <v>1954.4365</v>
      </c>
    </row>
    <row r="83" spans="1:7" ht="8.4" customHeight="1">
      <c r="A83" s="521" t="s">
        <v>478</v>
      </c>
      <c r="B83" s="400"/>
      <c r="C83" s="401"/>
      <c r="D83" s="401"/>
      <c r="E83" s="401">
        <v>76881.61050000001</v>
      </c>
      <c r="F83" s="401">
        <v>76881.61050000001</v>
      </c>
      <c r="G83" s="523">
        <v>328340.44825000002</v>
      </c>
    </row>
    <row r="84" spans="1:7" ht="8.4" customHeight="1">
      <c r="A84" s="520" t="s">
        <v>95</v>
      </c>
      <c r="B84" s="299" t="s">
        <v>75</v>
      </c>
      <c r="C84" s="493"/>
      <c r="D84" s="493"/>
      <c r="E84" s="493">
        <v>26400.715082499999</v>
      </c>
      <c r="F84" s="493">
        <v>26400.715082499999</v>
      </c>
      <c r="G84" s="522">
        <v>95767.090597500006</v>
      </c>
    </row>
    <row r="85" spans="1:7" ht="8.4" customHeight="1">
      <c r="A85" s="520"/>
      <c r="B85" s="299" t="s">
        <v>77</v>
      </c>
      <c r="C85" s="493"/>
      <c r="D85" s="493"/>
      <c r="E85" s="493">
        <v>10002.5321625</v>
      </c>
      <c r="F85" s="493">
        <v>10002.5321625</v>
      </c>
      <c r="G85" s="522">
        <v>28020.595805000001</v>
      </c>
    </row>
    <row r="86" spans="1:7" ht="8.4" customHeight="1">
      <c r="A86" s="521" t="s">
        <v>479</v>
      </c>
      <c r="B86" s="400"/>
      <c r="C86" s="401"/>
      <c r="D86" s="401"/>
      <c r="E86" s="401">
        <v>36403.247244999999</v>
      </c>
      <c r="F86" s="401">
        <v>36403.247244999999</v>
      </c>
      <c r="G86" s="523">
        <v>123787.68640250001</v>
      </c>
    </row>
    <row r="87"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zoomScale="130" zoomScaleNormal="100" zoomScaleSheetLayoutView="130" zoomScalePageLayoutView="130" workbookViewId="0">
      <selection activeCell="J3" sqref="J3"/>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32" t="s">
        <v>243</v>
      </c>
      <c r="B1" s="935" t="s">
        <v>52</v>
      </c>
      <c r="C1" s="938" t="str">
        <f>+'18. ANEXOI-1'!C2:F2</f>
        <v>ENERGÍA PRODUCIDA MAYO 2023</v>
      </c>
      <c r="D1" s="938"/>
      <c r="E1" s="938"/>
      <c r="F1" s="938"/>
      <c r="G1" s="494" t="s">
        <v>264</v>
      </c>
      <c r="H1" s="203"/>
    </row>
    <row r="2" spans="1:8" ht="11.25" customHeight="1">
      <c r="A2" s="933"/>
      <c r="B2" s="936"/>
      <c r="C2" s="939" t="s">
        <v>265</v>
      </c>
      <c r="D2" s="939"/>
      <c r="E2" s="939"/>
      <c r="F2" s="940" t="str">
        <f>"TOTAL 
"&amp;UPPER('1. Resumen'!Q4)</f>
        <v>TOTAL 
MAYO</v>
      </c>
      <c r="G2" s="495" t="s">
        <v>266</v>
      </c>
      <c r="H2" s="194"/>
    </row>
    <row r="3" spans="1:8" ht="11.25" customHeight="1">
      <c r="A3" s="933"/>
      <c r="B3" s="936"/>
      <c r="C3" s="490" t="s">
        <v>208</v>
      </c>
      <c r="D3" s="490" t="s">
        <v>209</v>
      </c>
      <c r="E3" s="490" t="s">
        <v>267</v>
      </c>
      <c r="F3" s="941"/>
      <c r="G3" s="495">
        <v>2023</v>
      </c>
      <c r="H3" s="196"/>
    </row>
    <row r="4" spans="1:8" ht="11.25" customHeight="1">
      <c r="A4" s="942"/>
      <c r="B4" s="943"/>
      <c r="C4" s="491" t="s">
        <v>268</v>
      </c>
      <c r="D4" s="491" t="s">
        <v>268</v>
      </c>
      <c r="E4" s="491" t="s">
        <v>268</v>
      </c>
      <c r="F4" s="491" t="s">
        <v>268</v>
      </c>
      <c r="G4" s="496" t="s">
        <v>201</v>
      </c>
      <c r="H4" s="196"/>
    </row>
    <row r="5" spans="1:8" ht="9" customHeight="1">
      <c r="A5" s="520" t="s">
        <v>85</v>
      </c>
      <c r="B5" s="299" t="s">
        <v>300</v>
      </c>
      <c r="C5" s="493">
        <v>0</v>
      </c>
      <c r="D5" s="493"/>
      <c r="E5" s="493"/>
      <c r="F5" s="493">
        <v>0</v>
      </c>
      <c r="G5" s="522">
        <v>110650.23636499999</v>
      </c>
    </row>
    <row r="6" spans="1:8" ht="9" customHeight="1">
      <c r="A6" s="520"/>
      <c r="B6" s="299" t="s">
        <v>301</v>
      </c>
      <c r="C6" s="493">
        <v>69064.563987500005</v>
      </c>
      <c r="D6" s="493"/>
      <c r="E6" s="493"/>
      <c r="F6" s="493">
        <v>69064.563987500005</v>
      </c>
      <c r="G6" s="522">
        <v>410489.48946250009</v>
      </c>
    </row>
    <row r="7" spans="1:8" ht="9" customHeight="1">
      <c r="A7" s="520"/>
      <c r="B7" s="299" t="s">
        <v>302</v>
      </c>
      <c r="C7" s="493"/>
      <c r="D7" s="493">
        <v>554526.19923999999</v>
      </c>
      <c r="E7" s="493"/>
      <c r="F7" s="493">
        <v>554526.19923999999</v>
      </c>
      <c r="G7" s="522">
        <v>2174396.5243875002</v>
      </c>
    </row>
    <row r="8" spans="1:8" ht="9" customHeight="1">
      <c r="A8" s="520"/>
      <c r="B8" s="299" t="s">
        <v>303</v>
      </c>
      <c r="C8" s="493"/>
      <c r="D8" s="493">
        <v>32962.383020000001</v>
      </c>
      <c r="E8" s="493"/>
      <c r="F8" s="493">
        <v>32962.383020000001</v>
      </c>
      <c r="G8" s="522">
        <v>174192.19960250001</v>
      </c>
    </row>
    <row r="9" spans="1:8" ht="9" customHeight="1">
      <c r="A9" s="520"/>
      <c r="B9" s="299" t="s">
        <v>304</v>
      </c>
      <c r="C9" s="493"/>
      <c r="D9" s="493">
        <v>454.36893500000002</v>
      </c>
      <c r="E9" s="493"/>
      <c r="F9" s="493">
        <v>454.36893500000002</v>
      </c>
      <c r="G9" s="522">
        <v>1164.13122</v>
      </c>
    </row>
    <row r="10" spans="1:8" ht="9" customHeight="1">
      <c r="A10" s="520"/>
      <c r="B10" s="299" t="s">
        <v>305</v>
      </c>
      <c r="C10" s="493"/>
      <c r="D10" s="493">
        <v>6818.975375</v>
      </c>
      <c r="E10" s="493"/>
      <c r="F10" s="493">
        <v>6818.975375</v>
      </c>
      <c r="G10" s="522">
        <v>12958.081924999999</v>
      </c>
    </row>
    <row r="11" spans="1:8" ht="9" customHeight="1">
      <c r="A11" s="520"/>
      <c r="B11" s="299" t="s">
        <v>406</v>
      </c>
      <c r="C11" s="493"/>
      <c r="D11" s="493"/>
      <c r="E11" s="493">
        <v>7556.7521324999998</v>
      </c>
      <c r="F11" s="493">
        <v>7556.7521324999998</v>
      </c>
      <c r="G11" s="522">
        <v>39088.424682500001</v>
      </c>
    </row>
    <row r="12" spans="1:8" ht="9" customHeight="1">
      <c r="A12" s="520"/>
      <c r="B12" s="299" t="s">
        <v>555</v>
      </c>
      <c r="C12" s="493"/>
      <c r="D12" s="493"/>
      <c r="E12" s="493">
        <v>76558.113797500002</v>
      </c>
      <c r="F12" s="493">
        <v>76558.113797500002</v>
      </c>
      <c r="G12" s="522">
        <v>222463.50302500001</v>
      </c>
    </row>
    <row r="13" spans="1:8" ht="9" customHeight="1">
      <c r="A13" s="520"/>
      <c r="B13" s="299" t="s">
        <v>612</v>
      </c>
      <c r="C13" s="493"/>
      <c r="D13" s="493"/>
      <c r="E13" s="493">
        <v>1975.2066150000001</v>
      </c>
      <c r="F13" s="493">
        <v>1975.2066150000001</v>
      </c>
      <c r="G13" s="522">
        <v>1975.2066150000001</v>
      </c>
    </row>
    <row r="14" spans="1:8" ht="9" customHeight="1">
      <c r="A14" s="521" t="s">
        <v>480</v>
      </c>
      <c r="B14" s="400"/>
      <c r="C14" s="401">
        <v>69064.563987500005</v>
      </c>
      <c r="D14" s="401">
        <v>594761.92657000001</v>
      </c>
      <c r="E14" s="401">
        <v>86090.072545000003</v>
      </c>
      <c r="F14" s="401">
        <v>749916.56310250016</v>
      </c>
      <c r="G14" s="523">
        <v>3147377.7972850003</v>
      </c>
    </row>
    <row r="15" spans="1:8" ht="9" customHeight="1">
      <c r="A15" s="520" t="s">
        <v>232</v>
      </c>
      <c r="B15" s="299" t="s">
        <v>306</v>
      </c>
      <c r="C15" s="493"/>
      <c r="D15" s="493">
        <v>25742.578590000001</v>
      </c>
      <c r="E15" s="493"/>
      <c r="F15" s="493">
        <v>25742.578590000001</v>
      </c>
      <c r="G15" s="522">
        <v>995293.91211499996</v>
      </c>
    </row>
    <row r="16" spans="1:8" ht="9" customHeight="1">
      <c r="A16" s="521" t="s">
        <v>481</v>
      </c>
      <c r="B16" s="400"/>
      <c r="C16" s="401"/>
      <c r="D16" s="401">
        <v>25742.578590000001</v>
      </c>
      <c r="E16" s="401"/>
      <c r="F16" s="401">
        <v>25742.578590000001</v>
      </c>
      <c r="G16" s="523">
        <v>995293.91211499996</v>
      </c>
    </row>
    <row r="17" spans="1:7" ht="9" customHeight="1">
      <c r="A17" s="520" t="s">
        <v>431</v>
      </c>
      <c r="B17" s="299" t="s">
        <v>435</v>
      </c>
      <c r="C17" s="493"/>
      <c r="D17" s="493"/>
      <c r="E17" s="493">
        <v>12183.526632500001</v>
      </c>
      <c r="F17" s="493">
        <v>12183.526632500001</v>
      </c>
      <c r="G17" s="522">
        <v>67861.799767500008</v>
      </c>
    </row>
    <row r="18" spans="1:7" ht="9" customHeight="1">
      <c r="A18" s="520"/>
      <c r="B18" s="299" t="s">
        <v>432</v>
      </c>
      <c r="C18" s="493"/>
      <c r="D18" s="493"/>
      <c r="E18" s="493">
        <v>4160.2801925000003</v>
      </c>
      <c r="F18" s="493">
        <v>4160.2801925000003</v>
      </c>
      <c r="G18" s="522">
        <v>24738.857275000002</v>
      </c>
    </row>
    <row r="19" spans="1:7" ht="9" customHeight="1">
      <c r="A19" s="521" t="s">
        <v>482</v>
      </c>
      <c r="B19" s="400"/>
      <c r="C19" s="401"/>
      <c r="D19" s="401"/>
      <c r="E19" s="401">
        <v>16343.806825000001</v>
      </c>
      <c r="F19" s="401">
        <v>16343.806825000001</v>
      </c>
      <c r="G19" s="523">
        <v>92600.65704250001</v>
      </c>
    </row>
    <row r="20" spans="1:7" ht="9" customHeight="1">
      <c r="A20" s="520" t="s">
        <v>106</v>
      </c>
      <c r="B20" s="299" t="s">
        <v>64</v>
      </c>
      <c r="C20" s="493"/>
      <c r="D20" s="493"/>
      <c r="E20" s="493">
        <v>3670.3424675000001</v>
      </c>
      <c r="F20" s="493">
        <v>3670.3424675000001</v>
      </c>
      <c r="G20" s="522">
        <v>18088.255357499998</v>
      </c>
    </row>
    <row r="21" spans="1:7" ht="9" customHeight="1">
      <c r="A21" s="520"/>
      <c r="B21" s="299" t="s">
        <v>397</v>
      </c>
      <c r="C21" s="493"/>
      <c r="D21" s="493"/>
      <c r="E21" s="493">
        <v>7337.4696700000004</v>
      </c>
      <c r="F21" s="493">
        <v>7337.4696700000004</v>
      </c>
      <c r="G21" s="522">
        <v>52102.789042500001</v>
      </c>
    </row>
    <row r="22" spans="1:7" ht="9" customHeight="1">
      <c r="A22" s="520"/>
      <c r="B22" s="299" t="s">
        <v>395</v>
      </c>
      <c r="C22" s="493"/>
      <c r="D22" s="493"/>
      <c r="E22" s="493">
        <v>9254.4983924999997</v>
      </c>
      <c r="F22" s="493">
        <v>9254.4983924999997</v>
      </c>
      <c r="G22" s="522">
        <v>63184.269957500001</v>
      </c>
    </row>
    <row r="23" spans="1:7" ht="9" customHeight="1">
      <c r="A23" s="520"/>
      <c r="B23" s="299" t="s">
        <v>396</v>
      </c>
      <c r="C23" s="493"/>
      <c r="D23" s="493"/>
      <c r="E23" s="493">
        <v>9192.5216</v>
      </c>
      <c r="F23" s="493">
        <v>9192.5216</v>
      </c>
      <c r="G23" s="522">
        <v>61440.855250000001</v>
      </c>
    </row>
    <row r="24" spans="1:7" ht="9" customHeight="1">
      <c r="A24" s="729" t="s">
        <v>483</v>
      </c>
      <c r="B24" s="730"/>
      <c r="C24" s="731"/>
      <c r="D24" s="731"/>
      <c r="E24" s="731">
        <v>29454.832130000003</v>
      </c>
      <c r="F24" s="731">
        <v>29454.832130000003</v>
      </c>
      <c r="G24" s="732">
        <v>194816.16960749999</v>
      </c>
    </row>
    <row r="25" spans="1:7" ht="9" customHeight="1">
      <c r="A25" s="520" t="s">
        <v>447</v>
      </c>
      <c r="B25" s="299" t="s">
        <v>453</v>
      </c>
      <c r="C25" s="493"/>
      <c r="D25" s="493"/>
      <c r="E25" s="493">
        <v>6380.0188324999999</v>
      </c>
      <c r="F25" s="493">
        <v>6380.0188324999999</v>
      </c>
      <c r="G25" s="522">
        <v>21472.887535000002</v>
      </c>
    </row>
    <row r="26" spans="1:7" ht="9" customHeight="1">
      <c r="A26" s="521" t="s">
        <v>484</v>
      </c>
      <c r="B26" s="400"/>
      <c r="C26" s="401"/>
      <c r="D26" s="401"/>
      <c r="E26" s="401">
        <v>6380.0188324999999</v>
      </c>
      <c r="F26" s="401">
        <v>6380.0188324999999</v>
      </c>
      <c r="G26" s="523">
        <v>21472.887535000002</v>
      </c>
    </row>
    <row r="27" spans="1:7" ht="9" customHeight="1">
      <c r="A27" s="520" t="s">
        <v>448</v>
      </c>
      <c r="B27" s="299" t="s">
        <v>454</v>
      </c>
      <c r="C27" s="493"/>
      <c r="D27" s="493"/>
      <c r="E27" s="493">
        <v>8058.2082824999998</v>
      </c>
      <c r="F27" s="493">
        <v>8058.2082824999998</v>
      </c>
      <c r="G27" s="522">
        <v>26580.968449999997</v>
      </c>
    </row>
    <row r="28" spans="1:7" ht="9" customHeight="1">
      <c r="A28" s="521" t="s">
        <v>485</v>
      </c>
      <c r="B28" s="400"/>
      <c r="C28" s="401"/>
      <c r="D28" s="401"/>
      <c r="E28" s="401">
        <v>8058.2082824999998</v>
      </c>
      <c r="F28" s="401">
        <v>8058.2082824999998</v>
      </c>
      <c r="G28" s="523">
        <v>26580.968449999997</v>
      </c>
    </row>
    <row r="29" spans="1:7" ht="9" customHeight="1">
      <c r="A29" s="520" t="s">
        <v>112</v>
      </c>
      <c r="B29" s="299" t="s">
        <v>72</v>
      </c>
      <c r="C29" s="493"/>
      <c r="D29" s="493"/>
      <c r="E29" s="493">
        <v>2133.1</v>
      </c>
      <c r="F29" s="493">
        <v>2133.1</v>
      </c>
      <c r="G29" s="522">
        <v>11695</v>
      </c>
    </row>
    <row r="30" spans="1:7" ht="9" customHeight="1">
      <c r="A30" s="521" t="s">
        <v>486</v>
      </c>
      <c r="B30" s="400"/>
      <c r="C30" s="401"/>
      <c r="D30" s="401"/>
      <c r="E30" s="401">
        <v>2133.1</v>
      </c>
      <c r="F30" s="401">
        <v>2133.1</v>
      </c>
      <c r="G30" s="523">
        <v>11695</v>
      </c>
    </row>
    <row r="31" spans="1:7" ht="9" customHeight="1">
      <c r="A31" s="520" t="s">
        <v>101</v>
      </c>
      <c r="B31" s="299" t="s">
        <v>307</v>
      </c>
      <c r="C31" s="493">
        <v>5096.4264325000004</v>
      </c>
      <c r="D31" s="493"/>
      <c r="E31" s="493"/>
      <c r="F31" s="493">
        <v>5096.4264325000004</v>
      </c>
      <c r="G31" s="522">
        <v>55154.721902499994</v>
      </c>
    </row>
    <row r="32" spans="1:7" ht="9" customHeight="1">
      <c r="A32" s="521" t="s">
        <v>487</v>
      </c>
      <c r="B32" s="400"/>
      <c r="C32" s="401">
        <v>5096.4264325000004</v>
      </c>
      <c r="D32" s="401"/>
      <c r="E32" s="401"/>
      <c r="F32" s="401">
        <v>5096.4264325000004</v>
      </c>
      <c r="G32" s="523">
        <v>55154.721902499994</v>
      </c>
    </row>
    <row r="33" spans="1:7" ht="9" customHeight="1">
      <c r="A33" s="520" t="s">
        <v>233</v>
      </c>
      <c r="B33" s="299" t="s">
        <v>57</v>
      </c>
      <c r="C33" s="493"/>
      <c r="D33" s="493"/>
      <c r="E33" s="493">
        <v>13682.44975</v>
      </c>
      <c r="F33" s="493">
        <v>13682.44975</v>
      </c>
      <c r="G33" s="522">
        <v>61819.461500000005</v>
      </c>
    </row>
    <row r="34" spans="1:7" ht="9" customHeight="1">
      <c r="A34" s="521" t="s">
        <v>488</v>
      </c>
      <c r="B34" s="400"/>
      <c r="C34" s="401"/>
      <c r="D34" s="401"/>
      <c r="E34" s="401">
        <v>13682.44975</v>
      </c>
      <c r="F34" s="401">
        <v>13682.44975</v>
      </c>
      <c r="G34" s="523">
        <v>61819.461500000005</v>
      </c>
    </row>
    <row r="35" spans="1:7" ht="9" customHeight="1">
      <c r="A35" s="520" t="s">
        <v>408</v>
      </c>
      <c r="B35" s="299" t="s">
        <v>412</v>
      </c>
      <c r="C35" s="493">
        <v>64152.565340000001</v>
      </c>
      <c r="D35" s="493"/>
      <c r="E35" s="493"/>
      <c r="F35" s="493">
        <v>64152.565340000001</v>
      </c>
      <c r="G35" s="522">
        <v>316229.66673249996</v>
      </c>
    </row>
    <row r="36" spans="1:7" ht="9" customHeight="1">
      <c r="A36" s="521" t="s">
        <v>490</v>
      </c>
      <c r="B36" s="400"/>
      <c r="C36" s="401">
        <v>64152.565340000001</v>
      </c>
      <c r="D36" s="401"/>
      <c r="E36" s="401"/>
      <c r="F36" s="401">
        <v>64152.565340000001</v>
      </c>
      <c r="G36" s="523">
        <v>316229.66673249996</v>
      </c>
    </row>
    <row r="37" spans="1:7" ht="9" customHeight="1">
      <c r="A37" s="520" t="s">
        <v>439</v>
      </c>
      <c r="B37" s="299" t="s">
        <v>443</v>
      </c>
      <c r="C37" s="493"/>
      <c r="D37" s="493"/>
      <c r="E37" s="493">
        <v>5594.6121450000001</v>
      </c>
      <c r="F37" s="493">
        <v>5594.6121450000001</v>
      </c>
      <c r="G37" s="522">
        <v>40840.708482499998</v>
      </c>
    </row>
    <row r="38" spans="1:7" ht="9" customHeight="1">
      <c r="A38" s="521" t="s">
        <v>491</v>
      </c>
      <c r="B38" s="400"/>
      <c r="C38" s="401"/>
      <c r="D38" s="401"/>
      <c r="E38" s="401">
        <v>5594.6121450000001</v>
      </c>
      <c r="F38" s="401">
        <v>5594.6121450000001</v>
      </c>
      <c r="G38" s="523">
        <v>40840.708482499998</v>
      </c>
    </row>
    <row r="39" spans="1:7" s="46" customFormat="1" ht="9" customHeight="1">
      <c r="A39" s="520" t="s">
        <v>114</v>
      </c>
      <c r="B39" s="299" t="s">
        <v>309</v>
      </c>
      <c r="C39" s="493"/>
      <c r="D39" s="493">
        <v>269.823125</v>
      </c>
      <c r="E39" s="493"/>
      <c r="F39" s="493">
        <v>269.823125</v>
      </c>
      <c r="G39" s="522">
        <v>385.18000999999998</v>
      </c>
    </row>
    <row r="40" spans="1:7" ht="9" customHeight="1">
      <c r="A40" s="520"/>
      <c r="B40" s="299" t="s">
        <v>310</v>
      </c>
      <c r="C40" s="493"/>
      <c r="D40" s="493">
        <v>23.55668</v>
      </c>
      <c r="E40" s="493"/>
      <c r="F40" s="493">
        <v>23.55668</v>
      </c>
      <c r="G40" s="522">
        <v>541.69431000000009</v>
      </c>
    </row>
    <row r="41" spans="1:7" ht="9" customHeight="1">
      <c r="A41" s="521" t="s">
        <v>492</v>
      </c>
      <c r="B41" s="400"/>
      <c r="C41" s="401"/>
      <c r="D41" s="401">
        <v>293.37980500000003</v>
      </c>
      <c r="E41" s="401"/>
      <c r="F41" s="401">
        <v>293.37980500000003</v>
      </c>
      <c r="G41" s="523">
        <v>926.87432000000013</v>
      </c>
    </row>
    <row r="42" spans="1:7" ht="9" customHeight="1">
      <c r="A42" s="520" t="s">
        <v>392</v>
      </c>
      <c r="B42" s="299" t="s">
        <v>311</v>
      </c>
      <c r="C42" s="493"/>
      <c r="D42" s="493">
        <v>593136.98401749996</v>
      </c>
      <c r="E42" s="493"/>
      <c r="F42" s="493">
        <v>593136.98401749996</v>
      </c>
      <c r="G42" s="522">
        <v>2372470.9013550002</v>
      </c>
    </row>
    <row r="43" spans="1:7" ht="9" customHeight="1">
      <c r="A43" s="520"/>
      <c r="B43" s="299" t="s">
        <v>559</v>
      </c>
      <c r="C43" s="493"/>
      <c r="D43" s="493">
        <v>223569.80253000002</v>
      </c>
      <c r="E43" s="493"/>
      <c r="F43" s="493">
        <v>223569.80253000002</v>
      </c>
      <c r="G43" s="522">
        <v>909340.52422249992</v>
      </c>
    </row>
    <row r="44" spans="1:7" ht="9" customHeight="1">
      <c r="A44" s="520"/>
      <c r="B44" s="299" t="s">
        <v>410</v>
      </c>
      <c r="C44" s="493">
        <v>204572.1000875</v>
      </c>
      <c r="D44" s="493"/>
      <c r="E44" s="493"/>
      <c r="F44" s="493">
        <v>204572.1000875</v>
      </c>
      <c r="G44" s="522">
        <v>1446084.0900925</v>
      </c>
    </row>
    <row r="45" spans="1:7" ht="9" customHeight="1">
      <c r="A45" s="520"/>
      <c r="B45" s="299" t="s">
        <v>312</v>
      </c>
      <c r="C45" s="493">
        <v>3976.5527725000002</v>
      </c>
      <c r="D45" s="493"/>
      <c r="E45" s="493"/>
      <c r="F45" s="493">
        <v>3976.5527725000002</v>
      </c>
      <c r="G45" s="522">
        <v>28398.6672975</v>
      </c>
    </row>
    <row r="46" spans="1:7" ht="9" customHeight="1">
      <c r="A46" s="521" t="s">
        <v>493</v>
      </c>
      <c r="B46" s="400"/>
      <c r="C46" s="401">
        <v>208548.65286</v>
      </c>
      <c r="D46" s="401">
        <v>816706.78654749994</v>
      </c>
      <c r="E46" s="401"/>
      <c r="F46" s="401">
        <v>1025255.4394074999</v>
      </c>
      <c r="G46" s="523">
        <v>4756294.1829674998</v>
      </c>
    </row>
    <row r="47" spans="1:7" ht="9" customHeight="1">
      <c r="A47" s="520" t="s">
        <v>455</v>
      </c>
      <c r="B47" s="299" t="s">
        <v>532</v>
      </c>
      <c r="C47" s="493">
        <v>37408.592499999999</v>
      </c>
      <c r="D47" s="493"/>
      <c r="E47" s="493"/>
      <c r="F47" s="493">
        <v>37408.592499999999</v>
      </c>
      <c r="G47" s="522">
        <v>206637.14937999999</v>
      </c>
    </row>
    <row r="48" spans="1:7" ht="9" customHeight="1">
      <c r="A48" s="521" t="s">
        <v>494</v>
      </c>
      <c r="B48" s="400"/>
      <c r="C48" s="401">
        <v>37408.592499999999</v>
      </c>
      <c r="D48" s="401"/>
      <c r="E48" s="401"/>
      <c r="F48" s="401">
        <v>37408.592499999999</v>
      </c>
      <c r="G48" s="523">
        <v>206637.14937999999</v>
      </c>
    </row>
    <row r="49" spans="1:8" ht="9" customHeight="1">
      <c r="A49" s="520" t="s">
        <v>113</v>
      </c>
      <c r="B49" s="299" t="s">
        <v>70</v>
      </c>
      <c r="C49" s="493"/>
      <c r="D49" s="493"/>
      <c r="E49" s="493">
        <v>2435.8436824999999</v>
      </c>
      <c r="F49" s="493">
        <v>2435.8436824999999</v>
      </c>
      <c r="G49" s="522">
        <v>11884.831932500001</v>
      </c>
    </row>
    <row r="50" spans="1:8" ht="9" customHeight="1">
      <c r="A50" s="521" t="s">
        <v>495</v>
      </c>
      <c r="B50" s="400"/>
      <c r="C50" s="401"/>
      <c r="D50" s="401"/>
      <c r="E50" s="401">
        <v>2435.8436824999999</v>
      </c>
      <c r="F50" s="401">
        <v>2435.8436824999999</v>
      </c>
      <c r="G50" s="523">
        <v>11884.831932500001</v>
      </c>
      <c r="H50" s="319"/>
    </row>
    <row r="51" spans="1:8" ht="9" customHeight="1">
      <c r="A51" s="520" t="s">
        <v>445</v>
      </c>
      <c r="B51" s="299" t="s">
        <v>226</v>
      </c>
      <c r="C51" s="493"/>
      <c r="D51" s="493"/>
      <c r="E51" s="493">
        <v>3405.3330000000001</v>
      </c>
      <c r="F51" s="493">
        <v>3405.3330000000001</v>
      </c>
      <c r="G51" s="522">
        <v>18028.1414</v>
      </c>
    </row>
    <row r="52" spans="1:8" ht="9" customHeight="1">
      <c r="A52" s="521" t="s">
        <v>496</v>
      </c>
      <c r="B52" s="400"/>
      <c r="C52" s="401"/>
      <c r="D52" s="401"/>
      <c r="E52" s="401">
        <v>3405.3330000000001</v>
      </c>
      <c r="F52" s="401">
        <v>3405.3330000000001</v>
      </c>
      <c r="G52" s="523">
        <v>18028.1414</v>
      </c>
    </row>
    <row r="53" spans="1:8" ht="9" customHeight="1">
      <c r="A53" s="520" t="s">
        <v>108</v>
      </c>
      <c r="B53" s="299" t="s">
        <v>79</v>
      </c>
      <c r="C53" s="493"/>
      <c r="D53" s="493"/>
      <c r="E53" s="493">
        <v>3183.0456525</v>
      </c>
      <c r="F53" s="493">
        <v>3183.0456525</v>
      </c>
      <c r="G53" s="522">
        <v>18869.718797500002</v>
      </c>
    </row>
    <row r="54" spans="1:8" ht="9" customHeight="1">
      <c r="A54" s="521" t="s">
        <v>497</v>
      </c>
      <c r="B54" s="400"/>
      <c r="C54" s="401"/>
      <c r="D54" s="401"/>
      <c r="E54" s="401">
        <v>3183.0456525</v>
      </c>
      <c r="F54" s="401">
        <v>3183.0456525</v>
      </c>
      <c r="G54" s="523">
        <v>18869.718797500002</v>
      </c>
    </row>
    <row r="55" spans="1:8" ht="9" customHeight="1">
      <c r="A55" s="520" t="s">
        <v>234</v>
      </c>
      <c r="B55" s="299" t="s">
        <v>69</v>
      </c>
      <c r="C55" s="493"/>
      <c r="D55" s="493"/>
      <c r="E55" s="493">
        <v>4077.5545525000002</v>
      </c>
      <c r="F55" s="493">
        <v>4077.5545525000002</v>
      </c>
      <c r="G55" s="522">
        <v>15280.444965000001</v>
      </c>
    </row>
    <row r="56" spans="1:8" ht="9" customHeight="1">
      <c r="A56" s="520"/>
      <c r="B56" s="299" t="s">
        <v>313</v>
      </c>
      <c r="C56" s="493">
        <v>131582.16925500002</v>
      </c>
      <c r="D56" s="493"/>
      <c r="E56" s="493"/>
      <c r="F56" s="493">
        <v>131582.16925500002</v>
      </c>
      <c r="G56" s="522">
        <v>717736.13272250001</v>
      </c>
    </row>
    <row r="57" spans="1:8" ht="9" customHeight="1">
      <c r="A57" s="520"/>
      <c r="B57" s="299" t="s">
        <v>314</v>
      </c>
      <c r="C57" s="493">
        <v>67517.116905000003</v>
      </c>
      <c r="D57" s="493"/>
      <c r="E57" s="493"/>
      <c r="F57" s="493">
        <v>67517.116905000003</v>
      </c>
      <c r="G57" s="522">
        <v>308346.56342000002</v>
      </c>
    </row>
    <row r="58" spans="1:8" ht="9" customHeight="1">
      <c r="A58" s="520"/>
      <c r="B58" s="299" t="s">
        <v>60</v>
      </c>
      <c r="C58" s="493"/>
      <c r="D58" s="493"/>
      <c r="E58" s="493">
        <v>7385.0747375000001</v>
      </c>
      <c r="F58" s="493">
        <v>7385.0747375000001</v>
      </c>
      <c r="G58" s="522">
        <v>34670.436240000003</v>
      </c>
    </row>
    <row r="59" spans="1:8" ht="9" customHeight="1">
      <c r="A59" s="521" t="s">
        <v>498</v>
      </c>
      <c r="B59" s="400"/>
      <c r="C59" s="401">
        <v>199099.28616000002</v>
      </c>
      <c r="D59" s="401"/>
      <c r="E59" s="401">
        <v>11462.629290000001</v>
      </c>
      <c r="F59" s="401">
        <v>210561.91545</v>
      </c>
      <c r="G59" s="523">
        <v>1076033.5773475</v>
      </c>
    </row>
    <row r="60" spans="1:8" ht="9" customHeight="1">
      <c r="A60" s="520" t="s">
        <v>235</v>
      </c>
      <c r="B60" s="299" t="s">
        <v>76</v>
      </c>
      <c r="C60" s="493"/>
      <c r="D60" s="493"/>
      <c r="E60" s="493">
        <v>12337.785959999999</v>
      </c>
      <c r="F60" s="493">
        <v>12337.785959999999</v>
      </c>
      <c r="G60" s="522">
        <v>58351.886822499997</v>
      </c>
    </row>
    <row r="61" spans="1:8" ht="9" customHeight="1">
      <c r="A61" s="521" t="s">
        <v>499</v>
      </c>
      <c r="B61" s="400"/>
      <c r="C61" s="401"/>
      <c r="D61" s="401"/>
      <c r="E61" s="401">
        <v>12337.785959999999</v>
      </c>
      <c r="F61" s="401">
        <v>12337.785959999999</v>
      </c>
      <c r="G61" s="523">
        <v>58351.886822499997</v>
      </c>
    </row>
    <row r="62" spans="1:8" ht="9" customHeight="1">
      <c r="A62" s="520" t="s">
        <v>97</v>
      </c>
      <c r="B62" s="299" t="s">
        <v>74</v>
      </c>
      <c r="C62" s="493"/>
      <c r="D62" s="493"/>
      <c r="E62" s="493">
        <v>38773.1521975</v>
      </c>
      <c r="F62" s="493">
        <v>38773.1521975</v>
      </c>
      <c r="G62" s="522">
        <v>173583.44908499997</v>
      </c>
    </row>
    <row r="63" spans="1:8" ht="9" customHeight="1">
      <c r="A63" s="521" t="s">
        <v>500</v>
      </c>
      <c r="B63" s="400"/>
      <c r="C63" s="401"/>
      <c r="D63" s="401"/>
      <c r="E63" s="401">
        <v>38773.1521975</v>
      </c>
      <c r="F63" s="401">
        <v>38773.1521975</v>
      </c>
      <c r="G63" s="523">
        <v>173583.44908499997</v>
      </c>
    </row>
    <row r="64" spans="1:8" ht="9" customHeight="1">
      <c r="A64" s="520" t="s">
        <v>105</v>
      </c>
      <c r="B64" s="299" t="s">
        <v>225</v>
      </c>
      <c r="C64" s="493"/>
      <c r="D64" s="493"/>
      <c r="E64" s="493">
        <v>3827.5518525000002</v>
      </c>
      <c r="F64" s="493">
        <v>3827.5518525000002</v>
      </c>
      <c r="G64" s="522">
        <v>23227.5237825</v>
      </c>
    </row>
    <row r="65" spans="1:7" ht="9" customHeight="1">
      <c r="A65" s="521" t="s">
        <v>501</v>
      </c>
      <c r="B65" s="400"/>
      <c r="C65" s="401"/>
      <c r="D65" s="401"/>
      <c r="E65" s="401">
        <v>3827.5518525000002</v>
      </c>
      <c r="F65" s="401">
        <v>3827.5518525000002</v>
      </c>
      <c r="G65" s="523">
        <v>23227.5237825</v>
      </c>
    </row>
    <row r="66" spans="1:7" ht="9" customHeight="1">
      <c r="A66" s="520" t="s">
        <v>393</v>
      </c>
      <c r="B66" s="299" t="s">
        <v>83</v>
      </c>
      <c r="C66" s="493"/>
      <c r="D66" s="493"/>
      <c r="E66" s="493">
        <v>1558.4336250000001</v>
      </c>
      <c r="F66" s="493">
        <v>1558.4336250000001</v>
      </c>
      <c r="G66" s="522">
        <v>3220.829675</v>
      </c>
    </row>
    <row r="67" spans="1:7" ht="9" customHeight="1">
      <c r="A67" s="520"/>
      <c r="B67" s="299" t="s">
        <v>82</v>
      </c>
      <c r="C67" s="493"/>
      <c r="D67" s="493"/>
      <c r="E67" s="493">
        <v>2099.4484674999999</v>
      </c>
      <c r="F67" s="493">
        <v>2099.4484674999999</v>
      </c>
      <c r="G67" s="522">
        <v>10778.8115925</v>
      </c>
    </row>
    <row r="68" spans="1:7" ht="9" customHeight="1">
      <c r="A68" s="520"/>
      <c r="B68" s="299" t="s">
        <v>407</v>
      </c>
      <c r="C68" s="493"/>
      <c r="D68" s="493"/>
      <c r="E68" s="493">
        <v>1384.4009074999999</v>
      </c>
      <c r="F68" s="493">
        <v>1384.4009074999999</v>
      </c>
      <c r="G68" s="522">
        <v>6165.984082500001</v>
      </c>
    </row>
    <row r="69" spans="1:7" ht="9" customHeight="1">
      <c r="A69" s="520"/>
      <c r="B69" s="299" t="s">
        <v>442</v>
      </c>
      <c r="C69" s="493"/>
      <c r="D69" s="493"/>
      <c r="E69" s="493">
        <v>713.15104999999994</v>
      </c>
      <c r="F69" s="493">
        <v>713.15104999999994</v>
      </c>
      <c r="G69" s="522">
        <v>6118.8958999999995</v>
      </c>
    </row>
    <row r="70" spans="1:7" ht="10.199999999999999" customHeight="1">
      <c r="A70" s="521" t="s">
        <v>502</v>
      </c>
      <c r="B70" s="400"/>
      <c r="C70" s="401"/>
      <c r="D70" s="401"/>
      <c r="E70" s="401">
        <v>5755.4340499999998</v>
      </c>
      <c r="F70" s="401">
        <v>5755.4340499999998</v>
      </c>
      <c r="G70" s="523">
        <v>26284.521250000002</v>
      </c>
    </row>
    <row r="71" spans="1:7" ht="9" customHeight="1">
      <c r="A71" s="520" t="s">
        <v>236</v>
      </c>
      <c r="B71" s="299" t="s">
        <v>315</v>
      </c>
      <c r="C71" s="493"/>
      <c r="D71" s="493">
        <v>477.03449999999998</v>
      </c>
      <c r="E71" s="493"/>
      <c r="F71" s="493">
        <v>477.03449999999998</v>
      </c>
      <c r="G71" s="522">
        <v>2017.1897374999999</v>
      </c>
    </row>
    <row r="72" spans="1:7" ht="9" customHeight="1">
      <c r="A72" s="521" t="s">
        <v>503</v>
      </c>
      <c r="B72" s="400"/>
      <c r="C72" s="401"/>
      <c r="D72" s="401">
        <v>477.03449999999998</v>
      </c>
      <c r="E72" s="401"/>
      <c r="F72" s="401">
        <v>477.03449999999998</v>
      </c>
      <c r="G72" s="523">
        <v>2017.1897374999999</v>
      </c>
    </row>
    <row r="73" spans="1:7" ht="9" customHeight="1">
      <c r="A73" s="520" t="s">
        <v>446</v>
      </c>
      <c r="B73" s="299" t="s">
        <v>80</v>
      </c>
      <c r="C73" s="493"/>
      <c r="D73" s="493"/>
      <c r="E73" s="493">
        <v>3507.8406725</v>
      </c>
      <c r="F73" s="493">
        <v>3507.8406725</v>
      </c>
      <c r="G73" s="522">
        <v>17437.519317500002</v>
      </c>
    </row>
    <row r="74" spans="1:7" ht="9" customHeight="1">
      <c r="A74" s="521" t="s">
        <v>504</v>
      </c>
      <c r="B74" s="400"/>
      <c r="C74" s="401"/>
      <c r="D74" s="401"/>
      <c r="E74" s="401">
        <v>3507.8406725</v>
      </c>
      <c r="F74" s="401">
        <v>3507.8406725</v>
      </c>
      <c r="G74" s="523">
        <v>17437.519317500002</v>
      </c>
    </row>
    <row r="75" spans="1:7" ht="9" customHeight="1">
      <c r="A75" s="520" t="s">
        <v>422</v>
      </c>
      <c r="B75" s="299" t="s">
        <v>433</v>
      </c>
      <c r="C75" s="493"/>
      <c r="D75" s="493"/>
      <c r="E75" s="493">
        <v>12033.505822499999</v>
      </c>
      <c r="F75" s="493">
        <v>12033.505822499999</v>
      </c>
      <c r="G75" s="522">
        <v>68876.809694999989</v>
      </c>
    </row>
    <row r="76" spans="1:7" ht="9" customHeight="1">
      <c r="A76" s="521" t="s">
        <v>505</v>
      </c>
      <c r="B76" s="400"/>
      <c r="C76" s="401"/>
      <c r="D76" s="401"/>
      <c r="E76" s="401">
        <v>12033.505822499999</v>
      </c>
      <c r="F76" s="401">
        <v>12033.505822499999</v>
      </c>
      <c r="G76" s="523">
        <v>68876.809694999989</v>
      </c>
    </row>
    <row r="77" spans="1:7" ht="9" customHeight="1">
      <c r="A77" s="520" t="s">
        <v>102</v>
      </c>
      <c r="B77" s="299" t="s">
        <v>59</v>
      </c>
      <c r="C77" s="493"/>
      <c r="D77" s="493"/>
      <c r="E77" s="493">
        <v>13533.421689999999</v>
      </c>
      <c r="F77" s="493">
        <v>13533.421689999999</v>
      </c>
      <c r="G77" s="522">
        <v>63757.593572500002</v>
      </c>
    </row>
    <row r="78" spans="1:7" ht="9" customHeight="1">
      <c r="A78" s="521" t="s">
        <v>506</v>
      </c>
      <c r="B78" s="400"/>
      <c r="C78" s="401"/>
      <c r="D78" s="401"/>
      <c r="E78" s="401">
        <v>13533.421689999999</v>
      </c>
      <c r="F78" s="401">
        <v>13533.421689999999</v>
      </c>
      <c r="G78" s="523">
        <v>63757.593572500002</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7"/>
  <sheetViews>
    <sheetView showGridLines="0" view="pageBreakPreview" zoomScaleNormal="100" zoomScaleSheetLayoutView="100" zoomScalePageLayoutView="115" workbookViewId="0">
      <selection activeCell="L28" sqref="L28"/>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32" t="s">
        <v>243</v>
      </c>
      <c r="B1" s="935" t="s">
        <v>52</v>
      </c>
      <c r="C1" s="938" t="str">
        <f>+'19. ANEXOI-2'!C1:F1</f>
        <v>ENERGÍA PRODUCIDA MAYO 2023</v>
      </c>
      <c r="D1" s="938"/>
      <c r="E1" s="938"/>
      <c r="F1" s="938"/>
      <c r="G1" s="494" t="s">
        <v>264</v>
      </c>
      <c r="H1" s="203"/>
    </row>
    <row r="2" spans="1:8" ht="11.25" customHeight="1">
      <c r="A2" s="933"/>
      <c r="B2" s="936"/>
      <c r="C2" s="939" t="s">
        <v>265</v>
      </c>
      <c r="D2" s="939"/>
      <c r="E2" s="939"/>
      <c r="F2" s="940" t="str">
        <f>"TOTAL 
"&amp;UPPER('1. Resumen'!Q4)</f>
        <v>TOTAL 
MAYO</v>
      </c>
      <c r="G2" s="495" t="s">
        <v>266</v>
      </c>
      <c r="H2" s="194"/>
    </row>
    <row r="3" spans="1:8" ht="11.25" customHeight="1">
      <c r="A3" s="933"/>
      <c r="B3" s="936"/>
      <c r="C3" s="490" t="s">
        <v>208</v>
      </c>
      <c r="D3" s="490" t="s">
        <v>209</v>
      </c>
      <c r="E3" s="490" t="s">
        <v>267</v>
      </c>
      <c r="F3" s="941"/>
      <c r="G3" s="495">
        <v>2023</v>
      </c>
      <c r="H3" s="196"/>
    </row>
    <row r="4" spans="1:8" ht="11.25" customHeight="1">
      <c r="A4" s="942"/>
      <c r="B4" s="943"/>
      <c r="C4" s="491" t="s">
        <v>268</v>
      </c>
      <c r="D4" s="491" t="s">
        <v>268</v>
      </c>
      <c r="E4" s="491" t="s">
        <v>268</v>
      </c>
      <c r="F4" s="491" t="s">
        <v>268</v>
      </c>
      <c r="G4" s="496" t="s">
        <v>201</v>
      </c>
      <c r="H4" s="196"/>
    </row>
    <row r="5" spans="1:8" s="299" customFormat="1" ht="9" customHeight="1">
      <c r="A5" s="520" t="s">
        <v>237</v>
      </c>
      <c r="B5" s="299" t="s">
        <v>316</v>
      </c>
      <c r="C5" s="493"/>
      <c r="D5" s="493">
        <v>12743.7405925</v>
      </c>
      <c r="E5" s="493"/>
      <c r="F5" s="493">
        <v>12743.7405925</v>
      </c>
      <c r="G5" s="522">
        <v>20470.650464999999</v>
      </c>
    </row>
    <row r="6" spans="1:8" s="299" customFormat="1" ht="9" customHeight="1">
      <c r="A6" s="521" t="s">
        <v>507</v>
      </c>
      <c r="B6" s="400"/>
      <c r="C6" s="401"/>
      <c r="D6" s="401">
        <v>12743.7405925</v>
      </c>
      <c r="E6" s="401"/>
      <c r="F6" s="401">
        <v>12743.7405925</v>
      </c>
      <c r="G6" s="523">
        <v>20470.650464999999</v>
      </c>
    </row>
    <row r="7" spans="1:8" s="299" customFormat="1" ht="9" customHeight="1">
      <c r="A7" s="520" t="s">
        <v>93</v>
      </c>
      <c r="B7" s="299" t="s">
        <v>317</v>
      </c>
      <c r="C7" s="493">
        <v>69069.491662500004</v>
      </c>
      <c r="D7" s="493"/>
      <c r="E7" s="493"/>
      <c r="F7" s="493">
        <v>69069.491662500004</v>
      </c>
      <c r="G7" s="522">
        <v>374048.02827500005</v>
      </c>
    </row>
    <row r="8" spans="1:8" s="299" customFormat="1" ht="9" customHeight="1">
      <c r="A8" s="520"/>
      <c r="B8" s="299" t="s">
        <v>556</v>
      </c>
      <c r="C8" s="493">
        <v>0</v>
      </c>
      <c r="D8" s="493"/>
      <c r="E8" s="493"/>
      <c r="F8" s="493">
        <v>0</v>
      </c>
      <c r="G8" s="522">
        <v>0</v>
      </c>
    </row>
    <row r="9" spans="1:8" s="299" customFormat="1" ht="9" customHeight="1">
      <c r="A9" s="521" t="s">
        <v>508</v>
      </c>
      <c r="B9" s="400"/>
      <c r="C9" s="401">
        <v>69069.491662500004</v>
      </c>
      <c r="D9" s="401"/>
      <c r="E9" s="401"/>
      <c r="F9" s="401">
        <v>69069.491662500004</v>
      </c>
      <c r="G9" s="523">
        <v>374048.02827500005</v>
      </c>
    </row>
    <row r="10" spans="1:8" s="299" customFormat="1" ht="9" customHeight="1">
      <c r="A10" s="520" t="s">
        <v>409</v>
      </c>
      <c r="B10" s="299" t="s">
        <v>438</v>
      </c>
      <c r="C10" s="493"/>
      <c r="D10" s="493"/>
      <c r="E10" s="493">
        <v>3248.8336024999999</v>
      </c>
      <c r="F10" s="493">
        <v>3248.8336024999999</v>
      </c>
      <c r="G10" s="522">
        <v>15881.3708075</v>
      </c>
    </row>
    <row r="11" spans="1:8" s="299" customFormat="1" ht="9" customHeight="1">
      <c r="A11" s="521" t="s">
        <v>509</v>
      </c>
      <c r="B11" s="400"/>
      <c r="C11" s="401"/>
      <c r="D11" s="401"/>
      <c r="E11" s="401">
        <v>3248.8336024999999</v>
      </c>
      <c r="F11" s="401">
        <v>3248.8336024999999</v>
      </c>
      <c r="G11" s="523">
        <v>15881.3708075</v>
      </c>
    </row>
    <row r="12" spans="1:8" s="299" customFormat="1" ht="9" customHeight="1">
      <c r="A12" s="520" t="s">
        <v>384</v>
      </c>
      <c r="B12" s="299" t="s">
        <v>388</v>
      </c>
      <c r="C12" s="493"/>
      <c r="D12" s="493"/>
      <c r="E12" s="493">
        <v>14727.43374</v>
      </c>
      <c r="F12" s="493">
        <v>14727.43374</v>
      </c>
      <c r="G12" s="522">
        <v>70581.19902</v>
      </c>
    </row>
    <row r="13" spans="1:8" s="299" customFormat="1" ht="9" customHeight="1">
      <c r="A13" s="521" t="s">
        <v>510</v>
      </c>
      <c r="B13" s="400"/>
      <c r="C13" s="401"/>
      <c r="D13" s="401"/>
      <c r="E13" s="401">
        <v>14727.43374</v>
      </c>
      <c r="F13" s="401">
        <v>14727.43374</v>
      </c>
      <c r="G13" s="523">
        <v>70581.19902</v>
      </c>
    </row>
    <row r="14" spans="1:8" s="299" customFormat="1" ht="9" customHeight="1">
      <c r="A14" s="520" t="s">
        <v>100</v>
      </c>
      <c r="B14" s="299" t="s">
        <v>600</v>
      </c>
      <c r="C14" s="493"/>
      <c r="D14" s="493">
        <v>3585.8907349999999</v>
      </c>
      <c r="E14" s="493"/>
      <c r="F14" s="493">
        <v>3585.8907349999999</v>
      </c>
      <c r="G14" s="522">
        <v>8026.6231074999996</v>
      </c>
    </row>
    <row r="15" spans="1:8" s="299" customFormat="1" ht="9" customHeight="1">
      <c r="A15" s="521" t="s">
        <v>511</v>
      </c>
      <c r="B15" s="400"/>
      <c r="C15" s="401"/>
      <c r="D15" s="401">
        <v>3585.8907349999999</v>
      </c>
      <c r="E15" s="401"/>
      <c r="F15" s="401">
        <v>3585.8907349999999</v>
      </c>
      <c r="G15" s="523">
        <v>8026.6231074999996</v>
      </c>
    </row>
    <row r="16" spans="1:8" s="299" customFormat="1" ht="9" customHeight="1">
      <c r="A16" s="520" t="s">
        <v>115</v>
      </c>
      <c r="B16" s="299" t="s">
        <v>318</v>
      </c>
      <c r="C16" s="493"/>
      <c r="D16" s="493">
        <v>2160.8969750000001</v>
      </c>
      <c r="E16" s="493"/>
      <c r="F16" s="493">
        <v>2160.8969750000001</v>
      </c>
      <c r="G16" s="522">
        <v>4167.2591775000001</v>
      </c>
    </row>
    <row r="17" spans="1:7" s="299" customFormat="1" ht="9" customHeight="1">
      <c r="A17" s="521" t="s">
        <v>512</v>
      </c>
      <c r="B17" s="400"/>
      <c r="C17" s="401"/>
      <c r="D17" s="401">
        <v>2160.8969750000001</v>
      </c>
      <c r="E17" s="401"/>
      <c r="F17" s="401">
        <v>2160.8969750000001</v>
      </c>
      <c r="G17" s="523">
        <v>4167.2591775000001</v>
      </c>
    </row>
    <row r="18" spans="1:7" s="299" customFormat="1" ht="9" customHeight="1">
      <c r="A18" s="520" t="s">
        <v>109</v>
      </c>
      <c r="B18" s="299" t="s">
        <v>434</v>
      </c>
      <c r="C18" s="493"/>
      <c r="D18" s="493"/>
      <c r="E18" s="493">
        <v>14013.466582499999</v>
      </c>
      <c r="F18" s="493">
        <v>14013.466582499999</v>
      </c>
      <c r="G18" s="522">
        <v>71442.914894999994</v>
      </c>
    </row>
    <row r="19" spans="1:7" s="299" customFormat="1" ht="9" customHeight="1">
      <c r="A19" s="520"/>
      <c r="B19" s="299" t="s">
        <v>67</v>
      </c>
      <c r="C19" s="493"/>
      <c r="D19" s="493"/>
      <c r="E19" s="493">
        <v>5723.1339374999998</v>
      </c>
      <c r="F19" s="493">
        <v>5723.1339374999998</v>
      </c>
      <c r="G19" s="522">
        <v>20498.368127500002</v>
      </c>
    </row>
    <row r="20" spans="1:7" s="299" customFormat="1" ht="9" customHeight="1">
      <c r="A20" s="521" t="s">
        <v>513</v>
      </c>
      <c r="B20" s="400"/>
      <c r="C20" s="401"/>
      <c r="D20" s="401"/>
      <c r="E20" s="401">
        <v>19736.60052</v>
      </c>
      <c r="F20" s="401">
        <v>19736.60052</v>
      </c>
      <c r="G20" s="523">
        <v>91941.283022499993</v>
      </c>
    </row>
    <row r="21" spans="1:7" s="299" customFormat="1" ht="9" customHeight="1">
      <c r="A21" s="520" t="s">
        <v>88</v>
      </c>
      <c r="B21" s="299" t="s">
        <v>319</v>
      </c>
      <c r="C21" s="493">
        <v>32022.584985000001</v>
      </c>
      <c r="D21" s="493"/>
      <c r="E21" s="493"/>
      <c r="F21" s="493">
        <v>32022.584985000001</v>
      </c>
      <c r="G21" s="522">
        <v>136581.16632749999</v>
      </c>
    </row>
    <row r="22" spans="1:7" s="299" customFormat="1" ht="9" customHeight="1">
      <c r="A22" s="520"/>
      <c r="B22" s="299" t="s">
        <v>320</v>
      </c>
      <c r="C22" s="493">
        <v>61451.956875000003</v>
      </c>
      <c r="D22" s="493"/>
      <c r="E22" s="493"/>
      <c r="F22" s="493">
        <v>61451.956875000003</v>
      </c>
      <c r="G22" s="522">
        <v>442661.59728999995</v>
      </c>
    </row>
    <row r="23" spans="1:7" s="299" customFormat="1" ht="9" customHeight="1">
      <c r="A23" s="520"/>
      <c r="B23" s="299" t="s">
        <v>321</v>
      </c>
      <c r="C23" s="493">
        <v>21035.814494999999</v>
      </c>
      <c r="D23" s="493"/>
      <c r="E23" s="493"/>
      <c r="F23" s="493">
        <v>21035.814494999999</v>
      </c>
      <c r="G23" s="522">
        <v>91259.748819999993</v>
      </c>
    </row>
    <row r="24" spans="1:7" s="299" customFormat="1" ht="9" customHeight="1">
      <c r="A24" s="520"/>
      <c r="B24" s="299" t="s">
        <v>322</v>
      </c>
      <c r="C24" s="493">
        <v>21.036012499999998</v>
      </c>
      <c r="D24" s="493"/>
      <c r="E24" s="493"/>
      <c r="F24" s="493">
        <v>21.036012499999998</v>
      </c>
      <c r="G24" s="522">
        <v>119.5789</v>
      </c>
    </row>
    <row r="25" spans="1:7" s="299" customFormat="1" ht="9" customHeight="1">
      <c r="A25" s="520"/>
      <c r="B25" s="299" t="s">
        <v>323</v>
      </c>
      <c r="C25" s="493">
        <v>8018.8250000000007</v>
      </c>
      <c r="D25" s="493"/>
      <c r="E25" s="493"/>
      <c r="F25" s="493">
        <v>8018.8250000000007</v>
      </c>
      <c r="G25" s="522">
        <v>80488.016764999993</v>
      </c>
    </row>
    <row r="26" spans="1:7" s="299" customFormat="1" ht="9" customHeight="1">
      <c r="A26" s="520"/>
      <c r="B26" s="299" t="s">
        <v>324</v>
      </c>
      <c r="C26" s="493">
        <v>1392.868185</v>
      </c>
      <c r="D26" s="493"/>
      <c r="E26" s="493"/>
      <c r="F26" s="493">
        <v>1392.868185</v>
      </c>
      <c r="G26" s="522">
        <v>7706.2945425000007</v>
      </c>
    </row>
    <row r="27" spans="1:7" s="299" customFormat="1" ht="9" customHeight="1">
      <c r="A27" s="520"/>
      <c r="B27" s="299" t="s">
        <v>325</v>
      </c>
      <c r="C27" s="493">
        <v>4997.61841</v>
      </c>
      <c r="D27" s="493"/>
      <c r="E27" s="493"/>
      <c r="F27" s="493">
        <v>4997.61841</v>
      </c>
      <c r="G27" s="522">
        <v>25811.115249999999</v>
      </c>
    </row>
    <row r="28" spans="1:7" s="299" customFormat="1" ht="9" customHeight="1">
      <c r="A28" s="520"/>
      <c r="B28" s="299" t="s">
        <v>326</v>
      </c>
      <c r="C28" s="493">
        <v>1567.1050249999998</v>
      </c>
      <c r="D28" s="493"/>
      <c r="E28" s="493"/>
      <c r="F28" s="493">
        <v>1567.1050249999998</v>
      </c>
      <c r="G28" s="522">
        <v>5016.3937624999999</v>
      </c>
    </row>
    <row r="29" spans="1:7" s="299" customFormat="1" ht="9" customHeight="1">
      <c r="A29" s="520"/>
      <c r="B29" s="299" t="s">
        <v>327</v>
      </c>
      <c r="C29" s="493">
        <v>2469.2709024999999</v>
      </c>
      <c r="D29" s="493"/>
      <c r="E29" s="493"/>
      <c r="F29" s="493">
        <v>2469.2709024999999</v>
      </c>
      <c r="G29" s="522">
        <v>12588.407290000001</v>
      </c>
    </row>
    <row r="30" spans="1:7" s="299" customFormat="1" ht="9" customHeight="1">
      <c r="A30" s="520"/>
      <c r="B30" s="299" t="s">
        <v>328</v>
      </c>
      <c r="C30" s="493">
        <v>4.0470899999999999</v>
      </c>
      <c r="D30" s="493"/>
      <c r="E30" s="493"/>
      <c r="F30" s="493">
        <v>4.0470899999999999</v>
      </c>
      <c r="G30" s="522">
        <v>846.92204500000003</v>
      </c>
    </row>
    <row r="31" spans="1:7" s="299" customFormat="1" ht="9" customHeight="1">
      <c r="A31" s="520"/>
      <c r="B31" s="299" t="s">
        <v>329</v>
      </c>
      <c r="C31" s="493">
        <v>3.1222949999999998</v>
      </c>
      <c r="D31" s="493"/>
      <c r="E31" s="493"/>
      <c r="F31" s="493">
        <v>3.1222949999999998</v>
      </c>
      <c r="G31" s="522">
        <v>646.41201249999995</v>
      </c>
    </row>
    <row r="32" spans="1:7" s="299" customFormat="1" ht="9" customHeight="1">
      <c r="A32" s="520"/>
      <c r="B32" s="299" t="s">
        <v>330</v>
      </c>
      <c r="C32" s="493">
        <v>69925.044422499996</v>
      </c>
      <c r="D32" s="493"/>
      <c r="E32" s="493"/>
      <c r="F32" s="493">
        <v>69925.044422499996</v>
      </c>
      <c r="G32" s="522">
        <v>365587.40286000003</v>
      </c>
    </row>
    <row r="33" spans="1:8" s="299" customFormat="1" ht="9" customHeight="1">
      <c r="A33" s="521" t="s">
        <v>514</v>
      </c>
      <c r="B33" s="400"/>
      <c r="C33" s="401">
        <v>202909.29369750002</v>
      </c>
      <c r="D33" s="401"/>
      <c r="E33" s="401"/>
      <c r="F33" s="401">
        <v>202909.29369750002</v>
      </c>
      <c r="G33" s="523">
        <v>1169313.055865</v>
      </c>
    </row>
    <row r="34" spans="1:8" s="299" customFormat="1" ht="9" customHeight="1">
      <c r="A34" s="520" t="s">
        <v>107</v>
      </c>
      <c r="B34" s="299" t="s">
        <v>224</v>
      </c>
      <c r="C34" s="493"/>
      <c r="D34" s="493"/>
      <c r="E34" s="493">
        <v>3103.5376799999999</v>
      </c>
      <c r="F34" s="493">
        <v>3103.5376799999999</v>
      </c>
      <c r="G34" s="522">
        <v>23613.4603575</v>
      </c>
    </row>
    <row r="35" spans="1:8" s="299" customFormat="1" ht="9" customHeight="1">
      <c r="A35" s="521" t="s">
        <v>515</v>
      </c>
      <c r="B35" s="400"/>
      <c r="C35" s="401"/>
      <c r="D35" s="401"/>
      <c r="E35" s="401">
        <v>3103.5376799999999</v>
      </c>
      <c r="F35" s="401">
        <v>3103.5376799999999</v>
      </c>
      <c r="G35" s="523">
        <v>23613.4603575</v>
      </c>
    </row>
    <row r="36" spans="1:8" s="299" customFormat="1" ht="9" customHeight="1">
      <c r="A36" s="520" t="s">
        <v>98</v>
      </c>
      <c r="B36" s="299" t="s">
        <v>411</v>
      </c>
      <c r="C36" s="493"/>
      <c r="D36" s="493">
        <v>200147.60925000001</v>
      </c>
      <c r="E36" s="493"/>
      <c r="F36" s="493">
        <v>200147.60925000001</v>
      </c>
      <c r="G36" s="522">
        <v>573568.46086500003</v>
      </c>
    </row>
    <row r="37" spans="1:8" s="299" customFormat="1" ht="9" customHeight="1">
      <c r="A37" s="521" t="s">
        <v>516</v>
      </c>
      <c r="B37" s="400"/>
      <c r="C37" s="401"/>
      <c r="D37" s="401">
        <v>200147.60925000001</v>
      </c>
      <c r="E37" s="401"/>
      <c r="F37" s="401">
        <v>200147.60925000001</v>
      </c>
      <c r="G37" s="523">
        <v>573568.46086500003</v>
      </c>
    </row>
    <row r="38" spans="1:8" s="299" customFormat="1" ht="9" customHeight="1">
      <c r="A38" s="520" t="s">
        <v>103</v>
      </c>
      <c r="B38" s="299" t="s">
        <v>331</v>
      </c>
      <c r="C38" s="493"/>
      <c r="D38" s="493">
        <v>33322.661</v>
      </c>
      <c r="E38" s="493"/>
      <c r="F38" s="493">
        <v>33322.661</v>
      </c>
      <c r="G38" s="522">
        <v>88791.737174999987</v>
      </c>
    </row>
    <row r="39" spans="1:8" s="299" customFormat="1" ht="9" customHeight="1">
      <c r="A39" s="521" t="s">
        <v>517</v>
      </c>
      <c r="B39" s="400"/>
      <c r="C39" s="401"/>
      <c r="D39" s="401">
        <v>33322.661</v>
      </c>
      <c r="E39" s="401"/>
      <c r="F39" s="401">
        <v>33322.661</v>
      </c>
      <c r="G39" s="523">
        <v>88791.737174999987</v>
      </c>
    </row>
    <row r="40" spans="1:8">
      <c r="A40" s="386" t="s">
        <v>403</v>
      </c>
      <c r="B40" s="386"/>
      <c r="C40" s="385">
        <v>2236103.5400525006</v>
      </c>
      <c r="D40" s="385">
        <v>2153946.1003274997</v>
      </c>
      <c r="E40" s="385">
        <v>504166.56284249993</v>
      </c>
      <c r="F40" s="385">
        <v>4894216.203222502</v>
      </c>
      <c r="G40" s="497">
        <v>24246167.37141249</v>
      </c>
    </row>
    <row r="41" spans="1:8">
      <c r="A41" s="386" t="s">
        <v>332</v>
      </c>
      <c r="B41" s="386"/>
      <c r="C41" s="387"/>
      <c r="D41" s="387"/>
      <c r="E41" s="412"/>
      <c r="F41" s="388">
        <f>+'3. Tipo Generación'!D14*1000</f>
        <v>1437.3820000000001</v>
      </c>
      <c r="G41" s="498">
        <f>+'4. Tipo Recurso'!$G$20*1000</f>
        <v>2096.68876</v>
      </c>
    </row>
    <row r="42" spans="1:8">
      <c r="A42" s="499" t="s">
        <v>333</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44" t="s">
        <v>525</v>
      </c>
      <c r="B44" s="944"/>
      <c r="C44" s="944"/>
      <c r="D44" s="944"/>
      <c r="E44" s="944"/>
      <c r="F44" s="944"/>
      <c r="G44" s="944"/>
    </row>
    <row r="45" spans="1:8" ht="17.25" customHeight="1">
      <c r="A45" s="533"/>
      <c r="B45" s="533"/>
      <c r="C45" s="533"/>
      <c r="D45" s="533"/>
      <c r="E45" s="533"/>
      <c r="F45" s="533"/>
      <c r="G45" s="533"/>
      <c r="H45" s="46"/>
    </row>
    <row r="46" spans="1:8" ht="17.25" customHeight="1">
      <c r="A46" s="648" t="s">
        <v>557</v>
      </c>
      <c r="B46" s="533"/>
      <c r="C46" s="533"/>
      <c r="D46" s="533"/>
      <c r="E46" s="533"/>
      <c r="F46" s="533"/>
      <c r="G46" s="533"/>
      <c r="H46" s="46"/>
    </row>
    <row r="47" spans="1:8" ht="17.25" customHeight="1">
      <c r="A47" s="533" t="s">
        <v>587</v>
      </c>
      <c r="B47" s="533"/>
      <c r="C47" s="533"/>
      <c r="D47" s="533"/>
      <c r="E47" s="533"/>
      <c r="F47" s="533"/>
      <c r="G47" s="533"/>
      <c r="H47" s="46"/>
    </row>
    <row r="48" spans="1:8" ht="17.25" customHeight="1">
      <c r="A48" s="533" t="s">
        <v>599</v>
      </c>
      <c r="B48" s="533"/>
      <c r="C48" s="533"/>
      <c r="D48" s="533"/>
      <c r="E48" s="533"/>
      <c r="F48" s="533"/>
      <c r="G48" s="533"/>
      <c r="H48" s="46"/>
    </row>
    <row r="49" spans="1:8" ht="17.25" customHeight="1">
      <c r="A49" s="533" t="s">
        <v>610</v>
      </c>
      <c r="B49" s="533"/>
      <c r="C49" s="533"/>
      <c r="D49" s="533"/>
      <c r="E49" s="533"/>
      <c r="F49" s="533"/>
      <c r="G49" s="533"/>
      <c r="H49" s="46"/>
    </row>
    <row r="50" spans="1:8" ht="18.600000000000001" customHeight="1">
      <c r="A50" s="533" t="s">
        <v>611</v>
      </c>
      <c r="B50" s="270"/>
      <c r="C50" s="270"/>
      <c r="D50" s="270"/>
      <c r="E50" s="270"/>
      <c r="F50" s="270"/>
    </row>
    <row r="51" spans="1:8">
      <c r="A51" s="299"/>
      <c r="B51" s="270"/>
      <c r="C51" s="270"/>
      <c r="D51" s="270"/>
      <c r="E51" s="270"/>
      <c r="F51" s="270"/>
    </row>
    <row r="52" spans="1:8">
      <c r="A52" s="299"/>
      <c r="B52" s="270"/>
      <c r="C52" s="270"/>
      <c r="D52" s="270"/>
      <c r="E52" s="270"/>
      <c r="F52" s="270"/>
    </row>
    <row r="53" spans="1:8">
      <c r="A53" s="299"/>
      <c r="B53" s="270"/>
      <c r="C53" s="270"/>
      <c r="D53" s="270"/>
      <c r="E53" s="270"/>
      <c r="F53" s="270"/>
    </row>
    <row r="54" spans="1:8">
      <c r="A54" s="299"/>
      <c r="B54" s="270"/>
      <c r="C54" s="270"/>
      <c r="D54" s="270"/>
      <c r="E54" s="270"/>
      <c r="F54" s="270"/>
    </row>
    <row r="55" spans="1:8">
      <c r="A55" s="299"/>
    </row>
    <row r="56" spans="1:8">
      <c r="A56" s="299"/>
    </row>
    <row r="57" spans="1:8">
      <c r="A57"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J3" sqref="J3"/>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336</v>
      </c>
      <c r="B1" s="508"/>
      <c r="C1" s="508"/>
      <c r="D1" s="508"/>
      <c r="E1" s="508"/>
      <c r="F1" s="508"/>
    </row>
    <row r="2" spans="1:12" s="299" customFormat="1" ht="11.25" customHeight="1">
      <c r="A2" s="945" t="s">
        <v>243</v>
      </c>
      <c r="B2" s="948" t="s">
        <v>52</v>
      </c>
      <c r="C2" s="948" t="s">
        <v>337</v>
      </c>
      <c r="D2" s="948"/>
      <c r="E2" s="948"/>
      <c r="F2" s="951"/>
      <c r="G2" s="337"/>
      <c r="H2" s="337"/>
      <c r="I2" s="337"/>
      <c r="J2" s="337"/>
      <c r="K2" s="337"/>
    </row>
    <row r="3" spans="1:12" s="299" customFormat="1" ht="11.25" customHeight="1">
      <c r="A3" s="946"/>
      <c r="B3" s="949"/>
      <c r="C3" s="389" t="str">
        <f>UPPER('1. Resumen'!Q4)&amp;" "&amp;'1. Resumen'!Q5</f>
        <v>MAYO 2023</v>
      </c>
      <c r="D3" s="390" t="str">
        <f>UPPER('1. Resumen'!Q4)&amp;" "&amp;'1. Resumen'!Q5-1</f>
        <v>MAYO 2022</v>
      </c>
      <c r="E3" s="390">
        <v>2023</v>
      </c>
      <c r="F3" s="501" t="s">
        <v>560</v>
      </c>
      <c r="G3" s="338"/>
      <c r="H3" s="338"/>
      <c r="I3" s="338"/>
      <c r="J3" s="338"/>
      <c r="K3" s="338"/>
      <c r="L3" s="337"/>
    </row>
    <row r="4" spans="1:12" s="299" customFormat="1" ht="11.25" customHeight="1">
      <c r="A4" s="946"/>
      <c r="B4" s="949"/>
      <c r="C4" s="391">
        <f>+'8. Max Potencia'!D8</f>
        <v>45057.78125</v>
      </c>
      <c r="D4" s="391">
        <f>+'8. Max Potencia'!E8</f>
        <v>44712.78125</v>
      </c>
      <c r="E4" s="391">
        <f>+'8. Max Potencia'!G8</f>
        <v>45027.791666666664</v>
      </c>
      <c r="F4" s="502" t="s">
        <v>334</v>
      </c>
      <c r="G4" s="339"/>
      <c r="H4" s="339"/>
      <c r="I4" s="340"/>
      <c r="J4" s="340"/>
      <c r="K4" s="340"/>
      <c r="L4" s="337"/>
    </row>
    <row r="5" spans="1:12" s="299" customFormat="1" ht="11.25" customHeight="1">
      <c r="A5" s="947"/>
      <c r="B5" s="950"/>
      <c r="C5" s="392">
        <f>+'8. Max Potencia'!D9</f>
        <v>45057.78125</v>
      </c>
      <c r="D5" s="392">
        <f>+'8. Max Potencia'!E9</f>
        <v>44712.78125</v>
      </c>
      <c r="E5" s="392">
        <f>+'8. Max Potencia'!G9</f>
        <v>45027.791666666664</v>
      </c>
      <c r="F5" s="503" t="s">
        <v>335</v>
      </c>
      <c r="G5" s="339"/>
      <c r="H5" s="339"/>
      <c r="I5" s="339"/>
      <c r="J5" s="339"/>
      <c r="K5" s="339"/>
      <c r="L5" s="341"/>
    </row>
    <row r="6" spans="1:12" s="299" customFormat="1" ht="9" customHeight="1">
      <c r="A6" s="796" t="s">
        <v>117</v>
      </c>
      <c r="B6" s="797" t="s">
        <v>84</v>
      </c>
      <c r="C6" s="798">
        <v>0</v>
      </c>
      <c r="D6" s="798">
        <v>18.309740000000001</v>
      </c>
      <c r="E6" s="798">
        <v>0</v>
      </c>
      <c r="F6" s="799">
        <f>+IF(D6=0,"",C6/D6-1)</f>
        <v>-1</v>
      </c>
      <c r="G6" s="339"/>
      <c r="H6" s="541"/>
      <c r="I6" s="541"/>
      <c r="J6" s="339"/>
      <c r="K6" s="339"/>
      <c r="L6" s="342"/>
    </row>
    <row r="7" spans="1:12" s="299" customFormat="1" ht="9" customHeight="1">
      <c r="A7" s="521" t="s">
        <v>457</v>
      </c>
      <c r="B7" s="400"/>
      <c r="C7" s="401">
        <v>0</v>
      </c>
      <c r="D7" s="401">
        <v>18.309740000000001</v>
      </c>
      <c r="E7" s="401">
        <v>0</v>
      </c>
      <c r="F7" s="784">
        <f t="shared" ref="F7:F66" si="0">+IF(D7=0,"",C7/D7-1)</f>
        <v>-1</v>
      </c>
      <c r="G7" s="339"/>
      <c r="H7" s="541"/>
      <c r="I7" s="541"/>
      <c r="J7" s="339"/>
      <c r="K7" s="339"/>
      <c r="L7" s="343"/>
    </row>
    <row r="8" spans="1:12" s="299" customFormat="1" ht="9" customHeight="1">
      <c r="A8" s="525" t="s">
        <v>116</v>
      </c>
      <c r="B8" s="335" t="s">
        <v>61</v>
      </c>
      <c r="C8" s="336">
        <v>18.677119999999999</v>
      </c>
      <c r="D8" s="336">
        <v>10.046860000000001</v>
      </c>
      <c r="E8" s="336">
        <v>19.995640000000002</v>
      </c>
      <c r="F8" s="783">
        <f t="shared" si="0"/>
        <v>0.85900072261383142</v>
      </c>
      <c r="G8" s="339"/>
      <c r="H8" s="541"/>
      <c r="I8" s="541"/>
      <c r="J8" s="339"/>
      <c r="K8" s="339"/>
      <c r="L8" s="344"/>
    </row>
    <row r="9" spans="1:12" s="299" customFormat="1" ht="9" customHeight="1">
      <c r="A9" s="521" t="s">
        <v>458</v>
      </c>
      <c r="B9" s="400"/>
      <c r="C9" s="401">
        <v>18.677119999999999</v>
      </c>
      <c r="D9" s="401">
        <v>10.046860000000001</v>
      </c>
      <c r="E9" s="401">
        <v>19.995640000000002</v>
      </c>
      <c r="F9" s="784">
        <f t="shared" si="0"/>
        <v>0.85900072261383142</v>
      </c>
      <c r="G9" s="339"/>
      <c r="H9" s="541"/>
      <c r="I9" s="541"/>
      <c r="J9" s="339"/>
      <c r="K9" s="339"/>
      <c r="L9" s="343"/>
    </row>
    <row r="10" spans="1:12" s="299" customFormat="1" ht="9" customHeight="1">
      <c r="A10" s="520" t="s">
        <v>104</v>
      </c>
      <c r="B10" s="299" t="s">
        <v>81</v>
      </c>
      <c r="C10" s="493">
        <v>13.32072</v>
      </c>
      <c r="D10" s="493">
        <v>0</v>
      </c>
      <c r="E10" s="493">
        <v>16.584250000000001</v>
      </c>
      <c r="F10" s="785" t="str">
        <f t="shared" si="0"/>
        <v/>
      </c>
      <c r="G10" s="339"/>
      <c r="H10" s="541"/>
      <c r="I10" s="541"/>
      <c r="J10" s="339"/>
      <c r="K10" s="339"/>
      <c r="L10" s="343"/>
    </row>
    <row r="11" spans="1:12" s="299" customFormat="1" ht="9" customHeight="1">
      <c r="A11" s="521" t="s">
        <v>459</v>
      </c>
      <c r="B11" s="400"/>
      <c r="C11" s="401">
        <v>13.32072</v>
      </c>
      <c r="D11" s="401">
        <v>0</v>
      </c>
      <c r="E11" s="401">
        <v>16.584250000000001</v>
      </c>
      <c r="F11" s="784" t="str">
        <f t="shared" si="0"/>
        <v/>
      </c>
      <c r="G11" s="339"/>
      <c r="H11" s="541"/>
      <c r="I11" s="541"/>
      <c r="J11" s="339"/>
      <c r="K11" s="339"/>
      <c r="L11" s="343"/>
    </row>
    <row r="12" spans="1:12" s="299" customFormat="1" ht="9" customHeight="1">
      <c r="A12" s="520" t="s">
        <v>400</v>
      </c>
      <c r="B12" s="299" t="s">
        <v>402</v>
      </c>
      <c r="C12" s="493">
        <v>11.91587</v>
      </c>
      <c r="D12" s="493">
        <v>11.69773</v>
      </c>
      <c r="E12" s="493">
        <v>16.36101</v>
      </c>
      <c r="F12" s="785">
        <f t="shared" si="0"/>
        <v>1.8648062487337302E-2</v>
      </c>
      <c r="G12" s="339"/>
      <c r="H12" s="541"/>
      <c r="I12" s="541"/>
      <c r="J12" s="339"/>
      <c r="K12" s="339"/>
      <c r="L12" s="343"/>
    </row>
    <row r="13" spans="1:12" s="299" customFormat="1" ht="9" customHeight="1">
      <c r="A13" s="521" t="s">
        <v>460</v>
      </c>
      <c r="B13" s="400"/>
      <c r="C13" s="401">
        <v>11.91587</v>
      </c>
      <c r="D13" s="401">
        <v>11.69773</v>
      </c>
      <c r="E13" s="401">
        <v>16.36101</v>
      </c>
      <c r="F13" s="784">
        <f t="shared" si="0"/>
        <v>1.8648062487337302E-2</v>
      </c>
      <c r="G13" s="339"/>
      <c r="H13" s="541"/>
      <c r="I13" s="541"/>
      <c r="J13" s="339"/>
      <c r="K13" s="339"/>
      <c r="L13" s="343"/>
    </row>
    <row r="14" spans="1:12" s="299" customFormat="1" ht="9" customHeight="1">
      <c r="A14" s="520" t="s">
        <v>449</v>
      </c>
      <c r="B14" s="299" t="s">
        <v>73</v>
      </c>
      <c r="C14" s="493">
        <v>0</v>
      </c>
      <c r="D14" s="493">
        <v>0</v>
      </c>
      <c r="E14" s="493">
        <v>0.69369999999999998</v>
      </c>
      <c r="F14" s="785" t="str">
        <f t="shared" si="0"/>
        <v/>
      </c>
      <c r="G14" s="339"/>
      <c r="H14" s="541"/>
      <c r="I14" s="541"/>
      <c r="J14" s="339"/>
      <c r="K14" s="339"/>
      <c r="L14" s="343"/>
    </row>
    <row r="15" spans="1:12" s="299" customFormat="1" ht="9" customHeight="1">
      <c r="A15" s="521" t="s">
        <v>461</v>
      </c>
      <c r="B15" s="400"/>
      <c r="C15" s="401">
        <v>0</v>
      </c>
      <c r="D15" s="401">
        <v>0</v>
      </c>
      <c r="E15" s="401">
        <v>0.69369999999999998</v>
      </c>
      <c r="F15" s="784" t="str">
        <f t="shared" si="0"/>
        <v/>
      </c>
      <c r="G15" s="339"/>
      <c r="H15" s="541"/>
      <c r="I15" s="541"/>
      <c r="J15" s="339"/>
      <c r="K15" s="339"/>
      <c r="L15" s="343"/>
    </row>
    <row r="16" spans="1:12" s="299" customFormat="1" ht="9" customHeight="1">
      <c r="A16" s="520" t="s">
        <v>430</v>
      </c>
      <c r="B16" s="299" t="s">
        <v>436</v>
      </c>
      <c r="C16" s="493">
        <v>10.4375</v>
      </c>
      <c r="D16" s="493">
        <v>9.0587599999999995</v>
      </c>
      <c r="E16" s="493">
        <v>0</v>
      </c>
      <c r="F16" s="785">
        <f t="shared" si="0"/>
        <v>0.15219963880266185</v>
      </c>
      <c r="G16" s="339"/>
      <c r="H16" s="541"/>
      <c r="I16" s="541"/>
      <c r="J16" s="339"/>
      <c r="K16" s="339"/>
      <c r="L16" s="343"/>
    </row>
    <row r="17" spans="1:16" s="299" customFormat="1" ht="9" customHeight="1">
      <c r="A17" s="521" t="s">
        <v>462</v>
      </c>
      <c r="B17" s="400"/>
      <c r="C17" s="401">
        <v>10.4375</v>
      </c>
      <c r="D17" s="401">
        <v>9.0587599999999995</v>
      </c>
      <c r="E17" s="401">
        <v>0</v>
      </c>
      <c r="F17" s="784">
        <f t="shared" si="0"/>
        <v>0.15219963880266185</v>
      </c>
      <c r="G17" s="339"/>
      <c r="H17" s="541"/>
      <c r="I17" s="541"/>
      <c r="J17" s="339"/>
      <c r="K17" s="339"/>
      <c r="L17" s="344"/>
    </row>
    <row r="18" spans="1:16" s="299" customFormat="1" ht="9" customHeight="1">
      <c r="A18" s="520" t="s">
        <v>92</v>
      </c>
      <c r="B18" s="299" t="s">
        <v>269</v>
      </c>
      <c r="C18" s="493">
        <v>131.483</v>
      </c>
      <c r="D18" s="493">
        <v>95.272500000000008</v>
      </c>
      <c r="E18" s="493">
        <v>220.55670000000001</v>
      </c>
      <c r="F18" s="785">
        <f t="shared" si="0"/>
        <v>0.38007294864730112</v>
      </c>
      <c r="G18" s="339"/>
      <c r="H18" s="541"/>
      <c r="I18" s="541"/>
      <c r="J18" s="339"/>
      <c r="K18" s="339"/>
      <c r="L18" s="344"/>
    </row>
    <row r="19" spans="1:16" s="299" customFormat="1" ht="9" customHeight="1">
      <c r="A19" s="521" t="s">
        <v>463</v>
      </c>
      <c r="B19" s="400"/>
      <c r="C19" s="401">
        <v>131.483</v>
      </c>
      <c r="D19" s="401">
        <v>95.272500000000008</v>
      </c>
      <c r="E19" s="401">
        <v>220.55670000000001</v>
      </c>
      <c r="F19" s="784">
        <f t="shared" si="0"/>
        <v>0.38007294864730112</v>
      </c>
      <c r="G19" s="339"/>
      <c r="H19" s="541"/>
      <c r="I19" s="541"/>
      <c r="J19" s="339"/>
      <c r="K19" s="339"/>
      <c r="L19" s="344"/>
    </row>
    <row r="20" spans="1:16" s="299" customFormat="1" ht="9" customHeight="1">
      <c r="A20" s="520" t="s">
        <v>451</v>
      </c>
      <c r="B20" s="299" t="s">
        <v>308</v>
      </c>
      <c r="C20" s="493">
        <v>19.721080000000001</v>
      </c>
      <c r="D20" s="493">
        <v>19.828009999999999</v>
      </c>
      <c r="E20" s="493">
        <v>19.764520000000001</v>
      </c>
      <c r="F20" s="785">
        <f t="shared" si="0"/>
        <v>-5.3928760374842843E-3</v>
      </c>
      <c r="G20" s="339"/>
      <c r="H20" s="541"/>
      <c r="I20" s="541"/>
      <c r="J20" s="339"/>
      <c r="K20" s="339"/>
      <c r="L20" s="339"/>
      <c r="M20" s="339"/>
      <c r="N20" s="339"/>
      <c r="O20" s="339"/>
      <c r="P20" s="339"/>
    </row>
    <row r="21" spans="1:16" s="299" customFormat="1" ht="9" customHeight="1">
      <c r="A21" s="521" t="s">
        <v>464</v>
      </c>
      <c r="B21" s="400"/>
      <c r="C21" s="401">
        <v>19.721080000000001</v>
      </c>
      <c r="D21" s="401">
        <v>19.828009999999999</v>
      </c>
      <c r="E21" s="401">
        <v>19.764520000000001</v>
      </c>
      <c r="F21" s="784">
        <f t="shared" si="0"/>
        <v>-5.3928760374842843E-3</v>
      </c>
      <c r="G21" s="339"/>
      <c r="H21" s="541"/>
      <c r="I21" s="541"/>
      <c r="J21" s="339"/>
      <c r="K21" s="339"/>
      <c r="L21" s="339"/>
      <c r="M21" s="339"/>
      <c r="N21" s="339"/>
      <c r="O21" s="339"/>
      <c r="P21" s="339"/>
    </row>
    <row r="22" spans="1:16" s="299" customFormat="1" ht="9" customHeight="1">
      <c r="A22" s="520" t="s">
        <v>521</v>
      </c>
      <c r="B22" s="299" t="s">
        <v>529</v>
      </c>
      <c r="C22" s="493">
        <v>0.88946999999999998</v>
      </c>
      <c r="D22" s="493">
        <v>0.78673999999999999</v>
      </c>
      <c r="E22" s="493">
        <v>0.83906000000000003</v>
      </c>
      <c r="F22" s="785">
        <f t="shared" si="0"/>
        <v>0.13057681063629656</v>
      </c>
      <c r="G22" s="339"/>
      <c r="H22" s="541"/>
      <c r="I22" s="541"/>
      <c r="J22" s="339"/>
      <c r="K22" s="339"/>
      <c r="L22" s="343"/>
    </row>
    <row r="23" spans="1:16" s="299" customFormat="1" ht="9" customHeight="1">
      <c r="A23" s="520"/>
      <c r="B23" s="299" t="s">
        <v>530</v>
      </c>
      <c r="C23" s="493">
        <v>1.66561</v>
      </c>
      <c r="D23" s="493">
        <v>1.27471</v>
      </c>
      <c r="E23" s="493">
        <v>1.6083499999999999</v>
      </c>
      <c r="F23" s="785">
        <f t="shared" si="0"/>
        <v>0.30665798495344032</v>
      </c>
      <c r="G23" s="339"/>
      <c r="H23" s="541"/>
      <c r="I23" s="541"/>
      <c r="J23" s="339"/>
      <c r="K23" s="339"/>
      <c r="L23" s="343"/>
    </row>
    <row r="24" spans="1:16" s="299" customFormat="1" ht="9" customHeight="1">
      <c r="A24" s="521" t="s">
        <v>523</v>
      </c>
      <c r="B24" s="400"/>
      <c r="C24" s="401">
        <v>2.5550800000000002</v>
      </c>
      <c r="D24" s="401">
        <v>2.0614499999999998</v>
      </c>
      <c r="E24" s="401">
        <v>2.4474100000000001</v>
      </c>
      <c r="F24" s="784">
        <f t="shared" si="0"/>
        <v>0.23945766329525364</v>
      </c>
      <c r="G24" s="339"/>
      <c r="H24" s="541"/>
      <c r="I24" s="541"/>
      <c r="J24" s="339"/>
      <c r="K24" s="339"/>
      <c r="L24" s="343"/>
    </row>
    <row r="25" spans="1:16" s="299" customFormat="1" ht="9" customHeight="1">
      <c r="A25" s="520" t="s">
        <v>229</v>
      </c>
      <c r="B25" s="299" t="s">
        <v>270</v>
      </c>
      <c r="C25" s="493">
        <v>0</v>
      </c>
      <c r="D25" s="493">
        <v>0</v>
      </c>
      <c r="E25" s="493">
        <v>0</v>
      </c>
      <c r="F25" s="785" t="str">
        <f t="shared" si="0"/>
        <v/>
      </c>
      <c r="G25" s="339"/>
      <c r="H25" s="541"/>
      <c r="I25" s="541"/>
      <c r="J25" s="339"/>
      <c r="K25" s="339"/>
      <c r="L25" s="343"/>
    </row>
    <row r="26" spans="1:16" s="299" customFormat="1" ht="9" customHeight="1">
      <c r="A26" s="521" t="s">
        <v>465</v>
      </c>
      <c r="B26" s="400"/>
      <c r="C26" s="401">
        <v>0</v>
      </c>
      <c r="D26" s="401">
        <v>0</v>
      </c>
      <c r="E26" s="401">
        <v>0</v>
      </c>
      <c r="F26" s="784" t="str">
        <f t="shared" si="0"/>
        <v/>
      </c>
      <c r="G26" s="339"/>
      <c r="H26" s="541"/>
      <c r="I26" s="541"/>
      <c r="J26" s="339"/>
      <c r="K26" s="339"/>
      <c r="L26" s="343"/>
    </row>
    <row r="27" spans="1:16" s="299" customFormat="1" ht="9" customHeight="1">
      <c r="A27" s="520" t="s">
        <v>91</v>
      </c>
      <c r="B27" s="299" t="s">
        <v>271</v>
      </c>
      <c r="C27" s="493">
        <v>149.54399999999998</v>
      </c>
      <c r="D27" s="493">
        <v>52.790999999999997</v>
      </c>
      <c r="E27" s="493">
        <v>129.45600000000002</v>
      </c>
      <c r="F27" s="785">
        <f t="shared" si="0"/>
        <v>1.8327555833380687</v>
      </c>
      <c r="G27" s="339"/>
      <c r="H27" s="541"/>
      <c r="I27" s="541"/>
      <c r="J27" s="339"/>
      <c r="K27" s="339"/>
      <c r="L27" s="343"/>
    </row>
    <row r="28" spans="1:16" s="299" customFormat="1" ht="9" customHeight="1">
      <c r="A28" s="520"/>
      <c r="B28" s="299" t="s">
        <v>272</v>
      </c>
      <c r="C28" s="493">
        <v>42.207000000000001</v>
      </c>
      <c r="D28" s="493">
        <v>26.231999999999999</v>
      </c>
      <c r="E28" s="493">
        <v>40.941000000000003</v>
      </c>
      <c r="F28" s="785">
        <f t="shared" si="0"/>
        <v>0.6089890210430009</v>
      </c>
      <c r="G28" s="339"/>
      <c r="H28" s="541"/>
      <c r="I28" s="541"/>
      <c r="J28" s="339"/>
      <c r="K28" s="339"/>
      <c r="L28" s="343"/>
    </row>
    <row r="29" spans="1:16" s="299" customFormat="1" ht="9" customHeight="1">
      <c r="A29" s="521" t="s">
        <v>466</v>
      </c>
      <c r="B29" s="400"/>
      <c r="C29" s="401">
        <v>191.75099999999998</v>
      </c>
      <c r="D29" s="401">
        <v>79.022999999999996</v>
      </c>
      <c r="E29" s="401">
        <v>170.39700000000002</v>
      </c>
      <c r="F29" s="784">
        <f t="shared" si="0"/>
        <v>1.426521392505979</v>
      </c>
      <c r="G29" s="339"/>
      <c r="H29" s="541"/>
      <c r="I29" s="541"/>
      <c r="J29" s="339"/>
      <c r="K29" s="339"/>
      <c r="L29" s="345"/>
    </row>
    <row r="30" spans="1:16" s="299" customFormat="1" ht="9" customHeight="1">
      <c r="A30" s="520" t="s">
        <v>522</v>
      </c>
      <c r="B30" s="299" t="s">
        <v>531</v>
      </c>
      <c r="C30" s="493">
        <v>0</v>
      </c>
      <c r="D30" s="493">
        <v>0</v>
      </c>
      <c r="E30" s="493">
        <v>0</v>
      </c>
      <c r="F30" s="785" t="str">
        <f t="shared" si="0"/>
        <v/>
      </c>
      <c r="G30" s="339"/>
      <c r="H30" s="541"/>
      <c r="I30" s="541"/>
      <c r="J30" s="339"/>
      <c r="K30" s="339"/>
      <c r="L30" s="343"/>
    </row>
    <row r="31" spans="1:16" s="299" customFormat="1" ht="9" customHeight="1">
      <c r="A31" s="521" t="s">
        <v>524</v>
      </c>
      <c r="B31" s="400"/>
      <c r="C31" s="401">
        <v>0</v>
      </c>
      <c r="D31" s="401">
        <v>0</v>
      </c>
      <c r="E31" s="401">
        <v>0</v>
      </c>
      <c r="F31" s="784" t="str">
        <f t="shared" si="0"/>
        <v/>
      </c>
      <c r="G31" s="339"/>
      <c r="H31" s="541"/>
      <c r="I31" s="541"/>
      <c r="J31" s="339"/>
      <c r="K31" s="339"/>
      <c r="L31" s="343"/>
    </row>
    <row r="32" spans="1:16" s="299" customFormat="1" ht="9" customHeight="1">
      <c r="A32" s="520" t="s">
        <v>89</v>
      </c>
      <c r="B32" s="299" t="s">
        <v>273</v>
      </c>
      <c r="C32" s="493">
        <v>1.6246399999999999</v>
      </c>
      <c r="D32" s="493">
        <v>1.6637</v>
      </c>
      <c r="E32" s="493">
        <v>1.3606100000000001</v>
      </c>
      <c r="F32" s="785">
        <f t="shared" si="0"/>
        <v>-2.3477790467031356E-2</v>
      </c>
      <c r="G32" s="339"/>
      <c r="H32" s="541"/>
      <c r="I32" s="541"/>
      <c r="J32" s="339"/>
      <c r="K32" s="339"/>
      <c r="L32" s="343"/>
    </row>
    <row r="33" spans="1:12" s="299" customFormat="1" ht="9" customHeight="1">
      <c r="A33" s="520"/>
      <c r="B33" s="299" t="s">
        <v>274</v>
      </c>
      <c r="C33" s="493">
        <v>0.54688000000000003</v>
      </c>
      <c r="D33" s="493">
        <v>0.56563999999999992</v>
      </c>
      <c r="E33" s="493">
        <v>0.53900000000000003</v>
      </c>
      <c r="F33" s="785">
        <f t="shared" si="0"/>
        <v>-3.3165971289158991E-2</v>
      </c>
      <c r="G33" s="339"/>
      <c r="H33" s="541"/>
      <c r="I33" s="541"/>
      <c r="J33" s="339"/>
      <c r="K33" s="339"/>
      <c r="L33" s="345"/>
    </row>
    <row r="34" spans="1:12" s="299" customFormat="1" ht="9" customHeight="1">
      <c r="A34" s="520"/>
      <c r="B34" s="299" t="s">
        <v>275</v>
      </c>
      <c r="C34" s="493">
        <v>4.5820400000000001</v>
      </c>
      <c r="D34" s="493">
        <v>4.6651500000000006</v>
      </c>
      <c r="E34" s="493">
        <v>3.8472299999999997</v>
      </c>
      <c r="F34" s="785">
        <f t="shared" si="0"/>
        <v>-1.7815075613860309E-2</v>
      </c>
      <c r="G34" s="339"/>
      <c r="H34" s="541"/>
      <c r="I34" s="541"/>
      <c r="J34" s="339"/>
      <c r="K34" s="339"/>
      <c r="L34" s="343"/>
    </row>
    <row r="35" spans="1:12" s="299" customFormat="1" ht="9" customHeight="1">
      <c r="A35" s="520"/>
      <c r="B35" s="299" t="s">
        <v>276</v>
      </c>
      <c r="C35" s="493">
        <v>10.281320000000001</v>
      </c>
      <c r="D35" s="493">
        <v>12.360009999999999</v>
      </c>
      <c r="E35" s="493">
        <v>8.0567499999999992</v>
      </c>
      <c r="F35" s="785">
        <f t="shared" si="0"/>
        <v>-0.16817866652211433</v>
      </c>
      <c r="G35" s="339"/>
      <c r="H35" s="541"/>
      <c r="I35" s="541"/>
      <c r="J35" s="339"/>
      <c r="K35" s="339"/>
      <c r="L35" s="343"/>
    </row>
    <row r="36" spans="1:12" s="299" customFormat="1" ht="9" customHeight="1">
      <c r="A36" s="520"/>
      <c r="B36" s="299" t="s">
        <v>277</v>
      </c>
      <c r="C36" s="493">
        <v>99.559419999999989</v>
      </c>
      <c r="D36" s="493">
        <v>95.474379999999996</v>
      </c>
      <c r="E36" s="493">
        <v>37.745890000000003</v>
      </c>
      <c r="F36" s="785">
        <f t="shared" si="0"/>
        <v>4.2786766460279679E-2</v>
      </c>
      <c r="G36" s="339"/>
      <c r="H36" s="541"/>
      <c r="I36" s="541"/>
      <c r="J36" s="339"/>
      <c r="K36" s="339"/>
      <c r="L36" s="343"/>
    </row>
    <row r="37" spans="1:12" s="299" customFormat="1" ht="9" customHeight="1">
      <c r="A37" s="520"/>
      <c r="B37" s="299" t="s">
        <v>278</v>
      </c>
      <c r="C37" s="493">
        <v>6.0482699999999996</v>
      </c>
      <c r="D37" s="493">
        <v>7.3574999999999999</v>
      </c>
      <c r="E37" s="493">
        <v>4.9024999999999999</v>
      </c>
      <c r="F37" s="785">
        <f t="shared" si="0"/>
        <v>-0.17794495412844047</v>
      </c>
      <c r="G37" s="339"/>
      <c r="H37" s="541"/>
      <c r="I37" s="541"/>
      <c r="J37" s="339"/>
      <c r="K37" s="339"/>
      <c r="L37" s="343"/>
    </row>
    <row r="38" spans="1:12" s="299" customFormat="1" ht="9" customHeight="1">
      <c r="A38" s="520"/>
      <c r="B38" s="299" t="s">
        <v>279</v>
      </c>
      <c r="C38" s="493">
        <v>0</v>
      </c>
      <c r="D38" s="493">
        <v>0</v>
      </c>
      <c r="E38" s="493">
        <v>0</v>
      </c>
      <c r="F38" s="785" t="str">
        <f t="shared" si="0"/>
        <v/>
      </c>
      <c r="G38" s="339"/>
      <c r="H38" s="541"/>
      <c r="I38" s="541"/>
      <c r="J38" s="339"/>
      <c r="K38" s="339"/>
      <c r="L38" s="343"/>
    </row>
    <row r="39" spans="1:12" s="299" customFormat="1" ht="9" customHeight="1">
      <c r="A39" s="520"/>
      <c r="B39" s="299" t="s">
        <v>280</v>
      </c>
      <c r="C39" s="493">
        <v>0</v>
      </c>
      <c r="D39" s="493">
        <v>0</v>
      </c>
      <c r="E39" s="493">
        <v>0</v>
      </c>
      <c r="F39" s="785" t="str">
        <f t="shared" si="0"/>
        <v/>
      </c>
      <c r="G39" s="339"/>
      <c r="H39" s="541"/>
      <c r="I39" s="541"/>
      <c r="J39" s="339"/>
      <c r="K39" s="339"/>
      <c r="L39" s="343"/>
    </row>
    <row r="40" spans="1:12" s="299" customFormat="1" ht="9" customHeight="1">
      <c r="A40" s="521" t="s">
        <v>467</v>
      </c>
      <c r="B40" s="400"/>
      <c r="C40" s="401">
        <v>122.64256999999999</v>
      </c>
      <c r="D40" s="401">
        <v>122.08638000000001</v>
      </c>
      <c r="E40" s="401">
        <v>56.451980000000006</v>
      </c>
      <c r="F40" s="784">
        <f t="shared" si="0"/>
        <v>4.5557088350067776E-3</v>
      </c>
      <c r="G40" s="339"/>
      <c r="H40" s="541"/>
      <c r="I40" s="541"/>
      <c r="J40" s="339"/>
      <c r="K40" s="339"/>
      <c r="L40" s="343"/>
    </row>
    <row r="41" spans="1:12" s="299" customFormat="1" ht="9" customHeight="1">
      <c r="A41" s="520" t="s">
        <v>110</v>
      </c>
      <c r="B41" s="299" t="s">
        <v>68</v>
      </c>
      <c r="C41" s="493">
        <v>2.7425100000000002</v>
      </c>
      <c r="D41" s="493">
        <v>2.4933199999999998</v>
      </c>
      <c r="E41" s="493">
        <v>5.0482500000000003</v>
      </c>
      <c r="F41" s="785">
        <f t="shared" si="0"/>
        <v>9.9943047823785269E-2</v>
      </c>
      <c r="G41" s="339"/>
      <c r="H41" s="541"/>
      <c r="I41" s="541"/>
      <c r="J41" s="339"/>
      <c r="K41" s="339"/>
      <c r="L41" s="343"/>
    </row>
    <row r="42" spans="1:12" s="299" customFormat="1" ht="9" customHeight="1">
      <c r="A42" s="521" t="s">
        <v>468</v>
      </c>
      <c r="B42" s="400"/>
      <c r="C42" s="401">
        <v>2.7425100000000002</v>
      </c>
      <c r="D42" s="401">
        <v>2.4933199999999998</v>
      </c>
      <c r="E42" s="401">
        <v>5.0482500000000003</v>
      </c>
      <c r="F42" s="784">
        <f t="shared" si="0"/>
        <v>9.9943047823785269E-2</v>
      </c>
      <c r="G42" s="339"/>
      <c r="H42" s="541"/>
      <c r="I42" s="541"/>
      <c r="J42" s="339"/>
      <c r="K42" s="339"/>
      <c r="L42" s="343"/>
    </row>
    <row r="43" spans="1:12" s="299" customFormat="1" ht="9" customHeight="1">
      <c r="A43" s="520" t="s">
        <v>90</v>
      </c>
      <c r="B43" s="299" t="s">
        <v>281</v>
      </c>
      <c r="C43" s="493">
        <v>168.52100000000002</v>
      </c>
      <c r="D43" s="493">
        <v>156.56699999999998</v>
      </c>
      <c r="E43" s="493">
        <v>167.20000000000002</v>
      </c>
      <c r="F43" s="785">
        <f t="shared" si="0"/>
        <v>7.6350699700447944E-2</v>
      </c>
      <c r="G43" s="339"/>
      <c r="H43" s="541"/>
      <c r="I43" s="541"/>
      <c r="J43" s="339"/>
      <c r="K43" s="339"/>
      <c r="L43" s="343"/>
    </row>
    <row r="44" spans="1:12" s="299" customFormat="1" ht="9" customHeight="1">
      <c r="A44" s="521" t="s">
        <v>469</v>
      </c>
      <c r="B44" s="400"/>
      <c r="C44" s="401">
        <v>168.52100000000002</v>
      </c>
      <c r="D44" s="401">
        <v>156.56699999999998</v>
      </c>
      <c r="E44" s="401">
        <v>167.20000000000002</v>
      </c>
      <c r="F44" s="784">
        <f t="shared" si="0"/>
        <v>7.6350699700447944E-2</v>
      </c>
      <c r="G44" s="339"/>
      <c r="H44" s="541"/>
      <c r="I44" s="541"/>
      <c r="J44" s="339"/>
      <c r="K44" s="339"/>
      <c r="L44" s="343"/>
    </row>
    <row r="45" spans="1:12" s="299" customFormat="1" ht="9" customHeight="1">
      <c r="A45" s="520" t="s">
        <v>99</v>
      </c>
      <c r="B45" s="299" t="s">
        <v>282</v>
      </c>
      <c r="C45" s="493">
        <v>6.3618100000000002</v>
      </c>
      <c r="D45" s="493">
        <v>15.18221</v>
      </c>
      <c r="E45" s="493">
        <v>6.3794000000000004</v>
      </c>
      <c r="F45" s="785">
        <f t="shared" si="0"/>
        <v>-0.58096943725584094</v>
      </c>
      <c r="G45" s="339"/>
      <c r="H45" s="541"/>
      <c r="I45" s="541"/>
      <c r="J45" s="339"/>
      <c r="K45" s="339"/>
      <c r="L45" s="346"/>
    </row>
    <row r="46" spans="1:12" s="299" customFormat="1" ht="9" customHeight="1">
      <c r="A46" s="520"/>
      <c r="B46" s="299" t="s">
        <v>283</v>
      </c>
      <c r="C46" s="493">
        <v>0</v>
      </c>
      <c r="D46" s="493">
        <v>9.4426100000000002</v>
      </c>
      <c r="E46" s="493">
        <v>0</v>
      </c>
      <c r="F46" s="785">
        <f t="shared" si="0"/>
        <v>-1</v>
      </c>
      <c r="G46" s="339"/>
      <c r="H46" s="541"/>
      <c r="I46" s="541"/>
      <c r="J46" s="339"/>
      <c r="K46" s="339"/>
      <c r="L46" s="343"/>
    </row>
    <row r="47" spans="1:12" s="299" customFormat="1" ht="9" customHeight="1">
      <c r="A47" s="520"/>
      <c r="B47" s="299" t="s">
        <v>284</v>
      </c>
      <c r="C47" s="493">
        <v>22.092060000000004</v>
      </c>
      <c r="D47" s="493">
        <v>22.685749999999999</v>
      </c>
      <c r="E47" s="493">
        <v>16.394200000000001</v>
      </c>
      <c r="F47" s="785">
        <f t="shared" si="0"/>
        <v>-2.6170172905898847E-2</v>
      </c>
      <c r="G47" s="339"/>
      <c r="H47" s="541"/>
      <c r="I47" s="541"/>
      <c r="J47" s="339"/>
      <c r="K47" s="339"/>
      <c r="L47" s="343"/>
    </row>
    <row r="48" spans="1:12" s="299" customFormat="1" ht="9" customHeight="1">
      <c r="A48" s="521" t="s">
        <v>470</v>
      </c>
      <c r="B48" s="400"/>
      <c r="C48" s="401">
        <v>28.453870000000002</v>
      </c>
      <c r="D48" s="401">
        <v>47.310569999999998</v>
      </c>
      <c r="E48" s="401">
        <v>22.773600000000002</v>
      </c>
      <c r="F48" s="784">
        <f t="shared" si="0"/>
        <v>-0.39857266568549055</v>
      </c>
      <c r="G48" s="339"/>
      <c r="H48" s="541"/>
      <c r="I48" s="541"/>
      <c r="J48" s="339"/>
      <c r="K48" s="339"/>
      <c r="L48" s="343"/>
    </row>
    <row r="49" spans="1:12" s="299" customFormat="1" ht="9" customHeight="1">
      <c r="A49" s="520" t="s">
        <v>111</v>
      </c>
      <c r="B49" s="299" t="s">
        <v>71</v>
      </c>
      <c r="C49" s="493">
        <v>3.6019999999999999</v>
      </c>
      <c r="D49" s="493">
        <v>3.1509999999999998</v>
      </c>
      <c r="E49" s="493">
        <v>3.6589999999999998</v>
      </c>
      <c r="F49" s="785">
        <f t="shared" si="0"/>
        <v>0.14312916534433517</v>
      </c>
      <c r="G49" s="339"/>
      <c r="H49" s="541"/>
      <c r="I49" s="541"/>
      <c r="J49" s="339"/>
      <c r="K49" s="339"/>
      <c r="L49" s="343"/>
    </row>
    <row r="50" spans="1:12" s="299" customFormat="1" ht="9" customHeight="1">
      <c r="A50" s="521" t="s">
        <v>471</v>
      </c>
      <c r="B50" s="400"/>
      <c r="C50" s="401">
        <v>3.6019999999999999</v>
      </c>
      <c r="D50" s="401">
        <v>3.1509999999999998</v>
      </c>
      <c r="E50" s="401">
        <v>3.6589999999999998</v>
      </c>
      <c r="F50" s="784">
        <f t="shared" si="0"/>
        <v>0.14312916534433517</v>
      </c>
      <c r="G50" s="339"/>
      <c r="H50" s="541"/>
      <c r="I50" s="541"/>
      <c r="J50" s="339"/>
      <c r="K50" s="339"/>
      <c r="L50" s="343"/>
    </row>
    <row r="51" spans="1:12" s="299" customFormat="1" ht="9" customHeight="1">
      <c r="A51" s="520" t="s">
        <v>87</v>
      </c>
      <c r="B51" s="299" t="s">
        <v>285</v>
      </c>
      <c r="C51" s="493">
        <v>610.3463999999999</v>
      </c>
      <c r="D51" s="493">
        <v>648.43439999999998</v>
      </c>
      <c r="E51" s="493">
        <v>650.31119999999999</v>
      </c>
      <c r="F51" s="785">
        <f t="shared" si="0"/>
        <v>-5.8738401293947473E-2</v>
      </c>
      <c r="G51" s="339"/>
      <c r="H51" s="541"/>
      <c r="I51" s="541"/>
      <c r="J51" s="339"/>
      <c r="K51" s="339"/>
      <c r="L51" s="343"/>
    </row>
    <row r="52" spans="1:12" s="299" customFormat="1" ht="9" customHeight="1">
      <c r="A52" s="520"/>
      <c r="B52" s="299" t="s">
        <v>286</v>
      </c>
      <c r="C52" s="493">
        <v>203.18016</v>
      </c>
      <c r="D52" s="493">
        <v>212.45376000000002</v>
      </c>
      <c r="E52" s="493">
        <v>215.32416000000001</v>
      </c>
      <c r="F52" s="785">
        <f t="shared" si="0"/>
        <v>-4.3649968821450891E-2</v>
      </c>
      <c r="G52" s="339"/>
      <c r="H52" s="541"/>
      <c r="I52" s="541"/>
      <c r="J52" s="339"/>
      <c r="K52" s="339"/>
    </row>
    <row r="53" spans="1:12" s="299" customFormat="1" ht="9" customHeight="1">
      <c r="A53" s="521" t="s">
        <v>472</v>
      </c>
      <c r="B53" s="400"/>
      <c r="C53" s="401">
        <v>813.5265599999999</v>
      </c>
      <c r="D53" s="401">
        <v>860.88815999999997</v>
      </c>
      <c r="E53" s="401">
        <v>865.63535999999999</v>
      </c>
      <c r="F53" s="784">
        <f t="shared" si="0"/>
        <v>-5.5014811680067832E-2</v>
      </c>
      <c r="G53" s="339"/>
      <c r="H53" s="541"/>
      <c r="I53" s="541"/>
      <c r="J53" s="339"/>
      <c r="K53" s="339"/>
    </row>
    <row r="54" spans="1:12" s="299" customFormat="1" ht="9" customHeight="1">
      <c r="A54" s="520" t="s">
        <v>230</v>
      </c>
      <c r="B54" s="299" t="s">
        <v>287</v>
      </c>
      <c r="C54" s="493">
        <v>460.97773000000001</v>
      </c>
      <c r="D54" s="493">
        <v>454.40033000000005</v>
      </c>
      <c r="E54" s="493">
        <v>460.68389000000002</v>
      </c>
      <c r="F54" s="785">
        <f t="shared" si="0"/>
        <v>1.4474901459688549E-2</v>
      </c>
      <c r="G54" s="339"/>
      <c r="H54" s="541"/>
      <c r="I54" s="541"/>
      <c r="J54" s="339"/>
      <c r="K54" s="339"/>
    </row>
    <row r="55" spans="1:12" s="299" customFormat="1" ht="9" customHeight="1">
      <c r="A55" s="520"/>
      <c r="B55" s="299" t="s">
        <v>288</v>
      </c>
      <c r="C55" s="493">
        <v>6.4285300000000003</v>
      </c>
      <c r="D55" s="493">
        <v>6.4519799999999998</v>
      </c>
      <c r="E55" s="493">
        <v>6.4293199999999997</v>
      </c>
      <c r="F55" s="785">
        <f t="shared" si="0"/>
        <v>-3.6345431944921902E-3</v>
      </c>
      <c r="G55" s="339"/>
      <c r="H55" s="541"/>
      <c r="I55" s="541"/>
      <c r="J55" s="339"/>
      <c r="K55" s="339"/>
    </row>
    <row r="56" spans="1:12" s="299" customFormat="1" ht="9" customHeight="1">
      <c r="A56" s="521" t="s">
        <v>473</v>
      </c>
      <c r="B56" s="400"/>
      <c r="C56" s="401">
        <v>467.40626000000003</v>
      </c>
      <c r="D56" s="401">
        <v>460.85231000000005</v>
      </c>
      <c r="E56" s="401">
        <v>467.11321000000004</v>
      </c>
      <c r="F56" s="784">
        <f t="shared" si="0"/>
        <v>1.4221367361704207E-2</v>
      </c>
      <c r="G56" s="339"/>
      <c r="H56" s="541"/>
      <c r="I56" s="541"/>
      <c r="J56" s="339"/>
      <c r="K56" s="339"/>
    </row>
    <row r="57" spans="1:12" s="299" customFormat="1" ht="9" customHeight="1">
      <c r="A57" s="520" t="s">
        <v>231</v>
      </c>
      <c r="B57" s="299" t="s">
        <v>289</v>
      </c>
      <c r="C57" s="493">
        <v>41.208109999999998</v>
      </c>
      <c r="D57" s="493">
        <v>46.882770000000001</v>
      </c>
      <c r="E57" s="493">
        <v>48.44408</v>
      </c>
      <c r="F57" s="785">
        <f t="shared" si="0"/>
        <v>-0.12103934985070219</v>
      </c>
      <c r="G57" s="339"/>
      <c r="H57" s="541"/>
      <c r="I57" s="541"/>
      <c r="J57" s="339"/>
      <c r="K57" s="339"/>
    </row>
    <row r="58" spans="1:12" s="299" customFormat="1" ht="9" customHeight="1">
      <c r="A58" s="521" t="s">
        <v>474</v>
      </c>
      <c r="B58" s="400"/>
      <c r="C58" s="401">
        <v>41.208109999999998</v>
      </c>
      <c r="D58" s="401">
        <v>46.882770000000001</v>
      </c>
      <c r="E58" s="401">
        <v>48.44408</v>
      </c>
      <c r="F58" s="784">
        <f t="shared" si="0"/>
        <v>-0.12103934985070219</v>
      </c>
      <c r="G58" s="339"/>
      <c r="H58" s="541"/>
      <c r="I58" s="541"/>
      <c r="J58" s="339"/>
      <c r="K58" s="339"/>
    </row>
    <row r="59" spans="1:12" s="299" customFormat="1" ht="9" customHeight="1">
      <c r="A59" s="520" t="s">
        <v>450</v>
      </c>
      <c r="B59" s="299" t="s">
        <v>63</v>
      </c>
      <c r="C59" s="493">
        <v>9.8462399999999999</v>
      </c>
      <c r="D59" s="493">
        <v>4.7665699999999998</v>
      </c>
      <c r="E59" s="493">
        <v>9.7549899999999994</v>
      </c>
      <c r="F59" s="785">
        <f t="shared" si="0"/>
        <v>1.065686646792138</v>
      </c>
      <c r="G59" s="339"/>
      <c r="H59" s="541"/>
      <c r="I59" s="541"/>
      <c r="J59" s="339"/>
      <c r="K59" s="339"/>
    </row>
    <row r="60" spans="1:12" s="299" customFormat="1" ht="9" customHeight="1">
      <c r="A60" s="520"/>
      <c r="B60" s="299" t="s">
        <v>62</v>
      </c>
      <c r="C60" s="493">
        <v>9.9129299999999994</v>
      </c>
      <c r="D60" s="493">
        <v>4.9885400000000004</v>
      </c>
      <c r="E60" s="493">
        <v>9.8874899999999997</v>
      </c>
      <c r="F60" s="785">
        <f t="shared" si="0"/>
        <v>0.98714052608578839</v>
      </c>
      <c r="G60" s="339"/>
      <c r="H60" s="541"/>
      <c r="I60" s="541"/>
      <c r="J60" s="339"/>
      <c r="K60" s="339"/>
    </row>
    <row r="61" spans="1:12" s="299" customFormat="1" ht="9" customHeight="1">
      <c r="A61" s="520"/>
      <c r="B61" s="299" t="s">
        <v>58</v>
      </c>
      <c r="C61" s="493">
        <v>20.046330000000001</v>
      </c>
      <c r="D61" s="493">
        <v>5.5535500000000004</v>
      </c>
      <c r="E61" s="493">
        <v>18.70805</v>
      </c>
      <c r="F61" s="785">
        <f t="shared" si="0"/>
        <v>2.6096424809356176</v>
      </c>
      <c r="G61" s="339"/>
      <c r="H61" s="541"/>
      <c r="I61" s="541"/>
      <c r="J61" s="339"/>
      <c r="K61" s="339"/>
    </row>
    <row r="62" spans="1:12" s="299" customFormat="1" ht="9" customHeight="1">
      <c r="A62" s="520"/>
      <c r="B62" s="299" t="s">
        <v>55</v>
      </c>
      <c r="C62" s="493">
        <v>20.161840000000002</v>
      </c>
      <c r="D62" s="493">
        <v>6.47112</v>
      </c>
      <c r="E62" s="493">
        <v>20.09215</v>
      </c>
      <c r="F62" s="785">
        <f t="shared" si="0"/>
        <v>2.1156646762847857</v>
      </c>
      <c r="G62" s="339"/>
      <c r="H62" s="542"/>
      <c r="I62" s="541"/>
      <c r="J62" s="339"/>
      <c r="K62" s="339"/>
    </row>
    <row r="63" spans="1:12" s="299" customFormat="1" ht="9" customHeight="1">
      <c r="A63" s="520"/>
      <c r="B63" s="299" t="s">
        <v>66</v>
      </c>
      <c r="C63" s="493">
        <v>3.3657300000000001</v>
      </c>
      <c r="D63" s="493">
        <v>1.80443</v>
      </c>
      <c r="E63" s="493">
        <v>5.4373699999999996</v>
      </c>
      <c r="F63" s="785">
        <f t="shared" si="0"/>
        <v>0.86525938939166402</v>
      </c>
      <c r="G63" s="339"/>
      <c r="H63" s="542"/>
      <c r="I63" s="541"/>
      <c r="J63" s="339"/>
      <c r="K63" s="339"/>
    </row>
    <row r="64" spans="1:12" s="299" customFormat="1" ht="9" customHeight="1">
      <c r="A64" s="520"/>
      <c r="B64" s="299" t="s">
        <v>65</v>
      </c>
      <c r="C64" s="493">
        <v>3.57464</v>
      </c>
      <c r="D64" s="493">
        <v>2.2753299999999999</v>
      </c>
      <c r="E64" s="493">
        <v>6.40177</v>
      </c>
      <c r="F64" s="785">
        <f t="shared" si="0"/>
        <v>0.57104244219519829</v>
      </c>
      <c r="G64" s="347"/>
      <c r="H64" s="542"/>
      <c r="I64" s="541"/>
      <c r="J64" s="339"/>
      <c r="K64" s="339"/>
    </row>
    <row r="65" spans="1:11" s="299" customFormat="1" ht="9" customHeight="1">
      <c r="A65" s="521" t="s">
        <v>475</v>
      </c>
      <c r="B65" s="400"/>
      <c r="C65" s="401">
        <v>66.907709999999994</v>
      </c>
      <c r="D65" s="401">
        <v>25.859539999999999</v>
      </c>
      <c r="E65" s="401">
        <v>70.281819999999996</v>
      </c>
      <c r="F65" s="784">
        <f t="shared" si="0"/>
        <v>1.5873511284423465</v>
      </c>
      <c r="G65" s="347"/>
      <c r="H65" s="542"/>
      <c r="I65" s="541"/>
      <c r="J65" s="339"/>
      <c r="K65" s="339"/>
    </row>
    <row r="66" spans="1:11" s="299" customFormat="1" ht="9" customHeight="1">
      <c r="A66" s="520" t="s">
        <v>86</v>
      </c>
      <c r="B66" s="299" t="s">
        <v>437</v>
      </c>
      <c r="C66" s="493">
        <v>48.67</v>
      </c>
      <c r="D66" s="493">
        <v>70.346000000000004</v>
      </c>
      <c r="E66" s="493">
        <v>49.161000000000001</v>
      </c>
      <c r="F66" s="785">
        <f t="shared" si="0"/>
        <v>-0.30813408011827259</v>
      </c>
      <c r="G66" s="347"/>
      <c r="H66" s="542"/>
      <c r="I66" s="541"/>
      <c r="J66" s="339"/>
      <c r="K66" s="339"/>
    </row>
    <row r="67" spans="1:11" s="299" customFormat="1" ht="9" customHeight="1">
      <c r="A67" s="520"/>
      <c r="B67" s="299" t="s">
        <v>290</v>
      </c>
      <c r="C67" s="493">
        <v>30.404</v>
      </c>
      <c r="D67" s="493">
        <v>29.588000000000001</v>
      </c>
      <c r="E67" s="493">
        <v>30.404</v>
      </c>
      <c r="F67" s="785">
        <f t="shared" ref="F67:F79" si="1">+IF(D67=0,"",C67/D67-1)</f>
        <v>2.7578748141138254E-2</v>
      </c>
      <c r="G67" s="347"/>
      <c r="H67" s="541"/>
      <c r="I67" s="541"/>
      <c r="J67" s="339"/>
      <c r="K67" s="339"/>
    </row>
    <row r="68" spans="1:11" s="299" customFormat="1" ht="9" customHeight="1">
      <c r="A68" s="520"/>
      <c r="B68" s="299" t="s">
        <v>291</v>
      </c>
      <c r="C68" s="493">
        <v>62.433999999999997</v>
      </c>
      <c r="D68" s="493">
        <v>93.903999999999996</v>
      </c>
      <c r="E68" s="493">
        <v>68.777000000000001</v>
      </c>
      <c r="F68" s="785">
        <f t="shared" si="1"/>
        <v>-0.33512949395126934</v>
      </c>
      <c r="G68" s="347"/>
      <c r="H68" s="541"/>
      <c r="I68" s="541"/>
      <c r="J68" s="339"/>
      <c r="K68" s="339"/>
    </row>
    <row r="69" spans="1:11" s="299" customFormat="1" ht="9" customHeight="1">
      <c r="A69" s="520"/>
      <c r="B69" s="299" t="s">
        <v>292</v>
      </c>
      <c r="C69" s="493">
        <v>113.995</v>
      </c>
      <c r="D69" s="493">
        <v>94.984000000000009</v>
      </c>
      <c r="E69" s="493">
        <v>133.589</v>
      </c>
      <c r="F69" s="785">
        <f t="shared" si="1"/>
        <v>0.2001494988629664</v>
      </c>
      <c r="G69" s="339"/>
      <c r="H69" s="541"/>
      <c r="I69" s="541"/>
      <c r="J69" s="339"/>
      <c r="K69" s="339"/>
    </row>
    <row r="70" spans="1:11" s="299" customFormat="1" ht="9" customHeight="1">
      <c r="A70" s="520"/>
      <c r="B70" s="299" t="s">
        <v>293</v>
      </c>
      <c r="C70" s="493">
        <v>63.886999999999993</v>
      </c>
      <c r="D70" s="493">
        <v>64.381</v>
      </c>
      <c r="E70" s="493">
        <v>64.763000000000005</v>
      </c>
      <c r="F70" s="785">
        <f t="shared" si="1"/>
        <v>-7.6730712477284246E-3</v>
      </c>
      <c r="G70" s="339"/>
      <c r="H70" s="541"/>
      <c r="I70" s="541"/>
      <c r="J70" s="339"/>
      <c r="K70" s="339"/>
    </row>
    <row r="71" spans="1:11" s="299" customFormat="1" ht="9" customHeight="1">
      <c r="A71" s="520"/>
      <c r="B71" s="299" t="s">
        <v>294</v>
      </c>
      <c r="C71" s="493">
        <v>206.488</v>
      </c>
      <c r="D71" s="493">
        <v>213.541</v>
      </c>
      <c r="E71" s="493">
        <v>103.358</v>
      </c>
      <c r="F71" s="785">
        <f t="shared" si="1"/>
        <v>-3.3028786041088165E-2</v>
      </c>
      <c r="G71" s="339"/>
      <c r="H71" s="541"/>
      <c r="I71" s="541"/>
      <c r="J71" s="339"/>
      <c r="K71" s="339"/>
    </row>
    <row r="72" spans="1:11" s="299" customFormat="1" ht="9" customHeight="1">
      <c r="A72" s="520"/>
      <c r="B72" s="299" t="s">
        <v>295</v>
      </c>
      <c r="C72" s="493">
        <v>185.072</v>
      </c>
      <c r="D72" s="493">
        <v>119.947</v>
      </c>
      <c r="E72" s="493">
        <v>176.47900000000001</v>
      </c>
      <c r="F72" s="785">
        <f t="shared" si="1"/>
        <v>0.54294813542648002</v>
      </c>
      <c r="G72" s="348"/>
      <c r="H72" s="541"/>
      <c r="I72" s="541"/>
      <c r="J72" s="339"/>
      <c r="K72" s="339"/>
    </row>
    <row r="73" spans="1:11" s="299" customFormat="1" ht="9" customHeight="1">
      <c r="A73" s="520"/>
      <c r="B73" s="299" t="s">
        <v>296</v>
      </c>
      <c r="C73" s="493">
        <v>0</v>
      </c>
      <c r="D73" s="493">
        <v>457.30200000000002</v>
      </c>
      <c r="E73" s="493">
        <v>214.99899999999997</v>
      </c>
      <c r="F73" s="785">
        <f t="shared" si="1"/>
        <v>-1</v>
      </c>
      <c r="G73" s="348"/>
      <c r="H73" s="270"/>
      <c r="I73" s="541"/>
      <c r="J73" s="339"/>
      <c r="K73" s="339"/>
    </row>
    <row r="74" spans="1:11" s="299" customFormat="1" ht="9" customHeight="1">
      <c r="A74" s="520"/>
      <c r="B74" s="299" t="s">
        <v>398</v>
      </c>
      <c r="C74" s="493">
        <v>0.63900000000000001</v>
      </c>
      <c r="D74" s="493">
        <v>0.33300000000000002</v>
      </c>
      <c r="E74" s="493">
        <v>0.64400000000000002</v>
      </c>
      <c r="F74" s="785">
        <f t="shared" si="1"/>
        <v>0.91891891891891886</v>
      </c>
      <c r="G74" s="348"/>
      <c r="H74" s="270"/>
      <c r="I74" s="541"/>
      <c r="J74" s="339"/>
      <c r="K74" s="339"/>
    </row>
    <row r="75" spans="1:11" s="299" customFormat="1" ht="9" customHeight="1">
      <c r="A75" s="521" t="s">
        <v>476</v>
      </c>
      <c r="B75" s="400"/>
      <c r="C75" s="401">
        <v>711.58899999999994</v>
      </c>
      <c r="D75" s="401">
        <v>1144.326</v>
      </c>
      <c r="E75" s="401">
        <v>842.17399999999998</v>
      </c>
      <c r="F75" s="784">
        <f t="shared" si="1"/>
        <v>-0.37815884634273811</v>
      </c>
      <c r="H75" s="270"/>
      <c r="I75" s="541"/>
      <c r="J75" s="339"/>
      <c r="K75" s="339"/>
    </row>
    <row r="76" spans="1:11" s="299" customFormat="1" ht="9" customHeight="1">
      <c r="A76" s="520" t="s">
        <v>94</v>
      </c>
      <c r="B76" s="299" t="s">
        <v>297</v>
      </c>
      <c r="C76" s="493">
        <v>0</v>
      </c>
      <c r="D76" s="493">
        <v>0</v>
      </c>
      <c r="E76" s="493">
        <v>0</v>
      </c>
      <c r="F76" s="785" t="str">
        <f t="shared" si="1"/>
        <v/>
      </c>
    </row>
    <row r="77" spans="1:11" s="299" customFormat="1" ht="9" customHeight="1">
      <c r="A77" s="520"/>
      <c r="B77" s="299" t="s">
        <v>298</v>
      </c>
      <c r="C77" s="493">
        <v>86.671000000000006</v>
      </c>
      <c r="D77" s="493">
        <v>0</v>
      </c>
      <c r="E77" s="493">
        <v>85.912000000000006</v>
      </c>
      <c r="F77" s="785" t="str">
        <f t="shared" si="1"/>
        <v/>
      </c>
    </row>
    <row r="78" spans="1:11" s="299" customFormat="1" ht="9" customHeight="1">
      <c r="A78" s="520"/>
      <c r="B78" s="299" t="s">
        <v>299</v>
      </c>
      <c r="C78" s="493">
        <v>0</v>
      </c>
      <c r="D78" s="493">
        <v>105.373</v>
      </c>
      <c r="E78" s="493">
        <v>0</v>
      </c>
      <c r="F78" s="785"/>
    </row>
    <row r="79" spans="1:11" s="299" customFormat="1" ht="9" customHeight="1">
      <c r="A79" s="800" t="s">
        <v>477</v>
      </c>
      <c r="B79" s="801"/>
      <c r="C79" s="802">
        <v>86.671000000000006</v>
      </c>
      <c r="D79" s="802">
        <v>105.373</v>
      </c>
      <c r="E79" s="802">
        <v>85.912000000000006</v>
      </c>
      <c r="F79" s="803">
        <f t="shared" si="1"/>
        <v>-0.17748379565922956</v>
      </c>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Normal="100" zoomScaleSheetLayoutView="100" workbookViewId="0">
      <selection activeCell="J3" sqref="J3"/>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52" t="s">
        <v>243</v>
      </c>
      <c r="B1" s="953" t="s">
        <v>52</v>
      </c>
      <c r="C1" s="953" t="s">
        <v>337</v>
      </c>
      <c r="D1" s="953"/>
      <c r="E1" s="953"/>
      <c r="F1" s="954"/>
      <c r="G1" s="337"/>
    </row>
    <row r="2" spans="1:11" s="299" customFormat="1" ht="11.25" customHeight="1">
      <c r="A2" s="946"/>
      <c r="B2" s="949"/>
      <c r="C2" s="389" t="str">
        <f>UPPER('1. Resumen'!Q4)&amp;" "&amp;'1. Resumen'!Q5</f>
        <v>MAYO 2023</v>
      </c>
      <c r="D2" s="390" t="str">
        <f>UPPER('1. Resumen'!Q4)&amp;" "&amp;'1. Resumen'!Q5-1</f>
        <v>MAYO 2022</v>
      </c>
      <c r="E2" s="390">
        <v>2023</v>
      </c>
      <c r="F2" s="501" t="s">
        <v>560</v>
      </c>
      <c r="G2" s="338"/>
      <c r="H2" s="337"/>
    </row>
    <row r="3" spans="1:11" s="299" customFormat="1" ht="11.25" customHeight="1">
      <c r="A3" s="946"/>
      <c r="B3" s="949"/>
      <c r="C3" s="391">
        <f>'21. ANEXOII-1'!C4</f>
        <v>45057.78125</v>
      </c>
      <c r="D3" s="391">
        <f>'21. ANEXOII-1'!D4</f>
        <v>44712.78125</v>
      </c>
      <c r="E3" s="391">
        <f>'21. ANEXOII-1'!E4</f>
        <v>45027.791666666664</v>
      </c>
      <c r="F3" s="502" t="s">
        <v>334</v>
      </c>
      <c r="G3" s="339"/>
      <c r="H3" s="337"/>
    </row>
    <row r="4" spans="1:11" s="299" customFormat="1" ht="9" customHeight="1">
      <c r="A4" s="947"/>
      <c r="B4" s="950"/>
      <c r="C4" s="392">
        <f>+'8. Max Potencia'!D9</f>
        <v>45057.78125</v>
      </c>
      <c r="D4" s="392">
        <f>+'8. Max Potencia'!E9</f>
        <v>44712.78125</v>
      </c>
      <c r="E4" s="392">
        <f>+'21. ANEXOII-1'!E5</f>
        <v>45027.791666666664</v>
      </c>
      <c r="F4" s="503" t="s">
        <v>335</v>
      </c>
      <c r="G4" s="339"/>
      <c r="H4" s="341"/>
    </row>
    <row r="5" spans="1:11" s="299" customFormat="1" ht="9.6" customHeight="1">
      <c r="A5" s="786" t="s">
        <v>96</v>
      </c>
      <c r="B5" s="787" t="s">
        <v>405</v>
      </c>
      <c r="C5" s="788">
        <v>0</v>
      </c>
      <c r="D5" s="788">
        <v>0</v>
      </c>
      <c r="E5" s="788">
        <v>0</v>
      </c>
      <c r="F5" s="789" t="str">
        <f t="shared" ref="F5:F72" si="0">+IF(D5=0,"",C5/D5-1)</f>
        <v/>
      </c>
      <c r="J5" s="411"/>
      <c r="K5" s="411"/>
    </row>
    <row r="6" spans="1:11" s="299" customFormat="1" ht="9.6" customHeight="1">
      <c r="A6" s="666"/>
      <c r="B6" s="533" t="s">
        <v>404</v>
      </c>
      <c r="C6" s="656">
        <v>113.498</v>
      </c>
      <c r="D6" s="656">
        <v>77.456999999999994</v>
      </c>
      <c r="E6" s="656">
        <v>88.403999999999996</v>
      </c>
      <c r="F6" s="790">
        <f t="shared" si="0"/>
        <v>0.46530332958932075</v>
      </c>
      <c r="J6" s="411"/>
      <c r="K6" s="411"/>
    </row>
    <row r="7" spans="1:11" s="299" customFormat="1" ht="9.6" customHeight="1">
      <c r="A7" s="666"/>
      <c r="B7" s="533" t="s">
        <v>613</v>
      </c>
      <c r="C7" s="656">
        <v>0</v>
      </c>
      <c r="D7" s="656"/>
      <c r="E7" s="656">
        <v>0</v>
      </c>
      <c r="F7" s="790"/>
      <c r="J7" s="411"/>
      <c r="K7" s="411"/>
    </row>
    <row r="8" spans="1:11" s="299" customFormat="1" ht="9.6" customHeight="1">
      <c r="A8" s="667" t="s">
        <v>478</v>
      </c>
      <c r="B8" s="668"/>
      <c r="C8" s="669">
        <v>113.498</v>
      </c>
      <c r="D8" s="669">
        <v>77.456999999999994</v>
      </c>
      <c r="E8" s="669">
        <v>88.403999999999996</v>
      </c>
      <c r="F8" s="791">
        <f t="shared" si="0"/>
        <v>0.46530332958932075</v>
      </c>
      <c r="J8" s="411"/>
      <c r="K8" s="411"/>
    </row>
    <row r="9" spans="1:11" s="299" customFormat="1" ht="9.6" customHeight="1">
      <c r="A9" s="666" t="s">
        <v>95</v>
      </c>
      <c r="B9" s="533" t="s">
        <v>75</v>
      </c>
      <c r="C9" s="656">
        <v>46.57</v>
      </c>
      <c r="D9" s="656">
        <v>60.390999999999998</v>
      </c>
      <c r="E9" s="656">
        <v>33.793999999999997</v>
      </c>
      <c r="F9" s="790">
        <f t="shared" si="0"/>
        <v>-0.22885860475898723</v>
      </c>
      <c r="K9" s="411"/>
    </row>
    <row r="10" spans="1:11" s="299" customFormat="1" ht="9.6" customHeight="1">
      <c r="A10" s="666"/>
      <c r="B10" s="533" t="s">
        <v>77</v>
      </c>
      <c r="C10" s="656">
        <v>7.44557</v>
      </c>
      <c r="D10" s="656">
        <v>27.3688</v>
      </c>
      <c r="E10" s="656">
        <v>2.0999999999999999E-3</v>
      </c>
      <c r="F10" s="790">
        <f t="shared" si="0"/>
        <v>-0.7279540937125486</v>
      </c>
      <c r="K10" s="411"/>
    </row>
    <row r="11" spans="1:11" s="299" customFormat="1" ht="9.6" customHeight="1">
      <c r="A11" s="667" t="s">
        <v>479</v>
      </c>
      <c r="B11" s="668"/>
      <c r="C11" s="669">
        <v>54.015569999999997</v>
      </c>
      <c r="D11" s="669">
        <v>87.759799999999998</v>
      </c>
      <c r="E11" s="669">
        <v>33.796099999999996</v>
      </c>
      <c r="F11" s="791">
        <f t="shared" si="0"/>
        <v>-0.38450668757221418</v>
      </c>
      <c r="K11" s="411"/>
    </row>
    <row r="12" spans="1:11" s="299" customFormat="1" ht="9.6" customHeight="1">
      <c r="A12" s="666" t="s">
        <v>85</v>
      </c>
      <c r="B12" s="533" t="s">
        <v>300</v>
      </c>
      <c r="C12" s="656">
        <v>0</v>
      </c>
      <c r="D12" s="656">
        <v>36.953299999999999</v>
      </c>
      <c r="E12" s="656">
        <v>0</v>
      </c>
      <c r="F12" s="790">
        <f t="shared" si="0"/>
        <v>-1</v>
      </c>
      <c r="J12" s="411"/>
      <c r="K12" s="411"/>
    </row>
    <row r="13" spans="1:11" s="299" customFormat="1" ht="9.6" customHeight="1">
      <c r="A13" s="666"/>
      <c r="B13" s="533" t="s">
        <v>301</v>
      </c>
      <c r="C13" s="656">
        <v>130.18666000000002</v>
      </c>
      <c r="D13" s="656">
        <v>85.933750000000003</v>
      </c>
      <c r="E13" s="656">
        <v>130.81349</v>
      </c>
      <c r="F13" s="790">
        <f t="shared" si="0"/>
        <v>0.51496542394577238</v>
      </c>
      <c r="J13" s="411"/>
      <c r="K13" s="411"/>
    </row>
    <row r="14" spans="1:11" s="299" customFormat="1" ht="9.6" customHeight="1">
      <c r="A14" s="666"/>
      <c r="B14" s="533" t="s">
        <v>302</v>
      </c>
      <c r="C14" s="656">
        <v>752.52188999999998</v>
      </c>
      <c r="D14" s="656">
        <v>662.43633999999997</v>
      </c>
      <c r="E14" s="656">
        <v>753.17270000000008</v>
      </c>
      <c r="F14" s="790">
        <f t="shared" si="0"/>
        <v>0.13599125615602548</v>
      </c>
      <c r="J14" s="411"/>
      <c r="K14" s="411"/>
    </row>
    <row r="15" spans="1:11" s="299" customFormat="1" ht="9.6" customHeight="1">
      <c r="A15" s="666"/>
      <c r="B15" s="533" t="s">
        <v>303</v>
      </c>
      <c r="C15" s="656">
        <v>0</v>
      </c>
      <c r="D15" s="656">
        <v>102.02784</v>
      </c>
      <c r="E15" s="656">
        <v>101.03351000000001</v>
      </c>
      <c r="F15" s="790">
        <f t="shared" si="0"/>
        <v>-1</v>
      </c>
      <c r="J15" s="411"/>
      <c r="K15" s="411"/>
    </row>
    <row r="16" spans="1:11" s="299" customFormat="1" ht="9.6" customHeight="1">
      <c r="A16" s="666"/>
      <c r="B16" s="533" t="s">
        <v>558</v>
      </c>
      <c r="C16" s="656">
        <v>0</v>
      </c>
      <c r="D16" s="656">
        <v>0</v>
      </c>
      <c r="E16" s="656"/>
      <c r="F16" s="790" t="str">
        <f t="shared" si="0"/>
        <v/>
      </c>
      <c r="J16" s="411"/>
      <c r="K16" s="411"/>
    </row>
    <row r="17" spans="1:11" s="299" customFormat="1" ht="9.6" customHeight="1">
      <c r="A17" s="666"/>
      <c r="B17" s="533" t="s">
        <v>304</v>
      </c>
      <c r="C17" s="656">
        <v>0</v>
      </c>
      <c r="D17" s="656">
        <v>195.91817</v>
      </c>
      <c r="E17" s="656">
        <v>0</v>
      </c>
      <c r="F17" s="790">
        <f t="shared" si="0"/>
        <v>-1</v>
      </c>
      <c r="J17" s="411"/>
      <c r="K17" s="411"/>
    </row>
    <row r="18" spans="1:11" s="299" customFormat="1" ht="9.6" customHeight="1">
      <c r="A18" s="666"/>
      <c r="B18" s="533" t="s">
        <v>305</v>
      </c>
      <c r="C18" s="656">
        <v>0</v>
      </c>
      <c r="D18" s="656">
        <v>0</v>
      </c>
      <c r="E18" s="656">
        <v>0</v>
      </c>
      <c r="F18" s="790" t="str">
        <f t="shared" si="0"/>
        <v/>
      </c>
      <c r="J18" s="411"/>
      <c r="K18" s="411"/>
    </row>
    <row r="19" spans="1:11" s="299" customFormat="1" ht="9.6" customHeight="1">
      <c r="A19" s="666"/>
      <c r="B19" s="533" t="s">
        <v>406</v>
      </c>
      <c r="C19" s="656">
        <v>0</v>
      </c>
      <c r="D19" s="656">
        <v>0</v>
      </c>
      <c r="E19" s="656">
        <v>0</v>
      </c>
      <c r="F19" s="790" t="str">
        <f t="shared" si="0"/>
        <v/>
      </c>
      <c r="J19" s="411"/>
      <c r="K19" s="411"/>
    </row>
    <row r="20" spans="1:11" s="299" customFormat="1" ht="9.6" customHeight="1">
      <c r="A20" s="666"/>
      <c r="B20" s="533" t="s">
        <v>555</v>
      </c>
      <c r="C20" s="656">
        <v>85.461489999999998</v>
      </c>
      <c r="D20" s="656"/>
      <c r="E20" s="656">
        <v>87.477190000000007</v>
      </c>
      <c r="F20" s="790"/>
      <c r="J20" s="411"/>
      <c r="K20" s="411"/>
    </row>
    <row r="21" spans="1:11" s="299" customFormat="1" ht="9.6" customHeight="1">
      <c r="A21" s="666"/>
      <c r="B21" s="533" t="s">
        <v>614</v>
      </c>
      <c r="C21" s="656">
        <v>1.80016</v>
      </c>
      <c r="D21" s="656"/>
      <c r="E21" s="656"/>
      <c r="F21" s="790"/>
      <c r="J21" s="411"/>
      <c r="K21" s="411"/>
    </row>
    <row r="22" spans="1:11" s="299" customFormat="1" ht="9.6" customHeight="1">
      <c r="A22" s="667" t="s">
        <v>480</v>
      </c>
      <c r="B22" s="668"/>
      <c r="C22" s="669">
        <v>969.97020000000009</v>
      </c>
      <c r="D22" s="669">
        <v>1083.2693999999999</v>
      </c>
      <c r="E22" s="669">
        <v>1072.4968900000001</v>
      </c>
      <c r="F22" s="791">
        <f t="shared" si="0"/>
        <v>-0.10459004934506577</v>
      </c>
      <c r="J22" s="411"/>
      <c r="K22" s="411"/>
    </row>
    <row r="23" spans="1:11" s="299" customFormat="1" ht="9.6" customHeight="1">
      <c r="A23" s="666" t="s">
        <v>232</v>
      </c>
      <c r="B23" s="533" t="s">
        <v>306</v>
      </c>
      <c r="C23" s="656">
        <v>0</v>
      </c>
      <c r="D23" s="656">
        <v>566.63325000000009</v>
      </c>
      <c r="E23" s="656">
        <v>0</v>
      </c>
      <c r="F23" s="790"/>
      <c r="J23" s="411"/>
      <c r="K23" s="411"/>
    </row>
    <row r="24" spans="1:11" s="299" customFormat="1" ht="9.6" customHeight="1">
      <c r="A24" s="667" t="s">
        <v>481</v>
      </c>
      <c r="B24" s="668"/>
      <c r="C24" s="669">
        <v>0</v>
      </c>
      <c r="D24" s="669">
        <v>566.63325000000009</v>
      </c>
      <c r="E24" s="669">
        <v>0</v>
      </c>
      <c r="F24" s="791"/>
      <c r="J24" s="411"/>
      <c r="K24" s="411"/>
    </row>
    <row r="25" spans="1:11" s="299" customFormat="1" ht="9.6" customHeight="1">
      <c r="A25" s="666" t="s">
        <v>431</v>
      </c>
      <c r="B25" s="533" t="s">
        <v>435</v>
      </c>
      <c r="C25" s="656">
        <v>20.987110000000001</v>
      </c>
      <c r="D25" s="656">
        <v>11.440560000000001</v>
      </c>
      <c r="E25" s="656">
        <v>20.999589999999998</v>
      </c>
      <c r="F25" s="790"/>
      <c r="J25" s="411"/>
      <c r="K25" s="411"/>
    </row>
    <row r="26" spans="1:11" s="299" customFormat="1" ht="9.6" customHeight="1">
      <c r="A26" s="666"/>
      <c r="B26" s="533" t="s">
        <v>432</v>
      </c>
      <c r="C26" s="656">
        <v>7.15862</v>
      </c>
      <c r="D26" s="656">
        <v>4.0392999999999999</v>
      </c>
      <c r="E26" s="656">
        <v>8.37819</v>
      </c>
      <c r="F26" s="790">
        <f t="shared" si="0"/>
        <v>0.77224271532196176</v>
      </c>
      <c r="J26" s="411"/>
      <c r="K26" s="411"/>
    </row>
    <row r="27" spans="1:11" s="299" customFormat="1" ht="9.6" customHeight="1">
      <c r="A27" s="667" t="s">
        <v>482</v>
      </c>
      <c r="B27" s="668"/>
      <c r="C27" s="669">
        <v>28.14573</v>
      </c>
      <c r="D27" s="669">
        <v>15.479860000000002</v>
      </c>
      <c r="E27" s="669">
        <v>29.377779999999998</v>
      </c>
      <c r="F27" s="791">
        <f t="shared" si="0"/>
        <v>0.81821605621756244</v>
      </c>
      <c r="J27" s="411"/>
      <c r="K27" s="411"/>
    </row>
    <row r="28" spans="1:11" s="299" customFormat="1" ht="9.6" customHeight="1">
      <c r="A28" s="666" t="s">
        <v>106</v>
      </c>
      <c r="B28" s="533" t="s">
        <v>64</v>
      </c>
      <c r="C28" s="656">
        <v>6.19956</v>
      </c>
      <c r="D28" s="656">
        <v>6.9508399999999995</v>
      </c>
      <c r="E28" s="656">
        <v>6.4888200000000005</v>
      </c>
      <c r="F28" s="790">
        <f t="shared" si="0"/>
        <v>-0.10808477824262963</v>
      </c>
      <c r="J28" s="411"/>
      <c r="K28" s="411"/>
    </row>
    <row r="29" spans="1:11" s="299" customFormat="1" ht="9.6" customHeight="1">
      <c r="A29" s="666"/>
      <c r="B29" s="533" t="s">
        <v>397</v>
      </c>
      <c r="C29" s="656">
        <v>11.79941</v>
      </c>
      <c r="D29" s="656">
        <v>6.0792900000000003</v>
      </c>
      <c r="E29" s="656">
        <v>10.98638</v>
      </c>
      <c r="F29" s="790">
        <f t="shared" si="0"/>
        <v>0.94091908759082044</v>
      </c>
      <c r="J29" s="411"/>
      <c r="K29" s="411"/>
    </row>
    <row r="30" spans="1:11" s="299" customFormat="1" ht="9.6" customHeight="1">
      <c r="A30" s="666"/>
      <c r="B30" s="533" t="s">
        <v>395</v>
      </c>
      <c r="C30" s="656">
        <v>14.89378</v>
      </c>
      <c r="D30" s="656">
        <v>6.8564499999999997</v>
      </c>
      <c r="E30" s="656">
        <v>20.388649999999998</v>
      </c>
      <c r="F30" s="790">
        <f t="shared" si="0"/>
        <v>1.1722290689788446</v>
      </c>
      <c r="J30" s="411"/>
      <c r="K30" s="411"/>
    </row>
    <row r="31" spans="1:11" s="299" customFormat="1" ht="9.6" customHeight="1">
      <c r="A31" s="666"/>
      <c r="B31" s="533" t="s">
        <v>396</v>
      </c>
      <c r="C31" s="656">
        <v>14.81588</v>
      </c>
      <c r="D31" s="656">
        <v>6.9119599999999997</v>
      </c>
      <c r="E31" s="656">
        <v>19.73573</v>
      </c>
      <c r="F31" s="790">
        <f t="shared" si="0"/>
        <v>1.14351356199978</v>
      </c>
      <c r="J31" s="411"/>
      <c r="K31" s="411"/>
    </row>
    <row r="32" spans="1:11" s="299" customFormat="1" ht="9.6" customHeight="1">
      <c r="A32" s="667" t="s">
        <v>483</v>
      </c>
      <c r="B32" s="668"/>
      <c r="C32" s="669">
        <v>47.708629999999999</v>
      </c>
      <c r="D32" s="669">
        <v>26.798539999999999</v>
      </c>
      <c r="E32" s="669">
        <v>57.599580000000003</v>
      </c>
      <c r="F32" s="791">
        <f t="shared" si="0"/>
        <v>0.7802697460384036</v>
      </c>
      <c r="J32" s="411"/>
      <c r="K32" s="411"/>
    </row>
    <row r="33" spans="1:11" s="299" customFormat="1" ht="9.6" customHeight="1">
      <c r="A33" s="666" t="s">
        <v>447</v>
      </c>
      <c r="B33" s="533" t="s">
        <v>453</v>
      </c>
      <c r="C33" s="656">
        <v>5.7991200000000003</v>
      </c>
      <c r="D33" s="656">
        <v>2.9041399999999999</v>
      </c>
      <c r="E33" s="656">
        <v>8.6110000000000006E-2</v>
      </c>
      <c r="F33" s="790">
        <f t="shared" si="0"/>
        <v>0.99684588208557456</v>
      </c>
      <c r="J33" s="411"/>
      <c r="K33" s="411"/>
    </row>
    <row r="34" spans="1:11" s="299" customFormat="1" ht="9.6" customHeight="1">
      <c r="A34" s="667" t="s">
        <v>484</v>
      </c>
      <c r="B34" s="668"/>
      <c r="C34" s="669">
        <v>5.7991200000000003</v>
      </c>
      <c r="D34" s="669">
        <v>2.9041399999999999</v>
      </c>
      <c r="E34" s="669">
        <v>8.6110000000000006E-2</v>
      </c>
      <c r="F34" s="791">
        <f t="shared" si="0"/>
        <v>0.99684588208557456</v>
      </c>
      <c r="J34" s="411"/>
      <c r="K34" s="411"/>
    </row>
    <row r="35" spans="1:11" s="299" customFormat="1" ht="9.6" customHeight="1">
      <c r="A35" s="666" t="s">
        <v>448</v>
      </c>
      <c r="B35" s="533" t="s">
        <v>454</v>
      </c>
      <c r="C35" s="656">
        <v>10.4338</v>
      </c>
      <c r="D35" s="656">
        <v>1.7532000000000001</v>
      </c>
      <c r="E35" s="656">
        <v>8.0000000000000007E-5</v>
      </c>
      <c r="F35" s="790">
        <f t="shared" si="0"/>
        <v>4.9512890714122744</v>
      </c>
      <c r="J35" s="411"/>
      <c r="K35" s="411"/>
    </row>
    <row r="36" spans="1:11" s="299" customFormat="1" ht="9.6" customHeight="1">
      <c r="A36" s="667" t="s">
        <v>485</v>
      </c>
      <c r="B36" s="668"/>
      <c r="C36" s="669">
        <v>10.4338</v>
      </c>
      <c r="D36" s="669">
        <v>1.7532000000000001</v>
      </c>
      <c r="E36" s="669">
        <v>8.0000000000000007E-5</v>
      </c>
      <c r="F36" s="791">
        <f t="shared" si="0"/>
        <v>4.9512890714122744</v>
      </c>
      <c r="J36" s="411"/>
      <c r="K36" s="411"/>
    </row>
    <row r="37" spans="1:11" s="299" customFormat="1" ht="9.6" customHeight="1">
      <c r="A37" s="666" t="s">
        <v>112</v>
      </c>
      <c r="B37" s="533" t="s">
        <v>72</v>
      </c>
      <c r="C37" s="656">
        <v>2.8</v>
      </c>
      <c r="D37" s="656">
        <v>0</v>
      </c>
      <c r="E37" s="656">
        <v>3.2</v>
      </c>
      <c r="F37" s="790" t="str">
        <f t="shared" si="0"/>
        <v/>
      </c>
      <c r="J37" s="411"/>
      <c r="K37" s="411"/>
    </row>
    <row r="38" spans="1:11" s="299" customFormat="1" ht="9.6" customHeight="1">
      <c r="A38" s="667" t="s">
        <v>486</v>
      </c>
      <c r="B38" s="668"/>
      <c r="C38" s="669">
        <v>2.8</v>
      </c>
      <c r="D38" s="669">
        <v>0</v>
      </c>
      <c r="E38" s="669">
        <v>3.2</v>
      </c>
      <c r="F38" s="791" t="str">
        <f t="shared" si="0"/>
        <v/>
      </c>
      <c r="J38" s="411"/>
      <c r="K38" s="411"/>
    </row>
    <row r="39" spans="1:11" s="299" customFormat="1" ht="9.6" customHeight="1">
      <c r="A39" s="666" t="s">
        <v>101</v>
      </c>
      <c r="B39" s="533" t="s">
        <v>307</v>
      </c>
      <c r="C39" s="656">
        <v>0</v>
      </c>
      <c r="D39" s="656">
        <v>19.114570000000001</v>
      </c>
      <c r="E39" s="656">
        <v>19.102539999999998</v>
      </c>
      <c r="F39" s="790">
        <f t="shared" si="0"/>
        <v>-1</v>
      </c>
      <c r="J39" s="411"/>
      <c r="K39" s="411"/>
    </row>
    <row r="40" spans="1:11" s="299" customFormat="1" ht="9.6" customHeight="1">
      <c r="A40" s="667" t="s">
        <v>487</v>
      </c>
      <c r="B40" s="668"/>
      <c r="C40" s="669">
        <v>0</v>
      </c>
      <c r="D40" s="669">
        <v>19.114570000000001</v>
      </c>
      <c r="E40" s="669">
        <v>19.102539999999998</v>
      </c>
      <c r="F40" s="791">
        <f t="shared" si="0"/>
        <v>-1</v>
      </c>
      <c r="J40" s="411"/>
      <c r="K40" s="411"/>
    </row>
    <row r="41" spans="1:11" s="533" customFormat="1" ht="10.199999999999999" customHeight="1">
      <c r="A41" s="666" t="s">
        <v>233</v>
      </c>
      <c r="B41" s="533" t="s">
        <v>57</v>
      </c>
      <c r="C41" s="656">
        <v>18.512</v>
      </c>
      <c r="D41" s="656">
        <v>18.378430000000002</v>
      </c>
      <c r="E41" s="656">
        <v>18.567</v>
      </c>
      <c r="F41" s="790">
        <f t="shared" si="0"/>
        <v>7.2677589979122104E-3</v>
      </c>
      <c r="J41" s="657"/>
      <c r="K41" s="657"/>
    </row>
    <row r="42" spans="1:11" s="299" customFormat="1" ht="9.6" customHeight="1">
      <c r="A42" s="667" t="s">
        <v>488</v>
      </c>
      <c r="B42" s="668"/>
      <c r="C42" s="669">
        <v>18.512</v>
      </c>
      <c r="D42" s="669">
        <v>18.378430000000002</v>
      </c>
      <c r="E42" s="669">
        <v>18.567</v>
      </c>
      <c r="F42" s="791">
        <f t="shared" si="0"/>
        <v>7.2677589979122104E-3</v>
      </c>
      <c r="J42" s="411"/>
      <c r="K42" s="411"/>
    </row>
    <row r="43" spans="1:11" s="299" customFormat="1" ht="9.6" customHeight="1">
      <c r="A43" s="666" t="s">
        <v>394</v>
      </c>
      <c r="B43" s="533" t="s">
        <v>554</v>
      </c>
      <c r="C43" s="656"/>
      <c r="D43" s="656">
        <v>0.72</v>
      </c>
      <c r="E43" s="656"/>
      <c r="F43" s="790">
        <f t="shared" si="0"/>
        <v>-1</v>
      </c>
      <c r="J43" s="411"/>
      <c r="K43" s="411"/>
    </row>
    <row r="44" spans="1:11" s="299" customFormat="1" ht="9.6" customHeight="1">
      <c r="A44" s="667" t="s">
        <v>489</v>
      </c>
      <c r="B44" s="668"/>
      <c r="C44" s="669"/>
      <c r="D44" s="669">
        <v>0.72</v>
      </c>
      <c r="E44" s="669"/>
      <c r="F44" s="791">
        <f t="shared" si="0"/>
        <v>-1</v>
      </c>
      <c r="J44" s="411"/>
      <c r="K44" s="411"/>
    </row>
    <row r="45" spans="1:11" s="299" customFormat="1" ht="9.6" customHeight="1">
      <c r="A45" s="666" t="s">
        <v>408</v>
      </c>
      <c r="B45" s="533" t="s">
        <v>412</v>
      </c>
      <c r="C45" s="656">
        <v>91.655389999999997</v>
      </c>
      <c r="D45" s="656">
        <v>86.90379999999999</v>
      </c>
      <c r="E45" s="656">
        <v>90.194980000000001</v>
      </c>
      <c r="F45" s="790">
        <f t="shared" si="0"/>
        <v>5.467643532273625E-2</v>
      </c>
      <c r="J45" s="411"/>
      <c r="K45" s="411"/>
    </row>
    <row r="46" spans="1:11" s="299" customFormat="1" ht="9.6" customHeight="1">
      <c r="A46" s="667" t="s">
        <v>490</v>
      </c>
      <c r="B46" s="668"/>
      <c r="C46" s="669">
        <v>91.655389999999997</v>
      </c>
      <c r="D46" s="669">
        <v>86.90379999999999</v>
      </c>
      <c r="E46" s="669">
        <v>90.194980000000001</v>
      </c>
      <c r="F46" s="791">
        <f t="shared" si="0"/>
        <v>5.467643532273625E-2</v>
      </c>
      <c r="J46" s="411"/>
      <c r="K46" s="411"/>
    </row>
    <row r="47" spans="1:11" s="299" customFormat="1" ht="19.95" customHeight="1">
      <c r="A47" s="655" t="s">
        <v>439</v>
      </c>
      <c r="B47" s="533" t="s">
        <v>443</v>
      </c>
      <c r="C47" s="656">
        <v>7.5263600000000004</v>
      </c>
      <c r="D47" s="656">
        <v>0</v>
      </c>
      <c r="E47" s="656">
        <v>7.5326500000000003</v>
      </c>
      <c r="F47" s="790" t="str">
        <f t="shared" si="0"/>
        <v/>
      </c>
      <c r="J47" s="411"/>
      <c r="K47" s="411"/>
    </row>
    <row r="48" spans="1:11" s="299" customFormat="1" ht="11.4" customHeight="1">
      <c r="A48" s="667" t="s">
        <v>491</v>
      </c>
      <c r="B48" s="668"/>
      <c r="C48" s="669">
        <v>7.5263600000000004</v>
      </c>
      <c r="D48" s="669">
        <v>0</v>
      </c>
      <c r="E48" s="669">
        <v>7.5326500000000003</v>
      </c>
      <c r="F48" s="791" t="str">
        <f t="shared" si="0"/>
        <v/>
      </c>
      <c r="J48" s="411"/>
      <c r="K48" s="411"/>
    </row>
    <row r="49" spans="1:11" s="299" customFormat="1" ht="11.4" customHeight="1">
      <c r="A49" s="666" t="s">
        <v>114</v>
      </c>
      <c r="B49" s="533" t="s">
        <v>309</v>
      </c>
      <c r="C49" s="656">
        <v>0</v>
      </c>
      <c r="D49" s="656">
        <v>0</v>
      </c>
      <c r="E49" s="656">
        <v>0</v>
      </c>
      <c r="F49" s="790" t="str">
        <f t="shared" si="0"/>
        <v/>
      </c>
      <c r="J49" s="411"/>
      <c r="K49" s="411"/>
    </row>
    <row r="50" spans="1:11" s="299" customFormat="1" ht="11.4" customHeight="1">
      <c r="A50" s="666"/>
      <c r="B50" s="533" t="s">
        <v>310</v>
      </c>
      <c r="C50" s="656">
        <v>0</v>
      </c>
      <c r="D50" s="656">
        <v>0</v>
      </c>
      <c r="E50" s="656">
        <v>0</v>
      </c>
      <c r="F50" s="790" t="str">
        <f t="shared" si="0"/>
        <v/>
      </c>
      <c r="J50" s="411"/>
      <c r="K50" s="411"/>
    </row>
    <row r="51" spans="1:11" s="299" customFormat="1" ht="11.4" customHeight="1">
      <c r="A51" s="667" t="s">
        <v>492</v>
      </c>
      <c r="B51" s="668"/>
      <c r="C51" s="669">
        <v>0</v>
      </c>
      <c r="D51" s="669">
        <v>0</v>
      </c>
      <c r="E51" s="669">
        <v>0</v>
      </c>
      <c r="F51" s="791" t="str">
        <f t="shared" si="0"/>
        <v/>
      </c>
      <c r="J51" s="411"/>
      <c r="K51" s="411"/>
    </row>
    <row r="52" spans="1:11" s="299" customFormat="1" ht="11.4" customHeight="1">
      <c r="A52" s="666" t="s">
        <v>392</v>
      </c>
      <c r="B52" s="533" t="s">
        <v>311</v>
      </c>
      <c r="C52" s="656">
        <v>841.52572999999995</v>
      </c>
      <c r="D52" s="656">
        <v>170.37</v>
      </c>
      <c r="E52" s="656">
        <v>826.01572999999996</v>
      </c>
      <c r="F52" s="790">
        <f t="shared" si="0"/>
        <v>3.9394008921758523</v>
      </c>
      <c r="J52" s="411"/>
      <c r="K52" s="411"/>
    </row>
    <row r="53" spans="1:11" s="299" customFormat="1" ht="11.4" customHeight="1">
      <c r="A53" s="666"/>
      <c r="B53" s="533" t="s">
        <v>559</v>
      </c>
      <c r="C53" s="656">
        <v>303.97764999999998</v>
      </c>
      <c r="D53" s="656">
        <v>0</v>
      </c>
      <c r="E53" s="656">
        <v>301.31545999999997</v>
      </c>
      <c r="F53" s="790" t="str">
        <f t="shared" si="0"/>
        <v/>
      </c>
      <c r="J53" s="411"/>
      <c r="K53" s="411"/>
    </row>
    <row r="54" spans="1:11" s="299" customFormat="1" ht="11.4" customHeight="1">
      <c r="A54" s="666"/>
      <c r="B54" s="533" t="s">
        <v>410</v>
      </c>
      <c r="C54" s="656">
        <v>538.34707000000003</v>
      </c>
      <c r="D54" s="656">
        <v>540.03</v>
      </c>
      <c r="E54" s="656">
        <v>568.33227999999997</v>
      </c>
      <c r="F54" s="790">
        <f t="shared" si="0"/>
        <v>-3.1163639057087966E-3</v>
      </c>
      <c r="J54" s="411"/>
      <c r="K54" s="411"/>
    </row>
    <row r="55" spans="1:11" s="299" customFormat="1" ht="11.4" customHeight="1">
      <c r="A55" s="666"/>
      <c r="B55" s="533" t="s">
        <v>312</v>
      </c>
      <c r="C55" s="656">
        <v>5.9645900000000003</v>
      </c>
      <c r="D55" s="656">
        <v>5.56</v>
      </c>
      <c r="E55" s="656">
        <v>10.12599</v>
      </c>
      <c r="F55" s="790">
        <f t="shared" si="0"/>
        <v>7.2767985611510877E-2</v>
      </c>
      <c r="J55" s="411"/>
      <c r="K55" s="411"/>
    </row>
    <row r="56" spans="1:11" s="299" customFormat="1" ht="11.4" customHeight="1">
      <c r="A56" s="667" t="s">
        <v>493</v>
      </c>
      <c r="B56" s="668"/>
      <c r="C56" s="669">
        <v>1689.81504</v>
      </c>
      <c r="D56" s="669">
        <v>715.95999999999992</v>
      </c>
      <c r="E56" s="669">
        <v>1705.78946</v>
      </c>
      <c r="F56" s="791">
        <f t="shared" si="0"/>
        <v>1.3602087267445109</v>
      </c>
      <c r="J56" s="411"/>
      <c r="K56" s="411"/>
    </row>
    <row r="57" spans="1:11" s="299" customFormat="1" ht="11.4" customHeight="1">
      <c r="A57" s="666" t="s">
        <v>455</v>
      </c>
      <c r="B57" s="533" t="s">
        <v>532</v>
      </c>
      <c r="C57" s="656">
        <v>73.706000000000003</v>
      </c>
      <c r="D57" s="656">
        <v>36.260019999999997</v>
      </c>
      <c r="E57" s="656">
        <v>59.338000000000001</v>
      </c>
      <c r="F57" s="790">
        <f t="shared" si="0"/>
        <v>1.0327070972382257</v>
      </c>
      <c r="J57" s="411"/>
      <c r="K57" s="411"/>
    </row>
    <row r="58" spans="1:11" s="299" customFormat="1" ht="11.4" customHeight="1">
      <c r="A58" s="667" t="s">
        <v>494</v>
      </c>
      <c r="B58" s="668"/>
      <c r="C58" s="669">
        <v>73.706000000000003</v>
      </c>
      <c r="D58" s="669">
        <v>36.260019999999997</v>
      </c>
      <c r="E58" s="669">
        <v>59.338000000000001</v>
      </c>
      <c r="F58" s="791">
        <f t="shared" si="0"/>
        <v>1.0327070972382257</v>
      </c>
      <c r="J58" s="411"/>
      <c r="K58" s="411"/>
    </row>
    <row r="59" spans="1:11" s="299" customFormat="1" ht="11.4" customHeight="1">
      <c r="A59" s="666" t="s">
        <v>113</v>
      </c>
      <c r="B59" s="533" t="s">
        <v>70</v>
      </c>
      <c r="C59" s="656">
        <v>3.7410399999999999</v>
      </c>
      <c r="D59" s="656">
        <v>1.9670000000000001</v>
      </c>
      <c r="E59" s="656">
        <v>3.7949999999999999</v>
      </c>
      <c r="F59" s="790">
        <f t="shared" si="0"/>
        <v>0.90190137264870351</v>
      </c>
      <c r="J59" s="411"/>
      <c r="K59" s="411"/>
    </row>
    <row r="60" spans="1:11" s="299" customFormat="1" ht="11.4" customHeight="1">
      <c r="A60" s="667" t="s">
        <v>495</v>
      </c>
      <c r="B60" s="668"/>
      <c r="C60" s="669">
        <v>3.7410399999999999</v>
      </c>
      <c r="D60" s="669">
        <v>1.9670000000000001</v>
      </c>
      <c r="E60" s="669">
        <v>3.7949999999999999</v>
      </c>
      <c r="F60" s="791">
        <f t="shared" si="0"/>
        <v>0.90190137264870351</v>
      </c>
      <c r="J60" s="411"/>
      <c r="K60" s="411"/>
    </row>
    <row r="61" spans="1:11" s="299" customFormat="1" ht="11.4" customHeight="1">
      <c r="A61" s="666" t="s">
        <v>445</v>
      </c>
      <c r="B61" s="533" t="s">
        <v>226</v>
      </c>
      <c r="C61" s="656">
        <v>0</v>
      </c>
      <c r="D61" s="656">
        <v>0</v>
      </c>
      <c r="E61" s="656">
        <v>0</v>
      </c>
      <c r="F61" s="790" t="str">
        <f t="shared" si="0"/>
        <v/>
      </c>
      <c r="J61" s="411"/>
      <c r="K61" s="411"/>
    </row>
    <row r="62" spans="1:11" s="299" customFormat="1" ht="11.4" customHeight="1">
      <c r="A62" s="667" t="s">
        <v>496</v>
      </c>
      <c r="B62" s="668"/>
      <c r="C62" s="669">
        <v>0</v>
      </c>
      <c r="D62" s="669">
        <v>0</v>
      </c>
      <c r="E62" s="669">
        <v>0</v>
      </c>
      <c r="F62" s="791" t="str">
        <f t="shared" si="0"/>
        <v/>
      </c>
      <c r="J62" s="411"/>
      <c r="K62" s="411"/>
    </row>
    <row r="63" spans="1:11" s="299" customFormat="1" ht="11.4" customHeight="1">
      <c r="A63" s="666" t="s">
        <v>108</v>
      </c>
      <c r="B63" s="533" t="s">
        <v>79</v>
      </c>
      <c r="C63" s="656">
        <v>0</v>
      </c>
      <c r="D63" s="656">
        <v>0</v>
      </c>
      <c r="E63" s="656">
        <v>0</v>
      </c>
      <c r="F63" s="790" t="str">
        <f t="shared" si="0"/>
        <v/>
      </c>
      <c r="J63" s="411"/>
      <c r="K63" s="411"/>
    </row>
    <row r="64" spans="1:11" s="299" customFormat="1" ht="11.4" customHeight="1">
      <c r="A64" s="667" t="s">
        <v>497</v>
      </c>
      <c r="B64" s="668"/>
      <c r="C64" s="669">
        <v>0</v>
      </c>
      <c r="D64" s="669">
        <v>0</v>
      </c>
      <c r="E64" s="669">
        <v>0</v>
      </c>
      <c r="F64" s="791" t="str">
        <f t="shared" si="0"/>
        <v/>
      </c>
      <c r="J64" s="411"/>
      <c r="K64" s="411"/>
    </row>
    <row r="65" spans="1:11" s="299" customFormat="1" ht="11.4" customHeight="1">
      <c r="A65" s="666" t="s">
        <v>234</v>
      </c>
      <c r="B65" s="533" t="s">
        <v>69</v>
      </c>
      <c r="C65" s="656">
        <v>5.5959399999999997</v>
      </c>
      <c r="D65" s="656">
        <v>5.375</v>
      </c>
      <c r="E65" s="656">
        <v>0</v>
      </c>
      <c r="F65" s="790">
        <f t="shared" si="0"/>
        <v>4.1105116279069653E-2</v>
      </c>
      <c r="J65" s="411"/>
      <c r="K65" s="411"/>
    </row>
    <row r="66" spans="1:11" s="299" customFormat="1" ht="11.4" customHeight="1">
      <c r="A66" s="666"/>
      <c r="B66" s="533" t="s">
        <v>313</v>
      </c>
      <c r="C66" s="656">
        <v>220.29808</v>
      </c>
      <c r="D66" s="656">
        <v>132.00800000000001</v>
      </c>
      <c r="E66" s="656">
        <v>222.72689000000003</v>
      </c>
      <c r="F66" s="790">
        <f t="shared" si="0"/>
        <v>0.6688237076540815</v>
      </c>
      <c r="J66" s="411"/>
      <c r="K66" s="411"/>
    </row>
    <row r="67" spans="1:11" s="299" customFormat="1" ht="11.4" customHeight="1">
      <c r="A67" s="666"/>
      <c r="B67" s="533" t="s">
        <v>314</v>
      </c>
      <c r="C67" s="656">
        <v>92.046840000000003</v>
      </c>
      <c r="D67" s="656">
        <v>89.721999999999994</v>
      </c>
      <c r="E67" s="656">
        <v>90.030109999999993</v>
      </c>
      <c r="F67" s="790">
        <f t="shared" si="0"/>
        <v>2.5911593589086346E-2</v>
      </c>
      <c r="J67" s="411"/>
      <c r="K67" s="411"/>
    </row>
    <row r="68" spans="1:11" s="299" customFormat="1" ht="11.4" customHeight="1">
      <c r="A68" s="666"/>
      <c r="B68" s="533" t="s">
        <v>60</v>
      </c>
      <c r="C68" s="656">
        <v>9.9151399999999992</v>
      </c>
      <c r="D68" s="656">
        <v>9.9890000000000008</v>
      </c>
      <c r="E68" s="656">
        <v>9.9212299999999995</v>
      </c>
      <c r="F68" s="790">
        <f t="shared" si="0"/>
        <v>-7.394133546901771E-3</v>
      </c>
      <c r="J68" s="411"/>
      <c r="K68" s="411"/>
    </row>
    <row r="69" spans="1:11" s="299" customFormat="1" ht="11.4" customHeight="1">
      <c r="A69" s="667" t="s">
        <v>498</v>
      </c>
      <c r="B69" s="668"/>
      <c r="C69" s="669">
        <v>327.85600000000005</v>
      </c>
      <c r="D69" s="669">
        <v>237.09400000000002</v>
      </c>
      <c r="E69" s="669">
        <v>322.67822999999999</v>
      </c>
      <c r="F69" s="791">
        <f t="shared" si="0"/>
        <v>0.38281019342539246</v>
      </c>
      <c r="J69" s="411"/>
      <c r="K69" s="411"/>
    </row>
    <row r="70" spans="1:11" s="299" customFormat="1" ht="11.4" customHeight="1">
      <c r="A70" s="666" t="s">
        <v>235</v>
      </c>
      <c r="B70" s="533" t="s">
        <v>76</v>
      </c>
      <c r="C70" s="656">
        <v>3.9351099999999999</v>
      </c>
      <c r="D70" s="656">
        <v>3.1380599999999998</v>
      </c>
      <c r="E70" s="656">
        <v>20.000889999999998</v>
      </c>
      <c r="F70" s="790">
        <f t="shared" si="0"/>
        <v>0.25399450615985675</v>
      </c>
      <c r="J70" s="411"/>
      <c r="K70" s="411"/>
    </row>
    <row r="71" spans="1:11" s="299" customFormat="1" ht="11.4" customHeight="1">
      <c r="A71" s="667" t="s">
        <v>499</v>
      </c>
      <c r="B71" s="668"/>
      <c r="C71" s="669">
        <v>3.9351099999999999</v>
      </c>
      <c r="D71" s="669">
        <v>3.1380599999999998</v>
      </c>
      <c r="E71" s="669">
        <v>20.000889999999998</v>
      </c>
      <c r="F71" s="791">
        <f t="shared" si="0"/>
        <v>0.25399450615985675</v>
      </c>
      <c r="J71" s="411"/>
      <c r="K71" s="411"/>
    </row>
    <row r="72" spans="1:11" s="299" customFormat="1" ht="11.4" customHeight="1">
      <c r="A72" s="666" t="s">
        <v>97</v>
      </c>
      <c r="B72" s="533" t="s">
        <v>74</v>
      </c>
      <c r="C72" s="656">
        <v>17.19483</v>
      </c>
      <c r="D72" s="656">
        <v>11.430680000000001</v>
      </c>
      <c r="E72" s="656">
        <v>59.584440000000001</v>
      </c>
      <c r="F72" s="790">
        <f t="shared" si="0"/>
        <v>0.50427008716891719</v>
      </c>
      <c r="J72" s="411"/>
      <c r="K72" s="411"/>
    </row>
    <row r="73" spans="1:11" ht="11.4" customHeight="1">
      <c r="A73" s="792" t="s">
        <v>500</v>
      </c>
      <c r="B73" s="793"/>
      <c r="C73" s="794">
        <v>17.19483</v>
      </c>
      <c r="D73" s="794">
        <v>11.430680000000001</v>
      </c>
      <c r="E73" s="794">
        <v>59.584440000000001</v>
      </c>
      <c r="F73" s="795">
        <f t="shared" ref="F73" si="1">+IF(D73=0,"",C73/D73-1)</f>
        <v>0.50427008716891719</v>
      </c>
    </row>
    <row r="74" spans="1:11">
      <c r="A74" s="274"/>
      <c r="B74" s="274"/>
      <c r="C74" s="274"/>
      <c r="D74" s="274"/>
      <c r="E74" s="274"/>
      <c r="F74" s="670"/>
    </row>
    <row r="75" spans="1:11">
      <c r="F75" s="621"/>
    </row>
    <row r="76" spans="1:11">
      <c r="F76" s="621"/>
    </row>
    <row r="77" spans="1:11">
      <c r="F77" s="621"/>
    </row>
    <row r="78" spans="1:11">
      <c r="F78" s="621"/>
    </row>
    <row r="79" spans="1:11">
      <c r="F79" s="621"/>
    </row>
  </sheetData>
  <mergeCells count="3">
    <mergeCell ref="A1:A4"/>
    <mergeCell ref="B1:B4"/>
    <mergeCell ref="C1:F1"/>
  </mergeCells>
  <pageMargins left="0.35186274509803922" right="0.32333333333333331" top="0.80025000000000002" bottom="0.46074999999999999" header="0.25866666666666666" footer="0.25866666666666666"/>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6"/>
  <sheetViews>
    <sheetView showGridLines="0" view="pageBreakPreview" zoomScaleNormal="100" zoomScaleSheetLayoutView="100" zoomScalePageLayoutView="115" workbookViewId="0">
      <selection activeCell="J3" sqref="J3"/>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52" t="s">
        <v>243</v>
      </c>
      <c r="B1" s="953" t="s">
        <v>52</v>
      </c>
      <c r="C1" s="953" t="s">
        <v>337</v>
      </c>
      <c r="D1" s="953"/>
      <c r="E1" s="953"/>
      <c r="F1" s="954"/>
    </row>
    <row r="2" spans="1:6" s="299" customFormat="1" ht="11.25" customHeight="1">
      <c r="A2" s="946"/>
      <c r="B2" s="949"/>
      <c r="C2" s="389" t="str">
        <f>UPPER('1. Resumen'!Q4)&amp;" "&amp;'1. Resumen'!Q5</f>
        <v>MAYO 2023</v>
      </c>
      <c r="D2" s="390" t="str">
        <f>UPPER('1. Resumen'!Q4)&amp;" "&amp;'1. Resumen'!Q5-1</f>
        <v>MAYO 2022</v>
      </c>
      <c r="E2" s="390">
        <v>2023</v>
      </c>
      <c r="F2" s="501" t="s">
        <v>560</v>
      </c>
    </row>
    <row r="3" spans="1:6" s="299" customFormat="1" ht="11.25" customHeight="1">
      <c r="A3" s="946"/>
      <c r="B3" s="949"/>
      <c r="C3" s="391">
        <f>'21. ANEXOII-1'!C4</f>
        <v>45057.78125</v>
      </c>
      <c r="D3" s="391">
        <f>'21. ANEXOII-1'!D4</f>
        <v>44712.78125</v>
      </c>
      <c r="E3" s="391">
        <f>'21. ANEXOII-1'!E4</f>
        <v>45027.791666666664</v>
      </c>
      <c r="F3" s="502" t="s">
        <v>334</v>
      </c>
    </row>
    <row r="4" spans="1:6" s="299" customFormat="1" ht="11.25" customHeight="1">
      <c r="A4" s="947"/>
      <c r="B4" s="950"/>
      <c r="C4" s="392">
        <f>+'8. Max Potencia'!D9</f>
        <v>45057.78125</v>
      </c>
      <c r="D4" s="392">
        <f>+'8. Max Potencia'!E9</f>
        <v>44712.78125</v>
      </c>
      <c r="E4" s="392">
        <f>+'22. ANEXOII-2'!E4</f>
        <v>45027.791666666664</v>
      </c>
      <c r="F4" s="503" t="s">
        <v>335</v>
      </c>
    </row>
    <row r="5" spans="1:6" s="299" customFormat="1" ht="9" customHeight="1">
      <c r="A5" s="796" t="s">
        <v>105</v>
      </c>
      <c r="B5" s="797" t="s">
        <v>225</v>
      </c>
      <c r="C5" s="798">
        <v>0</v>
      </c>
      <c r="D5" s="798">
        <v>0</v>
      </c>
      <c r="E5" s="798">
        <v>0</v>
      </c>
      <c r="F5" s="799" t="str">
        <f t="shared" ref="F5:F54" si="0">+IF(D5=0,"",C5/D5-1)</f>
        <v/>
      </c>
    </row>
    <row r="6" spans="1:6" s="299" customFormat="1" ht="9" customHeight="1">
      <c r="A6" s="521" t="s">
        <v>501</v>
      </c>
      <c r="B6" s="400"/>
      <c r="C6" s="401">
        <v>0</v>
      </c>
      <c r="D6" s="401">
        <v>0</v>
      </c>
      <c r="E6" s="401">
        <v>0</v>
      </c>
      <c r="F6" s="784" t="str">
        <f t="shared" si="0"/>
        <v/>
      </c>
    </row>
    <row r="7" spans="1:6" s="299" customFormat="1" ht="9" customHeight="1">
      <c r="A7" s="520" t="s">
        <v>393</v>
      </c>
      <c r="B7" s="299" t="s">
        <v>83</v>
      </c>
      <c r="C7" s="493">
        <v>1.4496</v>
      </c>
      <c r="D7" s="493">
        <v>2.9012700000000002</v>
      </c>
      <c r="E7" s="493">
        <v>0</v>
      </c>
      <c r="F7" s="785">
        <f t="shared" si="0"/>
        <v>-0.50035674032406496</v>
      </c>
    </row>
    <row r="8" spans="1:6" s="299" customFormat="1" ht="9" customHeight="1">
      <c r="A8" s="520"/>
      <c r="B8" s="299" t="s">
        <v>82</v>
      </c>
      <c r="C8" s="493">
        <v>3.8104</v>
      </c>
      <c r="D8" s="493">
        <v>3.0582799999999999</v>
      </c>
      <c r="E8" s="493">
        <v>0</v>
      </c>
      <c r="F8" s="785">
        <f t="shared" si="0"/>
        <v>0.24592908432190641</v>
      </c>
    </row>
    <row r="9" spans="1:6" s="299" customFormat="1" ht="9" customHeight="1">
      <c r="A9" s="520"/>
      <c r="B9" s="299" t="s">
        <v>407</v>
      </c>
      <c r="C9" s="493">
        <v>2.1726000000000001</v>
      </c>
      <c r="D9" s="493">
        <v>1.20025</v>
      </c>
      <c r="E9" s="493">
        <v>0</v>
      </c>
      <c r="F9" s="785">
        <f t="shared" si="0"/>
        <v>0.81012289106436164</v>
      </c>
    </row>
    <row r="10" spans="1:6" s="299" customFormat="1" ht="9" customHeight="1">
      <c r="A10" s="520"/>
      <c r="B10" s="299" t="s">
        <v>442</v>
      </c>
      <c r="C10" s="493">
        <v>0</v>
      </c>
      <c r="D10" s="493">
        <v>1.20198</v>
      </c>
      <c r="E10" s="493">
        <v>2.1485000000000003</v>
      </c>
      <c r="F10" s="785">
        <f t="shared" si="0"/>
        <v>-1</v>
      </c>
    </row>
    <row r="11" spans="1:6" s="299" customFormat="1" ht="9" customHeight="1">
      <c r="A11" s="521" t="s">
        <v>502</v>
      </c>
      <c r="B11" s="400"/>
      <c r="C11" s="401">
        <v>7.4325999999999999</v>
      </c>
      <c r="D11" s="401">
        <v>8.3617800000000013</v>
      </c>
      <c r="E11" s="401">
        <v>2.1485000000000003</v>
      </c>
      <c r="F11" s="784">
        <f t="shared" si="0"/>
        <v>-0.11112227300885713</v>
      </c>
    </row>
    <row r="12" spans="1:6" s="299" customFormat="1" ht="9" customHeight="1">
      <c r="A12" s="520" t="s">
        <v>236</v>
      </c>
      <c r="B12" s="299" t="s">
        <v>315</v>
      </c>
      <c r="C12" s="493">
        <v>0</v>
      </c>
      <c r="D12" s="493">
        <v>0</v>
      </c>
      <c r="E12" s="493">
        <v>0</v>
      </c>
      <c r="F12" s="785" t="str">
        <f t="shared" si="0"/>
        <v/>
      </c>
    </row>
    <row r="13" spans="1:6" s="299" customFormat="1" ht="9" customHeight="1">
      <c r="A13" s="521" t="s">
        <v>503</v>
      </c>
      <c r="B13" s="400"/>
      <c r="C13" s="401">
        <v>0</v>
      </c>
      <c r="D13" s="401">
        <v>0</v>
      </c>
      <c r="E13" s="401">
        <v>0</v>
      </c>
      <c r="F13" s="784" t="str">
        <f t="shared" si="0"/>
        <v/>
      </c>
    </row>
    <row r="14" spans="1:6" s="299" customFormat="1" ht="9" customHeight="1">
      <c r="A14" s="520" t="s">
        <v>446</v>
      </c>
      <c r="B14" s="299" t="s">
        <v>80</v>
      </c>
      <c r="C14" s="493">
        <v>2.2000000000000001E-4</v>
      </c>
      <c r="D14" s="493">
        <v>0</v>
      </c>
      <c r="E14" s="493">
        <v>0</v>
      </c>
      <c r="F14" s="785" t="str">
        <f t="shared" si="0"/>
        <v/>
      </c>
    </row>
    <row r="15" spans="1:6" s="299" customFormat="1" ht="9" customHeight="1">
      <c r="A15" s="521" t="s">
        <v>504</v>
      </c>
      <c r="B15" s="400"/>
      <c r="C15" s="401">
        <v>2.2000000000000001E-4</v>
      </c>
      <c r="D15" s="401">
        <v>0</v>
      </c>
      <c r="E15" s="401">
        <v>0</v>
      </c>
      <c r="F15" s="784" t="str">
        <f t="shared" si="0"/>
        <v/>
      </c>
    </row>
    <row r="16" spans="1:6" s="299" customFormat="1" ht="9" customHeight="1">
      <c r="A16" s="520" t="s">
        <v>422</v>
      </c>
      <c r="B16" s="299" t="s">
        <v>433</v>
      </c>
      <c r="C16" s="493">
        <v>17.395849999999999</v>
      </c>
      <c r="D16" s="493">
        <v>13.17625</v>
      </c>
      <c r="E16" s="493">
        <v>19.968899999999998</v>
      </c>
      <c r="F16" s="785">
        <f t="shared" si="0"/>
        <v>0.32024286120861389</v>
      </c>
    </row>
    <row r="17" spans="1:6" s="299" customFormat="1" ht="9" customHeight="1">
      <c r="A17" s="521" t="s">
        <v>505</v>
      </c>
      <c r="B17" s="400"/>
      <c r="C17" s="401">
        <v>17.395849999999999</v>
      </c>
      <c r="D17" s="401">
        <v>13.17625</v>
      </c>
      <c r="E17" s="401">
        <v>19.968899999999998</v>
      </c>
      <c r="F17" s="784">
        <f t="shared" si="0"/>
        <v>0.32024286120861389</v>
      </c>
    </row>
    <row r="18" spans="1:6" s="299" customFormat="1" ht="9" customHeight="1">
      <c r="A18" s="520" t="s">
        <v>102</v>
      </c>
      <c r="B18" s="299" t="s">
        <v>59</v>
      </c>
      <c r="C18" s="493">
        <v>18.87613</v>
      </c>
      <c r="D18" s="493">
        <v>14.582840000000001</v>
      </c>
      <c r="E18" s="493">
        <v>18.776319999999998</v>
      </c>
      <c r="F18" s="785">
        <f t="shared" si="0"/>
        <v>0.29440698793924902</v>
      </c>
    </row>
    <row r="19" spans="1:6" s="299" customFormat="1" ht="9" customHeight="1">
      <c r="A19" s="521" t="s">
        <v>506</v>
      </c>
      <c r="B19" s="400"/>
      <c r="C19" s="401">
        <v>18.87613</v>
      </c>
      <c r="D19" s="401">
        <v>14.582840000000001</v>
      </c>
      <c r="E19" s="401">
        <v>18.776319999999998</v>
      </c>
      <c r="F19" s="784">
        <f t="shared" si="0"/>
        <v>0.29440698793924902</v>
      </c>
    </row>
    <row r="20" spans="1:6" s="299" customFormat="1" ht="9" customHeight="1">
      <c r="A20" s="520" t="s">
        <v>237</v>
      </c>
      <c r="B20" s="299" t="s">
        <v>316</v>
      </c>
      <c r="C20" s="493">
        <v>0</v>
      </c>
      <c r="D20" s="493">
        <v>0</v>
      </c>
      <c r="E20" s="493">
        <v>0</v>
      </c>
      <c r="F20" s="785" t="str">
        <f t="shared" si="0"/>
        <v/>
      </c>
    </row>
    <row r="21" spans="1:6" s="299" customFormat="1" ht="9" customHeight="1">
      <c r="A21" s="521" t="s">
        <v>507</v>
      </c>
      <c r="B21" s="400"/>
      <c r="C21" s="401">
        <v>0</v>
      </c>
      <c r="D21" s="401">
        <v>0</v>
      </c>
      <c r="E21" s="401">
        <v>0</v>
      </c>
      <c r="F21" s="784" t="str">
        <f t="shared" si="0"/>
        <v/>
      </c>
    </row>
    <row r="22" spans="1:6" s="299" customFormat="1" ht="9" customHeight="1">
      <c r="A22" s="520" t="s">
        <v>93</v>
      </c>
      <c r="B22" s="299" t="s">
        <v>317</v>
      </c>
      <c r="C22" s="493">
        <v>113.46235</v>
      </c>
      <c r="D22" s="493">
        <v>97.521780000000007</v>
      </c>
      <c r="E22" s="493">
        <v>113.32571999999999</v>
      </c>
      <c r="F22" s="785">
        <f t="shared" si="0"/>
        <v>0.16345651197096678</v>
      </c>
    </row>
    <row r="23" spans="1:6" s="299" customFormat="1" ht="9" customHeight="1">
      <c r="A23" s="520"/>
      <c r="B23" s="299" t="s">
        <v>556</v>
      </c>
      <c r="C23" s="493">
        <v>0</v>
      </c>
      <c r="D23" s="493">
        <v>0</v>
      </c>
      <c r="E23" s="493">
        <v>0</v>
      </c>
      <c r="F23" s="785"/>
    </row>
    <row r="24" spans="1:6" s="299" customFormat="1" ht="9" customHeight="1">
      <c r="A24" s="521" t="s">
        <v>508</v>
      </c>
      <c r="B24" s="400"/>
      <c r="C24" s="401">
        <v>113.46235</v>
      </c>
      <c r="D24" s="401">
        <v>97.521780000000007</v>
      </c>
      <c r="E24" s="401">
        <v>113.32571999999999</v>
      </c>
      <c r="F24" s="784">
        <f t="shared" si="0"/>
        <v>0.16345651197096678</v>
      </c>
    </row>
    <row r="25" spans="1:6" s="299" customFormat="1" ht="9" customHeight="1">
      <c r="A25" s="520" t="s">
        <v>409</v>
      </c>
      <c r="B25" s="299" t="s">
        <v>438</v>
      </c>
      <c r="C25" s="493">
        <v>0</v>
      </c>
      <c r="D25" s="493">
        <v>0</v>
      </c>
      <c r="E25" s="493">
        <v>7.5971299999999999</v>
      </c>
      <c r="F25" s="785" t="str">
        <f t="shared" si="0"/>
        <v/>
      </c>
    </row>
    <row r="26" spans="1:6" s="299" customFormat="1" ht="9" customHeight="1">
      <c r="A26" s="521" t="s">
        <v>509</v>
      </c>
      <c r="B26" s="400"/>
      <c r="C26" s="401">
        <v>0</v>
      </c>
      <c r="D26" s="401">
        <v>0</v>
      </c>
      <c r="E26" s="401">
        <v>7.5971299999999999</v>
      </c>
      <c r="F26" s="784" t="str">
        <f t="shared" si="0"/>
        <v/>
      </c>
    </row>
    <row r="27" spans="1:6" s="299" customFormat="1" ht="9" customHeight="1">
      <c r="A27" s="520" t="s">
        <v>384</v>
      </c>
      <c r="B27" s="299" t="s">
        <v>388</v>
      </c>
      <c r="C27" s="493">
        <v>20.11383</v>
      </c>
      <c r="D27" s="493">
        <v>20.015000000000001</v>
      </c>
      <c r="E27" s="493">
        <v>20.632300000000001</v>
      </c>
      <c r="F27" s="785">
        <f t="shared" si="0"/>
        <v>4.9377966525105954E-3</v>
      </c>
    </row>
    <row r="28" spans="1:6" s="299" customFormat="1" ht="9" customHeight="1">
      <c r="A28" s="521" t="s">
        <v>510</v>
      </c>
      <c r="B28" s="400"/>
      <c r="C28" s="401">
        <v>20.11383</v>
      </c>
      <c r="D28" s="401">
        <v>20.015000000000001</v>
      </c>
      <c r="E28" s="401">
        <v>20.632300000000001</v>
      </c>
      <c r="F28" s="784">
        <f t="shared" si="0"/>
        <v>4.9377966525105954E-3</v>
      </c>
    </row>
    <row r="29" spans="1:6" s="299" customFormat="1" ht="9" customHeight="1">
      <c r="A29" s="520" t="s">
        <v>100</v>
      </c>
      <c r="B29" s="299" t="s">
        <v>600</v>
      </c>
      <c r="C29" s="493">
        <v>3.04087</v>
      </c>
      <c r="D29" s="493">
        <v>0</v>
      </c>
      <c r="E29" s="493">
        <v>2.6991200000000002</v>
      </c>
      <c r="F29" s="785" t="str">
        <f t="shared" si="0"/>
        <v/>
      </c>
    </row>
    <row r="30" spans="1:6" s="299" customFormat="1" ht="9" customHeight="1">
      <c r="A30" s="521" t="s">
        <v>511</v>
      </c>
      <c r="B30" s="400"/>
      <c r="C30" s="401">
        <v>3.04087</v>
      </c>
      <c r="D30" s="401">
        <v>0</v>
      </c>
      <c r="E30" s="401">
        <v>2.6991200000000002</v>
      </c>
      <c r="F30" s="784" t="str">
        <f t="shared" si="0"/>
        <v/>
      </c>
    </row>
    <row r="31" spans="1:6" s="299" customFormat="1" ht="9" customHeight="1">
      <c r="A31" s="520" t="s">
        <v>115</v>
      </c>
      <c r="B31" s="299" t="s">
        <v>318</v>
      </c>
      <c r="C31" s="493">
        <v>0</v>
      </c>
      <c r="D31" s="493">
        <v>0</v>
      </c>
      <c r="E31" s="493">
        <v>0</v>
      </c>
      <c r="F31" s="785" t="str">
        <f t="shared" si="0"/>
        <v/>
      </c>
    </row>
    <row r="32" spans="1:6" s="299" customFormat="1" ht="9" customHeight="1">
      <c r="A32" s="521" t="s">
        <v>512</v>
      </c>
      <c r="B32" s="400"/>
      <c r="C32" s="401">
        <v>0</v>
      </c>
      <c r="D32" s="401">
        <v>0</v>
      </c>
      <c r="E32" s="401">
        <v>0</v>
      </c>
      <c r="F32" s="784" t="str">
        <f t="shared" si="0"/>
        <v/>
      </c>
    </row>
    <row r="33" spans="1:6" s="299" customFormat="1" ht="9" customHeight="1">
      <c r="A33" s="520" t="s">
        <v>109</v>
      </c>
      <c r="B33" s="299" t="s">
        <v>434</v>
      </c>
      <c r="C33" s="493">
        <v>19.266999999999999</v>
      </c>
      <c r="D33" s="493">
        <v>17.989289999999997</v>
      </c>
      <c r="E33" s="493">
        <v>19.995460000000001</v>
      </c>
      <c r="F33" s="785">
        <f t="shared" si="0"/>
        <v>7.1026149447810383E-2</v>
      </c>
    </row>
    <row r="34" spans="1:6" s="299" customFormat="1" ht="9" customHeight="1">
      <c r="A34" s="520"/>
      <c r="B34" s="299" t="s">
        <v>67</v>
      </c>
      <c r="C34" s="493">
        <v>7.9613399999999999</v>
      </c>
      <c r="D34" s="493">
        <v>7.92943</v>
      </c>
      <c r="E34" s="493">
        <v>6.7435400000000003</v>
      </c>
      <c r="F34" s="785">
        <f t="shared" si="0"/>
        <v>4.0242489056590003E-3</v>
      </c>
    </row>
    <row r="35" spans="1:6" s="299" customFormat="1" ht="9" customHeight="1">
      <c r="A35" s="521" t="s">
        <v>513</v>
      </c>
      <c r="B35" s="400"/>
      <c r="C35" s="401">
        <v>27.228339999999999</v>
      </c>
      <c r="D35" s="401">
        <v>25.918719999999997</v>
      </c>
      <c r="E35" s="401">
        <v>26.739000000000001</v>
      </c>
      <c r="F35" s="784">
        <f t="shared" si="0"/>
        <v>5.0527958170774045E-2</v>
      </c>
    </row>
    <row r="36" spans="1:6" s="299" customFormat="1" ht="9" customHeight="1">
      <c r="A36" s="520" t="s">
        <v>88</v>
      </c>
      <c r="B36" s="299" t="s">
        <v>319</v>
      </c>
      <c r="C36" s="493">
        <v>46.759190000000004</v>
      </c>
      <c r="D36" s="493">
        <v>36.705569999999994</v>
      </c>
      <c r="E36" s="493">
        <v>45.707560000000001</v>
      </c>
      <c r="F36" s="785">
        <f t="shared" si="0"/>
        <v>0.27389902949334433</v>
      </c>
    </row>
    <row r="37" spans="1:6" s="299" customFormat="1" ht="9" customHeight="1">
      <c r="A37" s="520"/>
      <c r="B37" s="299" t="s">
        <v>320</v>
      </c>
      <c r="C37" s="493">
        <v>163.06723</v>
      </c>
      <c r="D37" s="493">
        <v>43.709670000000003</v>
      </c>
      <c r="E37" s="493">
        <v>169.29408000000001</v>
      </c>
      <c r="F37" s="785">
        <f t="shared" si="0"/>
        <v>2.7306900280876061</v>
      </c>
    </row>
    <row r="38" spans="1:6" s="299" customFormat="1" ht="9" customHeight="1">
      <c r="A38" s="520"/>
      <c r="B38" s="299" t="s">
        <v>321</v>
      </c>
      <c r="C38" s="493">
        <v>34.81335</v>
      </c>
      <c r="D38" s="493">
        <v>13.877520000000001</v>
      </c>
      <c r="E38" s="493">
        <v>37.840170000000001</v>
      </c>
      <c r="F38" s="785">
        <f t="shared" si="0"/>
        <v>1.5086146516092209</v>
      </c>
    </row>
    <row r="39" spans="1:6" s="299" customFormat="1" ht="9" customHeight="1">
      <c r="A39" s="520"/>
      <c r="B39" s="299" t="s">
        <v>322</v>
      </c>
      <c r="C39" s="493">
        <v>0</v>
      </c>
      <c r="D39" s="493">
        <v>0.21597</v>
      </c>
      <c r="E39" s="493">
        <v>0</v>
      </c>
      <c r="F39" s="785">
        <f t="shared" si="0"/>
        <v>-1</v>
      </c>
    </row>
    <row r="40" spans="1:6" s="299" customFormat="1" ht="9" customHeight="1">
      <c r="A40" s="520"/>
      <c r="B40" s="299" t="s">
        <v>323</v>
      </c>
      <c r="C40" s="493">
        <v>39.870109999999997</v>
      </c>
      <c r="D40" s="493">
        <v>15.9407</v>
      </c>
      <c r="E40" s="493">
        <v>17.480400000000003</v>
      </c>
      <c r="F40" s="785">
        <f t="shared" si="0"/>
        <v>1.5011517687429032</v>
      </c>
    </row>
    <row r="41" spans="1:6" s="299" customFormat="1" ht="9" customHeight="1">
      <c r="A41" s="520"/>
      <c r="B41" s="299" t="s">
        <v>324</v>
      </c>
      <c r="C41" s="493">
        <v>1.9701599999999999</v>
      </c>
      <c r="D41" s="493">
        <v>3.1241599999999998</v>
      </c>
      <c r="E41" s="493">
        <v>1.9678100000000001</v>
      </c>
      <c r="F41" s="785">
        <f t="shared" si="0"/>
        <v>-0.36937928915292428</v>
      </c>
    </row>
    <row r="42" spans="1:6" s="299" customFormat="1" ht="9" customHeight="1">
      <c r="A42" s="520"/>
      <c r="B42" s="299" t="s">
        <v>325</v>
      </c>
      <c r="C42" s="493">
        <v>6.62812</v>
      </c>
      <c r="D42" s="493">
        <v>6.8569199999999997</v>
      </c>
      <c r="E42" s="493">
        <v>8.1571999999999996</v>
      </c>
      <c r="F42" s="785">
        <f t="shared" si="0"/>
        <v>-3.3367751118577926E-2</v>
      </c>
    </row>
    <row r="43" spans="1:6" s="299" customFormat="1" ht="9" customHeight="1">
      <c r="A43" s="520"/>
      <c r="B43" s="299" t="s">
        <v>326</v>
      </c>
      <c r="C43" s="493">
        <v>1.1409199999999999</v>
      </c>
      <c r="D43" s="493">
        <v>2.2772199999999998</v>
      </c>
      <c r="E43" s="493">
        <v>5.0612300000000001</v>
      </c>
      <c r="F43" s="785">
        <f t="shared" si="0"/>
        <v>-0.49898560525553082</v>
      </c>
    </row>
    <row r="44" spans="1:6" s="299" customFormat="1" ht="9" customHeight="1">
      <c r="A44" s="520"/>
      <c r="B44" s="299" t="s">
        <v>327</v>
      </c>
      <c r="C44" s="493">
        <v>3.4659599999999999</v>
      </c>
      <c r="D44" s="493">
        <v>2.9723800000000002</v>
      </c>
      <c r="E44" s="493">
        <v>3.4939400000000003</v>
      </c>
      <c r="F44" s="785">
        <f t="shared" si="0"/>
        <v>0.1660554841574764</v>
      </c>
    </row>
    <row r="45" spans="1:6" s="299" customFormat="1" ht="9" customHeight="1">
      <c r="A45" s="520"/>
      <c r="B45" s="299" t="s">
        <v>328</v>
      </c>
      <c r="C45" s="493">
        <v>0</v>
      </c>
      <c r="D45" s="493">
        <v>0.45297999999999999</v>
      </c>
      <c r="E45" s="493">
        <v>0</v>
      </c>
      <c r="F45" s="785">
        <f t="shared" si="0"/>
        <v>-1</v>
      </c>
    </row>
    <row r="46" spans="1:6" s="299" customFormat="1" ht="9" customHeight="1">
      <c r="A46" s="520"/>
      <c r="B46" s="299" t="s">
        <v>329</v>
      </c>
      <c r="C46" s="493">
        <v>0</v>
      </c>
      <c r="D46" s="493">
        <v>0.34290999999999999</v>
      </c>
      <c r="E46" s="493">
        <v>0</v>
      </c>
      <c r="F46" s="785">
        <f t="shared" si="0"/>
        <v>-1</v>
      </c>
    </row>
    <row r="47" spans="1:6" s="299" customFormat="1" ht="9" customHeight="1">
      <c r="A47" s="520"/>
      <c r="B47" s="299" t="s">
        <v>330</v>
      </c>
      <c r="C47" s="493">
        <v>107.45558999999999</v>
      </c>
      <c r="D47" s="493">
        <v>105.35342</v>
      </c>
      <c r="E47" s="493">
        <v>65.310100000000006</v>
      </c>
      <c r="F47" s="785">
        <f t="shared" si="0"/>
        <v>1.9953505068938338E-2</v>
      </c>
    </row>
    <row r="48" spans="1:6" s="299" customFormat="1" ht="9" customHeight="1">
      <c r="A48" s="521" t="s">
        <v>514</v>
      </c>
      <c r="B48" s="400"/>
      <c r="C48" s="401">
        <v>405.17063000000002</v>
      </c>
      <c r="D48" s="401">
        <v>231.82942000000003</v>
      </c>
      <c r="E48" s="401">
        <v>354.31249000000003</v>
      </c>
      <c r="F48" s="784">
        <f t="shared" si="0"/>
        <v>0.74771014826332216</v>
      </c>
    </row>
    <row r="49" spans="1:22" s="299" customFormat="1" ht="9" customHeight="1">
      <c r="A49" s="520" t="s">
        <v>107</v>
      </c>
      <c r="B49" s="299" t="s">
        <v>224</v>
      </c>
      <c r="C49" s="493">
        <v>0</v>
      </c>
      <c r="D49" s="493">
        <v>0</v>
      </c>
      <c r="E49" s="493">
        <v>0</v>
      </c>
      <c r="F49" s="785" t="str">
        <f t="shared" si="0"/>
        <v/>
      </c>
    </row>
    <row r="50" spans="1:22" s="299" customFormat="1" ht="9" customHeight="1">
      <c r="A50" s="521" t="s">
        <v>515</v>
      </c>
      <c r="B50" s="400"/>
      <c r="C50" s="401">
        <v>0</v>
      </c>
      <c r="D50" s="401">
        <v>0</v>
      </c>
      <c r="E50" s="401">
        <v>0</v>
      </c>
      <c r="F50" s="784" t="str">
        <f t="shared" si="0"/>
        <v/>
      </c>
    </row>
    <row r="51" spans="1:22" s="299" customFormat="1" ht="9" customHeight="1">
      <c r="A51" s="520" t="s">
        <v>98</v>
      </c>
      <c r="B51" s="299" t="s">
        <v>411</v>
      </c>
      <c r="C51" s="493">
        <v>288.74909000000002</v>
      </c>
      <c r="D51" s="493">
        <v>197.02189000000001</v>
      </c>
      <c r="E51" s="493">
        <v>282.87038000000001</v>
      </c>
      <c r="F51" s="785">
        <f t="shared" si="0"/>
        <v>0.46556857210130298</v>
      </c>
    </row>
    <row r="52" spans="1:22" s="299" customFormat="1" ht="9" customHeight="1">
      <c r="A52" s="521" t="s">
        <v>516</v>
      </c>
      <c r="B52" s="400"/>
      <c r="C52" s="401">
        <v>288.74909000000002</v>
      </c>
      <c r="D52" s="401">
        <v>197.02189000000001</v>
      </c>
      <c r="E52" s="401">
        <v>282.87038000000001</v>
      </c>
      <c r="F52" s="784">
        <f t="shared" si="0"/>
        <v>0.46556857210130298</v>
      </c>
    </row>
    <row r="53" spans="1:22" s="299" customFormat="1" ht="9" customHeight="1">
      <c r="A53" s="520" t="s">
        <v>103</v>
      </c>
      <c r="B53" s="299" t="s">
        <v>331</v>
      </c>
      <c r="C53" s="493">
        <v>61.781999999999996</v>
      </c>
      <c r="D53" s="493">
        <v>86.416169999999994</v>
      </c>
      <c r="E53" s="493">
        <v>63.399000000000001</v>
      </c>
      <c r="F53" s="785">
        <f t="shared" si="0"/>
        <v>-0.2850643577469355</v>
      </c>
    </row>
    <row r="54" spans="1:22" s="299" customFormat="1" ht="9" customHeight="1">
      <c r="A54" s="800" t="s">
        <v>517</v>
      </c>
      <c r="B54" s="801"/>
      <c r="C54" s="802">
        <v>61.781999999999996</v>
      </c>
      <c r="D54" s="802">
        <v>86.416169999999994</v>
      </c>
      <c r="E54" s="802">
        <v>63.399000000000001</v>
      </c>
      <c r="F54" s="803">
        <f t="shared" si="0"/>
        <v>-0.2850643577469355</v>
      </c>
    </row>
    <row r="55" spans="1:22" s="326" customFormat="1" ht="12" customHeight="1">
      <c r="A55" s="499" t="s">
        <v>386</v>
      </c>
      <c r="B55" s="506"/>
      <c r="C55" s="804">
        <v>7342.6966899999989</v>
      </c>
      <c r="D55" s="804">
        <v>6908.9537000000037</v>
      </c>
      <c r="E55" s="804">
        <v>7605.50612</v>
      </c>
      <c r="F55" s="805">
        <f>+IF(D55=0,"",C55/D55-1)</f>
        <v>6.2779837415902096E-2</v>
      </c>
      <c r="G55" s="270"/>
      <c r="H55" s="270"/>
      <c r="I55" s="270"/>
      <c r="J55" s="270"/>
      <c r="K55" s="270"/>
      <c r="L55" s="270"/>
      <c r="M55" s="270"/>
      <c r="N55" s="270"/>
      <c r="O55" s="270"/>
      <c r="P55" s="270"/>
      <c r="Q55" s="270"/>
      <c r="R55" s="270"/>
      <c r="S55" s="270"/>
      <c r="T55" s="270"/>
      <c r="U55" s="270"/>
      <c r="V55" s="270"/>
    </row>
    <row r="56" spans="1:22" s="326" customFormat="1" ht="12" customHeight="1">
      <c r="A56" s="395" t="s">
        <v>332</v>
      </c>
      <c r="B56" s="386"/>
      <c r="C56" s="385">
        <f>+'8. Max Potencia'!D16</f>
        <v>0</v>
      </c>
      <c r="D56" s="385">
        <f>+'8. Max Potencia'!E16</f>
        <v>52.414000000000001</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333</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428</v>
      </c>
      <c r="B58" s="506"/>
      <c r="C58" s="385">
        <f>+C55+C56-C57</f>
        <v>7342.6966899999989</v>
      </c>
      <c r="D58" s="385">
        <f>+D55+D56-D57</f>
        <v>6961.3677000000034</v>
      </c>
      <c r="E58" s="385">
        <f>+E55+E56-E57</f>
        <v>7605.50612</v>
      </c>
      <c r="F58" s="504">
        <f>+IF(D58=0,"",C58/D58-1)</f>
        <v>5.4777883662142424E-2</v>
      </c>
    </row>
    <row r="59" spans="1:22" ht="7.2" customHeight="1">
      <c r="A59" s="299"/>
    </row>
    <row r="60" spans="1:22" ht="27.75" customHeight="1">
      <c r="A60" s="944" t="s">
        <v>525</v>
      </c>
      <c r="B60" s="944"/>
      <c r="C60" s="944"/>
      <c r="D60" s="944"/>
      <c r="E60" s="944"/>
      <c r="F60" s="944"/>
    </row>
    <row r="61" spans="1:22" ht="7.95" customHeight="1">
      <c r="A61" s="955"/>
      <c r="B61" s="955"/>
      <c r="C61" s="955"/>
      <c r="D61" s="955"/>
      <c r="E61" s="955"/>
      <c r="F61" s="955"/>
      <c r="G61" s="533"/>
    </row>
    <row r="62" spans="1:22" ht="18" customHeight="1">
      <c r="A62" s="728" t="s">
        <v>557</v>
      </c>
      <c r="B62" s="706"/>
      <c r="C62" s="706"/>
      <c r="D62" s="706"/>
      <c r="E62" s="706"/>
      <c r="F62" s="706"/>
      <c r="G62" s="533"/>
    </row>
    <row r="63" spans="1:22" ht="18" customHeight="1">
      <c r="A63" s="533" t="s">
        <v>587</v>
      </c>
      <c r="B63" s="706"/>
      <c r="C63" s="706"/>
      <c r="D63" s="706"/>
      <c r="E63" s="706"/>
      <c r="F63" s="706"/>
      <c r="G63" s="533"/>
    </row>
    <row r="64" spans="1:22" ht="18" customHeight="1">
      <c r="A64" s="533" t="s">
        <v>599</v>
      </c>
      <c r="B64" s="706"/>
      <c r="C64" s="706"/>
      <c r="D64" s="706"/>
      <c r="E64" s="706"/>
      <c r="F64" s="706"/>
      <c r="G64" s="533"/>
    </row>
    <row r="65" spans="1:7" ht="18" customHeight="1">
      <c r="A65" s="533" t="s">
        <v>610</v>
      </c>
      <c r="B65" s="706"/>
      <c r="C65" s="706"/>
      <c r="D65" s="706"/>
      <c r="E65" s="706"/>
      <c r="F65" s="706"/>
      <c r="G65" s="533"/>
    </row>
    <row r="66" spans="1:7" ht="18" customHeight="1">
      <c r="A66" s="533" t="s">
        <v>611</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9"/>
  <sheetViews>
    <sheetView showGridLines="0" view="pageBreakPreview" zoomScaleNormal="100" zoomScaleSheetLayoutView="100" zoomScalePageLayoutView="90" workbookViewId="0">
      <selection activeCell="F18" sqref="F18"/>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345</v>
      </c>
      <c r="B3" s="271"/>
    </row>
    <row r="4" spans="1:13" ht="11.25" customHeight="1">
      <c r="B4" s="271"/>
    </row>
    <row r="5" spans="1:13" ht="11.25" customHeight="1">
      <c r="A5" s="272" t="s">
        <v>391</v>
      </c>
      <c r="C5" s="271">
        <v>7342.6966899999998</v>
      </c>
    </row>
    <row r="6" spans="1:13" ht="11.25" customHeight="1">
      <c r="A6" s="272" t="s">
        <v>346</v>
      </c>
      <c r="C6" s="271" t="s">
        <v>697</v>
      </c>
    </row>
    <row r="7" spans="1:13" ht="11.25" customHeight="1">
      <c r="A7" s="272" t="s">
        <v>347</v>
      </c>
      <c r="C7" s="271" t="s">
        <v>615</v>
      </c>
    </row>
    <row r="8" spans="1:13" ht="11.25" customHeight="1"/>
    <row r="9" spans="1:13" ht="14.25" customHeight="1">
      <c r="A9" s="956" t="s">
        <v>338</v>
      </c>
      <c r="B9" s="959" t="s">
        <v>339</v>
      </c>
      <c r="C9" s="960"/>
      <c r="D9" s="960"/>
      <c r="E9" s="960"/>
      <c r="F9" s="961"/>
      <c r="G9" s="959" t="s">
        <v>340</v>
      </c>
      <c r="H9" s="960"/>
      <c r="I9" s="960"/>
      <c r="J9" s="960"/>
      <c r="K9" s="961"/>
    </row>
    <row r="10" spans="1:13" ht="26.25" customHeight="1">
      <c r="A10" s="957"/>
      <c r="B10" s="393" t="s">
        <v>341</v>
      </c>
      <c r="C10" s="393" t="s">
        <v>192</v>
      </c>
      <c r="D10" s="393" t="s">
        <v>332</v>
      </c>
      <c r="E10" s="393" t="s">
        <v>333</v>
      </c>
      <c r="F10" s="394" t="s">
        <v>344</v>
      </c>
      <c r="G10" s="393" t="s">
        <v>341</v>
      </c>
      <c r="H10" s="393" t="s">
        <v>192</v>
      </c>
      <c r="I10" s="393" t="s">
        <v>332</v>
      </c>
      <c r="J10" s="393" t="s">
        <v>333</v>
      </c>
      <c r="K10" s="394" t="s">
        <v>344</v>
      </c>
      <c r="L10" s="36"/>
      <c r="M10" s="46"/>
    </row>
    <row r="11" spans="1:13" ht="11.25" customHeight="1">
      <c r="A11" s="958"/>
      <c r="B11" s="393" t="s">
        <v>342</v>
      </c>
      <c r="C11" s="393" t="s">
        <v>343</v>
      </c>
      <c r="D11" s="393" t="s">
        <v>343</v>
      </c>
      <c r="E11" s="393" t="s">
        <v>343</v>
      </c>
      <c r="F11" s="393" t="s">
        <v>343</v>
      </c>
      <c r="G11" s="393" t="s">
        <v>342</v>
      </c>
      <c r="H11" s="393" t="s">
        <v>343</v>
      </c>
      <c r="I11" s="393" t="s">
        <v>343</v>
      </c>
      <c r="J11" s="393" t="s">
        <v>343</v>
      </c>
      <c r="K11" s="393" t="s">
        <v>343</v>
      </c>
      <c r="L11" s="36"/>
      <c r="M11" s="46"/>
    </row>
    <row r="12" spans="1:13" ht="15" customHeight="1">
      <c r="A12" s="775" t="s">
        <v>698</v>
      </c>
      <c r="B12" s="776" t="s">
        <v>616</v>
      </c>
      <c r="C12" s="776">
        <v>6017.0194099999999</v>
      </c>
      <c r="D12" s="776">
        <v>42.601880000000001</v>
      </c>
      <c r="E12" s="776">
        <v>0</v>
      </c>
      <c r="F12" s="776">
        <v>6059.62129</v>
      </c>
      <c r="G12" s="776" t="s">
        <v>535</v>
      </c>
      <c r="H12" s="776">
        <v>6608.8117599999996</v>
      </c>
      <c r="I12" s="776">
        <v>45.773159999999997</v>
      </c>
      <c r="J12" s="776">
        <v>0</v>
      </c>
      <c r="K12" s="776">
        <v>6654.5849200000002</v>
      </c>
      <c r="L12" s="205"/>
      <c r="M12" s="46"/>
    </row>
    <row r="13" spans="1:13" ht="15" customHeight="1">
      <c r="A13" s="775" t="s">
        <v>699</v>
      </c>
      <c r="B13" s="776" t="s">
        <v>441</v>
      </c>
      <c r="C13" s="776">
        <v>7175.4921700000004</v>
      </c>
      <c r="D13" s="776">
        <v>0</v>
      </c>
      <c r="E13" s="776">
        <v>0</v>
      </c>
      <c r="F13" s="776">
        <v>7175.4921700000004</v>
      </c>
      <c r="G13" s="776" t="s">
        <v>588</v>
      </c>
      <c r="H13" s="776">
        <v>7044.1174600000004</v>
      </c>
      <c r="I13" s="776">
        <v>0</v>
      </c>
      <c r="J13" s="776">
        <v>0</v>
      </c>
      <c r="K13" s="776">
        <v>7044.1174600000004</v>
      </c>
      <c r="L13" s="5"/>
    </row>
    <row r="14" spans="1:13" ht="15" customHeight="1">
      <c r="A14" s="775" t="s">
        <v>700</v>
      </c>
      <c r="B14" s="776" t="s">
        <v>440</v>
      </c>
      <c r="C14" s="776">
        <v>6815.9246800000001</v>
      </c>
      <c r="D14" s="776">
        <v>0</v>
      </c>
      <c r="E14" s="776">
        <v>0</v>
      </c>
      <c r="F14" s="776">
        <v>6815.9246800000001</v>
      </c>
      <c r="G14" s="776" t="s">
        <v>615</v>
      </c>
      <c r="H14" s="776">
        <v>6871.0484299999998</v>
      </c>
      <c r="I14" s="776">
        <v>0</v>
      </c>
      <c r="J14" s="776">
        <v>0</v>
      </c>
      <c r="K14" s="776">
        <v>6871.0484299999998</v>
      </c>
      <c r="L14" s="15"/>
    </row>
    <row r="15" spans="1:13" ht="15" customHeight="1">
      <c r="A15" s="775" t="s">
        <v>701</v>
      </c>
      <c r="B15" s="776" t="s">
        <v>456</v>
      </c>
      <c r="C15" s="776">
        <v>6976.5308299999997</v>
      </c>
      <c r="D15" s="776">
        <v>0</v>
      </c>
      <c r="E15" s="776">
        <v>0</v>
      </c>
      <c r="F15" s="776">
        <v>6976.5308299999997</v>
      </c>
      <c r="G15" s="776" t="s">
        <v>615</v>
      </c>
      <c r="H15" s="776">
        <v>6934.5123700000004</v>
      </c>
      <c r="I15" s="776">
        <v>0</v>
      </c>
      <c r="J15" s="776">
        <v>0</v>
      </c>
      <c r="K15" s="776">
        <v>6934.5123700000004</v>
      </c>
      <c r="L15" s="12"/>
    </row>
    <row r="16" spans="1:13" ht="15" customHeight="1">
      <c r="A16" s="775" t="s">
        <v>702</v>
      </c>
      <c r="B16" s="776" t="s">
        <v>441</v>
      </c>
      <c r="C16" s="776">
        <v>7175.9643699999997</v>
      </c>
      <c r="D16" s="776">
        <v>0</v>
      </c>
      <c r="E16" s="776">
        <v>0</v>
      </c>
      <c r="F16" s="776">
        <v>7175.9643699999997</v>
      </c>
      <c r="G16" s="776" t="s">
        <v>615</v>
      </c>
      <c r="H16" s="776">
        <v>7124.7518200000004</v>
      </c>
      <c r="I16" s="776">
        <v>0</v>
      </c>
      <c r="J16" s="776">
        <v>0</v>
      </c>
      <c r="K16" s="776">
        <v>7124.7518200000004</v>
      </c>
      <c r="L16" s="22"/>
    </row>
    <row r="17" spans="1:12" ht="15" customHeight="1">
      <c r="A17" s="775" t="s">
        <v>703</v>
      </c>
      <c r="B17" s="776" t="s">
        <v>601</v>
      </c>
      <c r="C17" s="776">
        <v>7132.0664500000003</v>
      </c>
      <c r="D17" s="776">
        <v>0</v>
      </c>
      <c r="E17" s="776">
        <v>0</v>
      </c>
      <c r="F17" s="776">
        <v>7132.0664500000003</v>
      </c>
      <c r="G17" s="776" t="s">
        <v>615</v>
      </c>
      <c r="H17" s="776">
        <v>7073.60088</v>
      </c>
      <c r="I17" s="776">
        <v>0</v>
      </c>
      <c r="J17" s="776">
        <v>0</v>
      </c>
      <c r="K17" s="776">
        <v>7073.60088</v>
      </c>
      <c r="L17" s="22"/>
    </row>
    <row r="18" spans="1:12" ht="15" customHeight="1">
      <c r="A18" s="775" t="s">
        <v>704</v>
      </c>
      <c r="B18" s="776" t="s">
        <v>705</v>
      </c>
      <c r="C18" s="776">
        <v>6341.7375899999997</v>
      </c>
      <c r="D18" s="776">
        <v>0</v>
      </c>
      <c r="E18" s="776">
        <v>0</v>
      </c>
      <c r="F18" s="776">
        <v>6341.7375899999997</v>
      </c>
      <c r="G18" s="776" t="s">
        <v>518</v>
      </c>
      <c r="H18" s="776">
        <v>7016.6616000000004</v>
      </c>
      <c r="I18" s="776">
        <v>0</v>
      </c>
      <c r="J18" s="776">
        <v>0</v>
      </c>
      <c r="K18" s="776">
        <v>7016.6616000000004</v>
      </c>
      <c r="L18" s="22"/>
    </row>
    <row r="19" spans="1:12" ht="15" customHeight="1">
      <c r="A19" s="775" t="s">
        <v>706</v>
      </c>
      <c r="B19" s="776" t="s">
        <v>440</v>
      </c>
      <c r="C19" s="776">
        <v>7310.8150400000004</v>
      </c>
      <c r="D19" s="776">
        <v>0</v>
      </c>
      <c r="E19" s="776">
        <v>0</v>
      </c>
      <c r="F19" s="776">
        <v>7310.8150400000004</v>
      </c>
      <c r="G19" s="776" t="s">
        <v>588</v>
      </c>
      <c r="H19" s="776">
        <v>7210.5482899999997</v>
      </c>
      <c r="I19" s="776">
        <v>0</v>
      </c>
      <c r="J19" s="776">
        <v>0</v>
      </c>
      <c r="K19" s="776">
        <v>7210.5482899999997</v>
      </c>
      <c r="L19" s="22"/>
    </row>
    <row r="20" spans="1:12" ht="15" customHeight="1">
      <c r="A20" s="775" t="s">
        <v>707</v>
      </c>
      <c r="B20" s="776" t="s">
        <v>441</v>
      </c>
      <c r="C20" s="776">
        <v>7424.1969300000001</v>
      </c>
      <c r="D20" s="776">
        <v>0</v>
      </c>
      <c r="E20" s="776">
        <v>0</v>
      </c>
      <c r="F20" s="776">
        <v>7424.1969300000001</v>
      </c>
      <c r="G20" s="776" t="s">
        <v>615</v>
      </c>
      <c r="H20" s="776">
        <v>7329.4441900000002</v>
      </c>
      <c r="I20" s="776">
        <v>0</v>
      </c>
      <c r="J20" s="776">
        <v>0</v>
      </c>
      <c r="K20" s="776">
        <v>7329.4441900000002</v>
      </c>
      <c r="L20" s="24"/>
    </row>
    <row r="21" spans="1:12" ht="15" customHeight="1">
      <c r="A21" s="775" t="s">
        <v>708</v>
      </c>
      <c r="B21" s="776" t="s">
        <v>441</v>
      </c>
      <c r="C21" s="776">
        <v>7293.8899000000001</v>
      </c>
      <c r="D21" s="776">
        <v>0</v>
      </c>
      <c r="E21" s="776">
        <v>0</v>
      </c>
      <c r="F21" s="776">
        <v>7293.8899000000001</v>
      </c>
      <c r="G21" s="776" t="s">
        <v>615</v>
      </c>
      <c r="H21" s="776">
        <v>7219.2791100000004</v>
      </c>
      <c r="I21" s="776">
        <v>0</v>
      </c>
      <c r="J21" s="776">
        <v>0</v>
      </c>
      <c r="K21" s="776">
        <v>7219.2791100000004</v>
      </c>
      <c r="L21" s="22"/>
    </row>
    <row r="22" spans="1:12" ht="15" customHeight="1">
      <c r="A22" s="775" t="s">
        <v>697</v>
      </c>
      <c r="B22" s="777" t="s">
        <v>456</v>
      </c>
      <c r="C22" s="777">
        <v>7481.6718000000001</v>
      </c>
      <c r="D22" s="777">
        <v>0</v>
      </c>
      <c r="E22" s="777">
        <v>0</v>
      </c>
      <c r="F22" s="777">
        <v>7481.6718000000001</v>
      </c>
      <c r="G22" s="777" t="s">
        <v>615</v>
      </c>
      <c r="H22" s="777">
        <v>7342.6966899999998</v>
      </c>
      <c r="I22" s="777">
        <v>0</v>
      </c>
      <c r="J22" s="777">
        <v>0</v>
      </c>
      <c r="K22" s="777">
        <v>7342.6966899999998</v>
      </c>
      <c r="L22" s="22"/>
    </row>
    <row r="23" spans="1:12" ht="15" customHeight="1">
      <c r="A23" s="775" t="s">
        <v>709</v>
      </c>
      <c r="B23" s="776" t="s">
        <v>548</v>
      </c>
      <c r="C23" s="776">
        <v>7447.0647600000002</v>
      </c>
      <c r="D23" s="776">
        <v>0</v>
      </c>
      <c r="E23" s="776">
        <v>0</v>
      </c>
      <c r="F23" s="776">
        <v>7447.0647600000002</v>
      </c>
      <c r="G23" s="776" t="s">
        <v>615</v>
      </c>
      <c r="H23" s="776">
        <v>7325.7783200000003</v>
      </c>
      <c r="I23" s="776">
        <v>0</v>
      </c>
      <c r="J23" s="776">
        <v>0</v>
      </c>
      <c r="K23" s="776">
        <v>7325.7783200000003</v>
      </c>
      <c r="L23" s="22"/>
    </row>
    <row r="24" spans="1:12" ht="15" customHeight="1">
      <c r="A24" s="775" t="s">
        <v>710</v>
      </c>
      <c r="B24" s="776" t="s">
        <v>456</v>
      </c>
      <c r="C24" s="776">
        <v>7252.4039899999998</v>
      </c>
      <c r="D24" s="776">
        <v>0</v>
      </c>
      <c r="E24" s="776">
        <v>0</v>
      </c>
      <c r="F24" s="776">
        <v>7252.4039899999998</v>
      </c>
      <c r="G24" s="776" t="s">
        <v>534</v>
      </c>
      <c r="H24" s="776">
        <v>7133.8766599999999</v>
      </c>
      <c r="I24" s="776">
        <v>0</v>
      </c>
      <c r="J24" s="776">
        <v>0</v>
      </c>
      <c r="K24" s="776">
        <v>7133.8766599999999</v>
      </c>
      <c r="L24" s="22"/>
    </row>
    <row r="25" spans="1:12" ht="15" customHeight="1">
      <c r="A25" s="775" t="s">
        <v>711</v>
      </c>
      <c r="B25" s="776" t="s">
        <v>441</v>
      </c>
      <c r="C25" s="776">
        <v>6282.7954399999999</v>
      </c>
      <c r="D25" s="776">
        <v>0</v>
      </c>
      <c r="E25" s="776">
        <v>0</v>
      </c>
      <c r="F25" s="776">
        <v>6282.7954399999999</v>
      </c>
      <c r="G25" s="776" t="s">
        <v>534</v>
      </c>
      <c r="H25" s="776">
        <v>6819.6982200000002</v>
      </c>
      <c r="I25" s="776">
        <v>0</v>
      </c>
      <c r="J25" s="776">
        <v>0</v>
      </c>
      <c r="K25" s="776">
        <v>6819.6982200000002</v>
      </c>
      <c r="L25" s="22"/>
    </row>
    <row r="26" spans="1:12" ht="15" customHeight="1">
      <c r="A26" s="775" t="s">
        <v>712</v>
      </c>
      <c r="B26" s="776" t="s">
        <v>713</v>
      </c>
      <c r="C26" s="776">
        <v>7363.0237699999998</v>
      </c>
      <c r="D26" s="776">
        <v>0</v>
      </c>
      <c r="E26" s="776">
        <v>0</v>
      </c>
      <c r="F26" s="776">
        <v>7363.0237699999998</v>
      </c>
      <c r="G26" s="776" t="s">
        <v>615</v>
      </c>
      <c r="H26" s="776">
        <v>7335.6788200000001</v>
      </c>
      <c r="I26" s="776">
        <v>0</v>
      </c>
      <c r="J26" s="776">
        <v>0</v>
      </c>
      <c r="K26" s="776">
        <v>7335.6788200000001</v>
      </c>
      <c r="L26" s="22"/>
    </row>
    <row r="27" spans="1:12" ht="15" customHeight="1">
      <c r="A27" s="775" t="s">
        <v>714</v>
      </c>
      <c r="B27" s="776" t="s">
        <v>715</v>
      </c>
      <c r="C27" s="776">
        <v>7455.2366599999996</v>
      </c>
      <c r="D27" s="776">
        <v>0</v>
      </c>
      <c r="E27" s="776">
        <v>0</v>
      </c>
      <c r="F27" s="776">
        <v>7455.2366599999996</v>
      </c>
      <c r="G27" s="776" t="s">
        <v>588</v>
      </c>
      <c r="H27" s="776">
        <v>7287.9400599999999</v>
      </c>
      <c r="I27" s="776">
        <v>0</v>
      </c>
      <c r="J27" s="776">
        <v>0</v>
      </c>
      <c r="K27" s="776">
        <v>7287.9400599999999</v>
      </c>
      <c r="L27" s="22"/>
    </row>
    <row r="28" spans="1:12" ht="15" customHeight="1">
      <c r="A28" s="775" t="s">
        <v>716</v>
      </c>
      <c r="B28" s="776" t="s">
        <v>440</v>
      </c>
      <c r="C28" s="776">
        <v>7390.47156</v>
      </c>
      <c r="D28" s="776">
        <v>0</v>
      </c>
      <c r="E28" s="776">
        <v>0</v>
      </c>
      <c r="F28" s="776">
        <v>7390.47156</v>
      </c>
      <c r="G28" s="776" t="s">
        <v>615</v>
      </c>
      <c r="H28" s="776">
        <v>7244.3443299999999</v>
      </c>
      <c r="I28" s="776">
        <v>0</v>
      </c>
      <c r="J28" s="776">
        <v>0</v>
      </c>
      <c r="K28" s="776">
        <v>7244.3443299999999</v>
      </c>
      <c r="L28" s="22"/>
    </row>
    <row r="29" spans="1:12" ht="16.2" customHeight="1">
      <c r="A29" s="775" t="s">
        <v>717</v>
      </c>
      <c r="B29" s="776" t="s">
        <v>713</v>
      </c>
      <c r="C29" s="776">
        <v>7438.1891900000001</v>
      </c>
      <c r="D29" s="776">
        <v>0</v>
      </c>
      <c r="E29" s="776">
        <v>0</v>
      </c>
      <c r="F29" s="776">
        <v>7438.1891900000001</v>
      </c>
      <c r="G29" s="776" t="s">
        <v>615</v>
      </c>
      <c r="H29" s="776">
        <v>7317.7038199999997</v>
      </c>
      <c r="I29" s="776">
        <v>0</v>
      </c>
      <c r="J29" s="776">
        <v>0</v>
      </c>
      <c r="K29" s="776">
        <v>7317.7038199999997</v>
      </c>
      <c r="L29" s="22"/>
    </row>
    <row r="30" spans="1:12" ht="16.2" customHeight="1">
      <c r="A30" s="775" t="s">
        <v>718</v>
      </c>
      <c r="B30" s="776" t="s">
        <v>441</v>
      </c>
      <c r="C30" s="776">
        <v>7364.3872600000004</v>
      </c>
      <c r="D30" s="776">
        <v>0</v>
      </c>
      <c r="E30" s="776">
        <v>0</v>
      </c>
      <c r="F30" s="776">
        <v>7364.3872600000004</v>
      </c>
      <c r="G30" s="776" t="s">
        <v>615</v>
      </c>
      <c r="H30" s="776">
        <v>7205.3555100000003</v>
      </c>
      <c r="I30" s="776">
        <v>0</v>
      </c>
      <c r="J30" s="776">
        <v>0</v>
      </c>
      <c r="K30" s="776">
        <v>7205.3555100000003</v>
      </c>
      <c r="L30" s="22"/>
    </row>
    <row r="31" spans="1:12" ht="16.2" customHeight="1">
      <c r="A31" s="775" t="s">
        <v>719</v>
      </c>
      <c r="B31" s="776" t="s">
        <v>618</v>
      </c>
      <c r="C31" s="776">
        <v>7075.9441100000004</v>
      </c>
      <c r="D31" s="776">
        <v>0</v>
      </c>
      <c r="E31" s="776">
        <v>0</v>
      </c>
      <c r="F31" s="776">
        <v>7075.9441100000004</v>
      </c>
      <c r="G31" s="776" t="s">
        <v>720</v>
      </c>
      <c r="H31" s="776">
        <v>7072.2623700000004</v>
      </c>
      <c r="I31" s="776">
        <v>0</v>
      </c>
      <c r="J31" s="776">
        <v>0</v>
      </c>
      <c r="K31" s="776">
        <v>7072.2623700000004</v>
      </c>
      <c r="L31" s="30"/>
    </row>
    <row r="32" spans="1:12" ht="16.2" customHeight="1">
      <c r="A32" s="775" t="s">
        <v>721</v>
      </c>
      <c r="B32" s="776" t="s">
        <v>616</v>
      </c>
      <c r="C32" s="776">
        <v>6301.39401</v>
      </c>
      <c r="D32" s="776">
        <v>0</v>
      </c>
      <c r="E32" s="776">
        <v>0</v>
      </c>
      <c r="F32" s="776">
        <v>6301.39401</v>
      </c>
      <c r="G32" s="776" t="s">
        <v>617</v>
      </c>
      <c r="H32" s="776">
        <v>6993.1134499999998</v>
      </c>
      <c r="I32" s="776">
        <v>0</v>
      </c>
      <c r="J32" s="776">
        <v>0</v>
      </c>
      <c r="K32" s="776">
        <v>6993.1134499999998</v>
      </c>
      <c r="L32" s="22"/>
    </row>
    <row r="33" spans="1:12" ht="16.2" customHeight="1">
      <c r="A33" s="775" t="s">
        <v>722</v>
      </c>
      <c r="B33" s="776" t="s">
        <v>440</v>
      </c>
      <c r="C33" s="776">
        <v>7164.0565399999996</v>
      </c>
      <c r="D33" s="776">
        <v>0</v>
      </c>
      <c r="E33" s="776">
        <v>0</v>
      </c>
      <c r="F33" s="776">
        <v>7164.0565399999996</v>
      </c>
      <c r="G33" s="776" t="s">
        <v>615</v>
      </c>
      <c r="H33" s="776">
        <v>7157.63051</v>
      </c>
      <c r="I33" s="776">
        <v>0</v>
      </c>
      <c r="J33" s="776">
        <v>0</v>
      </c>
      <c r="K33" s="776">
        <v>7157.63051</v>
      </c>
      <c r="L33" s="22"/>
    </row>
    <row r="34" spans="1:12" ht="16.2" customHeight="1">
      <c r="A34" s="775" t="s">
        <v>723</v>
      </c>
      <c r="B34" s="776" t="s">
        <v>456</v>
      </c>
      <c r="C34" s="776">
        <v>7247.31945</v>
      </c>
      <c r="D34" s="776">
        <v>0</v>
      </c>
      <c r="E34" s="776">
        <v>0</v>
      </c>
      <c r="F34" s="776">
        <v>7247.31945</v>
      </c>
      <c r="G34" s="776" t="s">
        <v>615</v>
      </c>
      <c r="H34" s="776">
        <v>7165.9654899999996</v>
      </c>
      <c r="I34" s="776">
        <v>0</v>
      </c>
      <c r="J34" s="776">
        <v>0</v>
      </c>
      <c r="K34" s="776">
        <v>7165.9654899999996</v>
      </c>
      <c r="L34" s="15"/>
    </row>
    <row r="35" spans="1:12" ht="16.2" customHeight="1">
      <c r="A35" s="775" t="s">
        <v>724</v>
      </c>
      <c r="B35" s="776" t="s">
        <v>440</v>
      </c>
      <c r="C35" s="776">
        <v>7178.0283600000002</v>
      </c>
      <c r="D35" s="776">
        <v>0</v>
      </c>
      <c r="E35" s="776">
        <v>0</v>
      </c>
      <c r="F35" s="776">
        <v>7178.0283600000002</v>
      </c>
      <c r="G35" s="776" t="s">
        <v>615</v>
      </c>
      <c r="H35" s="776">
        <v>7154.7615100000003</v>
      </c>
      <c r="I35" s="776">
        <v>0</v>
      </c>
      <c r="J35" s="776">
        <v>0</v>
      </c>
      <c r="K35" s="776">
        <v>7154.7615100000003</v>
      </c>
      <c r="L35" s="16"/>
    </row>
    <row r="36" spans="1:12" ht="16.2" customHeight="1">
      <c r="A36" s="775" t="s">
        <v>725</v>
      </c>
      <c r="B36" s="776" t="s">
        <v>441</v>
      </c>
      <c r="C36" s="776">
        <v>7243.6354199999996</v>
      </c>
      <c r="D36" s="776">
        <v>0</v>
      </c>
      <c r="E36" s="776">
        <v>0</v>
      </c>
      <c r="F36" s="776">
        <v>7243.6354199999996</v>
      </c>
      <c r="G36" s="776" t="s">
        <v>726</v>
      </c>
      <c r="H36" s="776">
        <v>7147.2545300000002</v>
      </c>
      <c r="I36" s="776">
        <v>0</v>
      </c>
      <c r="J36" s="776">
        <v>0</v>
      </c>
      <c r="K36" s="776">
        <v>7147.2545300000002</v>
      </c>
      <c r="L36" s="15"/>
    </row>
    <row r="37" spans="1:12" ht="16.2" customHeight="1">
      <c r="A37" s="775" t="s">
        <v>727</v>
      </c>
      <c r="B37" s="776" t="s">
        <v>441</v>
      </c>
      <c r="C37" s="776">
        <v>7268.3247099999999</v>
      </c>
      <c r="D37" s="776">
        <v>0</v>
      </c>
      <c r="E37" s="776">
        <v>0</v>
      </c>
      <c r="F37" s="776">
        <v>7268.3247099999999</v>
      </c>
      <c r="G37" s="776" t="s">
        <v>588</v>
      </c>
      <c r="H37" s="776">
        <v>7232.2787500000004</v>
      </c>
      <c r="I37" s="776">
        <v>0</v>
      </c>
      <c r="J37" s="776">
        <v>0</v>
      </c>
      <c r="K37" s="776">
        <v>7232.2787500000004</v>
      </c>
      <c r="L37" s="15"/>
    </row>
    <row r="38" spans="1:12" ht="16.2" customHeight="1">
      <c r="A38" s="775" t="s">
        <v>728</v>
      </c>
      <c r="B38" s="776" t="s">
        <v>440</v>
      </c>
      <c r="C38" s="776">
        <v>7211.8325699999996</v>
      </c>
      <c r="D38" s="776">
        <v>0</v>
      </c>
      <c r="E38" s="776">
        <v>0</v>
      </c>
      <c r="F38" s="776">
        <v>7211.8325699999996</v>
      </c>
      <c r="G38" s="776" t="s">
        <v>426</v>
      </c>
      <c r="H38" s="776">
        <v>7161.1824500000002</v>
      </c>
      <c r="I38" s="776">
        <v>0</v>
      </c>
      <c r="J38" s="776">
        <v>0</v>
      </c>
      <c r="K38" s="776">
        <v>7161.1824500000002</v>
      </c>
      <c r="L38" s="15"/>
    </row>
    <row r="39" spans="1:12" ht="16.2" customHeight="1">
      <c r="A39" s="775" t="s">
        <v>729</v>
      </c>
      <c r="B39" s="776" t="s">
        <v>561</v>
      </c>
      <c r="C39" s="776">
        <v>6452.2777400000004</v>
      </c>
      <c r="D39" s="776">
        <v>0</v>
      </c>
      <c r="E39" s="776">
        <v>0</v>
      </c>
      <c r="F39" s="776">
        <v>6452.2777400000004</v>
      </c>
      <c r="G39" s="776" t="s">
        <v>426</v>
      </c>
      <c r="H39" s="776">
        <v>7081.2161599999999</v>
      </c>
      <c r="I39" s="776">
        <v>0</v>
      </c>
      <c r="J39" s="776">
        <v>0</v>
      </c>
      <c r="K39" s="776">
        <v>7081.2161599999999</v>
      </c>
      <c r="L39" s="15"/>
    </row>
    <row r="40" spans="1:12" ht="16.2" customHeight="1">
      <c r="A40" s="775" t="s">
        <v>730</v>
      </c>
      <c r="B40" s="776" t="s">
        <v>456</v>
      </c>
      <c r="C40" s="776">
        <v>7312.3882800000001</v>
      </c>
      <c r="D40" s="776">
        <v>0</v>
      </c>
      <c r="E40" s="776">
        <v>0</v>
      </c>
      <c r="F40" s="776">
        <v>7312.3882800000001</v>
      </c>
      <c r="G40" s="776" t="s">
        <v>588</v>
      </c>
      <c r="H40" s="776">
        <v>7260.1536599999999</v>
      </c>
      <c r="I40" s="776">
        <v>0</v>
      </c>
      <c r="J40" s="776">
        <v>0</v>
      </c>
      <c r="K40" s="776">
        <v>7260.1536599999999</v>
      </c>
    </row>
    <row r="41" spans="1:12" ht="16.2" customHeight="1">
      <c r="A41" s="775" t="s">
        <v>731</v>
      </c>
      <c r="B41" s="776" t="s">
        <v>441</v>
      </c>
      <c r="C41" s="776">
        <v>7459.2702099999997</v>
      </c>
      <c r="D41" s="776">
        <v>0</v>
      </c>
      <c r="E41" s="776">
        <v>0</v>
      </c>
      <c r="F41" s="776">
        <v>7459.2702099999997</v>
      </c>
      <c r="G41" s="776" t="s">
        <v>588</v>
      </c>
      <c r="H41" s="776">
        <v>7273.6323599999996</v>
      </c>
      <c r="I41" s="776">
        <v>0</v>
      </c>
      <c r="J41" s="776">
        <v>0</v>
      </c>
      <c r="K41" s="776">
        <v>7273.6323599999996</v>
      </c>
    </row>
    <row r="42" spans="1:12" ht="15.6" customHeight="1">
      <c r="A42" s="775" t="s">
        <v>732</v>
      </c>
      <c r="B42" s="776" t="s">
        <v>441</v>
      </c>
      <c r="C42" s="776">
        <v>7336.8974600000001</v>
      </c>
      <c r="D42" s="776">
        <v>0</v>
      </c>
      <c r="E42" s="776">
        <v>0</v>
      </c>
      <c r="F42" s="776">
        <v>7336.8974600000001</v>
      </c>
      <c r="G42" s="776" t="s">
        <v>588</v>
      </c>
      <c r="H42" s="776">
        <v>7134.7099200000002</v>
      </c>
      <c r="I42" s="776">
        <v>0</v>
      </c>
      <c r="J42" s="776">
        <v>0</v>
      </c>
      <c r="K42" s="776">
        <v>7134.7099200000002</v>
      </c>
    </row>
    <row r="43" spans="1:12" ht="13.2">
      <c r="A43" s="196"/>
      <c r="B43" s="111"/>
      <c r="C43" s="111"/>
      <c r="D43" s="111"/>
      <c r="E43" s="111"/>
      <c r="F43" s="111"/>
      <c r="G43" s="111"/>
      <c r="H43" s="111"/>
      <c r="I43" s="111"/>
      <c r="J43" s="111"/>
      <c r="K43" s="198"/>
    </row>
    <row r="44" spans="1:12" ht="13.2">
      <c r="A44" s="196"/>
      <c r="B44" s="197"/>
      <c r="C44" s="197"/>
      <c r="D44" s="197"/>
      <c r="E44" s="197"/>
      <c r="F44" s="197"/>
      <c r="G44" s="197"/>
      <c r="H44" s="197"/>
      <c r="I44" s="197"/>
      <c r="J44" s="197"/>
      <c r="K44" s="198"/>
    </row>
    <row r="45" spans="1:12" ht="13.2">
      <c r="A45" s="196"/>
      <c r="B45" s="197"/>
      <c r="C45" s="197"/>
      <c r="D45" s="197"/>
      <c r="E45" s="197"/>
      <c r="F45" s="197"/>
      <c r="G45" s="197"/>
      <c r="H45" s="197"/>
      <c r="I45" s="197"/>
      <c r="J45" s="197"/>
      <c r="K45" s="198"/>
    </row>
    <row r="46" spans="1:12" ht="13.2">
      <c r="A46" s="196"/>
      <c r="B46" s="200"/>
      <c r="C46" s="198"/>
      <c r="D46" s="198"/>
      <c r="E46" s="198"/>
      <c r="F46" s="198"/>
      <c r="G46" s="197"/>
      <c r="H46" s="197"/>
      <c r="I46" s="197"/>
      <c r="J46" s="197"/>
      <c r="K46" s="198"/>
    </row>
    <row r="47" spans="1:12" ht="13.2">
      <c r="A47" s="201"/>
      <c r="B47" s="202"/>
      <c r="C47" s="202"/>
      <c r="D47" s="202"/>
      <c r="E47" s="202"/>
      <c r="F47" s="202"/>
      <c r="G47" s="202"/>
      <c r="H47" s="197"/>
      <c r="I47" s="197"/>
      <c r="J47" s="197"/>
      <c r="K47" s="198"/>
    </row>
    <row r="48" spans="1:12" ht="13.2">
      <c r="A48" s="201"/>
      <c r="B48" s="202"/>
      <c r="C48" s="202"/>
      <c r="D48" s="202"/>
      <c r="E48" s="202"/>
      <c r="F48" s="202"/>
      <c r="G48" s="202"/>
      <c r="H48" s="197"/>
      <c r="I48" s="197"/>
      <c r="J48" s="197"/>
      <c r="K48" s="197"/>
    </row>
    <row r="49" spans="1:11" ht="13.2">
      <c r="A49" s="201"/>
      <c r="B49" s="202"/>
      <c r="C49" s="202"/>
      <c r="D49" s="202"/>
      <c r="E49" s="202"/>
      <c r="F49" s="202"/>
      <c r="G49" s="202"/>
      <c r="H49" s="197"/>
      <c r="I49" s="197"/>
      <c r="J49" s="197"/>
      <c r="K49"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Normal="100" zoomScaleSheetLayoutView="100" zoomScalePageLayoutView="130" workbookViewId="0">
      <selection activeCell="J3" sqref="J3"/>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56.4" customHeight="1">
      <c r="A3" s="568" t="s">
        <v>638</v>
      </c>
      <c r="B3" s="568" t="s">
        <v>639</v>
      </c>
      <c r="C3" s="566">
        <v>45049.942361111112</v>
      </c>
      <c r="D3" s="567" t="s">
        <v>640</v>
      </c>
      <c r="E3" s="568">
        <v>19.8</v>
      </c>
      <c r="F3" s="568">
        <v>117.3</v>
      </c>
      <c r="H3" s="563"/>
      <c r="I3" s="565"/>
    </row>
    <row r="4" spans="1:9" ht="50.4" customHeight="1">
      <c r="A4" s="568" t="s">
        <v>638</v>
      </c>
      <c r="B4" s="568" t="s">
        <v>639</v>
      </c>
      <c r="C4" s="566">
        <v>45049.98541666667</v>
      </c>
      <c r="D4" s="567" t="s">
        <v>641</v>
      </c>
      <c r="E4" s="568">
        <v>16.2</v>
      </c>
      <c r="F4" s="568">
        <v>95.06</v>
      </c>
      <c r="G4" s="569"/>
      <c r="H4" s="569"/>
      <c r="I4" s="570"/>
    </row>
    <row r="5" spans="1:9" ht="51" customHeight="1">
      <c r="A5" s="568" t="s">
        <v>642</v>
      </c>
      <c r="B5" s="568" t="s">
        <v>643</v>
      </c>
      <c r="C5" s="566">
        <v>45050.481944444444</v>
      </c>
      <c r="D5" s="567" t="s">
        <v>644</v>
      </c>
      <c r="E5" s="568">
        <v>13.47</v>
      </c>
      <c r="F5" s="568"/>
      <c r="G5" s="569"/>
      <c r="H5" s="569"/>
      <c r="I5" s="571"/>
    </row>
    <row r="6" spans="1:9" ht="65.400000000000006" customHeight="1">
      <c r="A6" s="568" t="s">
        <v>444</v>
      </c>
      <c r="B6" s="568" t="s">
        <v>645</v>
      </c>
      <c r="C6" s="566">
        <v>45052.614583333336</v>
      </c>
      <c r="D6" s="567" t="s">
        <v>646</v>
      </c>
      <c r="E6" s="568">
        <v>37.299999999999997</v>
      </c>
      <c r="F6" s="568">
        <v>4</v>
      </c>
      <c r="G6" s="569"/>
      <c r="H6" s="569"/>
      <c r="I6" s="572"/>
    </row>
    <row r="7" spans="1:9" ht="70.8" customHeight="1">
      <c r="A7" s="568" t="s">
        <v>647</v>
      </c>
      <c r="B7" s="568" t="s">
        <v>648</v>
      </c>
      <c r="C7" s="566">
        <v>45054.320138888892</v>
      </c>
      <c r="D7" s="567" t="s">
        <v>649</v>
      </c>
      <c r="E7" s="568"/>
      <c r="F7" s="568">
        <v>3.3</v>
      </c>
      <c r="G7" s="569"/>
      <c r="H7" s="569"/>
      <c r="I7" s="573"/>
    </row>
    <row r="8" spans="1:9" ht="57" customHeight="1">
      <c r="A8" s="568" t="s">
        <v>533</v>
      </c>
      <c r="B8" s="568" t="s">
        <v>621</v>
      </c>
      <c r="C8" s="566">
        <v>45054.756249999999</v>
      </c>
      <c r="D8" s="567" t="s">
        <v>650</v>
      </c>
      <c r="E8" s="568">
        <v>10</v>
      </c>
      <c r="F8" s="568"/>
      <c r="G8" s="569"/>
      <c r="H8" s="569"/>
      <c r="I8" s="572"/>
    </row>
    <row r="9" spans="1:9" ht="70.8" customHeight="1">
      <c r="A9" s="568" t="s">
        <v>638</v>
      </c>
      <c r="B9" s="568" t="s">
        <v>651</v>
      </c>
      <c r="C9" s="566">
        <v>45054.818749999999</v>
      </c>
      <c r="D9" s="567" t="s">
        <v>652</v>
      </c>
      <c r="E9" s="574"/>
      <c r="F9" s="574">
        <v>1</v>
      </c>
      <c r="G9" s="569"/>
      <c r="H9" s="569"/>
      <c r="I9" s="572"/>
    </row>
    <row r="10" spans="1:9" ht="66" customHeight="1">
      <c r="A10" s="568" t="s">
        <v>638</v>
      </c>
      <c r="B10" s="568" t="s">
        <v>651</v>
      </c>
      <c r="C10" s="566">
        <v>45054.868055555555</v>
      </c>
      <c r="D10" s="567" t="s">
        <v>653</v>
      </c>
      <c r="E10" s="574"/>
      <c r="F10" s="574">
        <v>0.3</v>
      </c>
      <c r="G10" s="569"/>
      <c r="H10" s="569"/>
      <c r="I10" s="572"/>
    </row>
    <row r="11" spans="1:9" ht="69" customHeight="1">
      <c r="A11" s="568" t="s">
        <v>638</v>
      </c>
      <c r="B11" s="568" t="s">
        <v>651</v>
      </c>
      <c r="C11" s="566">
        <v>45054.876388888886</v>
      </c>
      <c r="D11" s="567" t="s">
        <v>654</v>
      </c>
      <c r="E11" s="574"/>
      <c r="F11" s="574">
        <v>0.3</v>
      </c>
      <c r="G11" s="569"/>
      <c r="H11" s="569"/>
      <c r="I11" s="572"/>
    </row>
    <row r="12" spans="1:9" ht="57" customHeight="1">
      <c r="A12" s="752" t="s">
        <v>562</v>
      </c>
      <c r="B12" s="752" t="s">
        <v>655</v>
      </c>
      <c r="C12" s="753">
        <v>45056.180555555555</v>
      </c>
      <c r="D12" s="754" t="s">
        <v>656</v>
      </c>
      <c r="E12" s="755">
        <v>16</v>
      </c>
      <c r="F12" s="755"/>
    </row>
    <row r="13" spans="1:9" ht="55.2" customHeight="1">
      <c r="A13" s="568" t="s">
        <v>638</v>
      </c>
      <c r="B13" s="568" t="s">
        <v>657</v>
      </c>
      <c r="C13" s="566">
        <v>45056.245138888888</v>
      </c>
      <c r="D13" s="567" t="s">
        <v>658</v>
      </c>
      <c r="E13" s="574"/>
      <c r="F13" s="574">
        <v>17.600000000000001</v>
      </c>
    </row>
    <row r="14" spans="1:9" ht="9.6" customHeight="1">
      <c r="A14" s="828"/>
      <c r="B14" s="828"/>
      <c r="C14" s="829"/>
      <c r="D14" s="830"/>
      <c r="E14" s="831"/>
      <c r="F14" s="831"/>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Normal="100" zoomScaleSheetLayoutView="100" zoomScalePageLayoutView="130" workbookViewId="0">
      <selection activeCell="J3" sqref="J3"/>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c r="E2" s="562" t="s">
        <v>351</v>
      </c>
      <c r="F2" s="562" t="s">
        <v>352</v>
      </c>
      <c r="G2" s="563"/>
      <c r="H2" s="564"/>
      <c r="I2" s="565"/>
    </row>
    <row r="3" spans="1:9" ht="66.599999999999994" customHeight="1">
      <c r="A3" s="568" t="s">
        <v>620</v>
      </c>
      <c r="B3" s="568" t="s">
        <v>659</v>
      </c>
      <c r="C3" s="566">
        <v>45056.73541666667</v>
      </c>
      <c r="D3" s="567" t="s">
        <v>660</v>
      </c>
      <c r="E3" s="568"/>
      <c r="F3" s="568">
        <v>5</v>
      </c>
      <c r="G3" s="569"/>
      <c r="H3" s="569"/>
      <c r="I3" s="573"/>
    </row>
    <row r="4" spans="1:9" ht="75" customHeight="1">
      <c r="A4" s="568" t="s">
        <v>562</v>
      </c>
      <c r="B4" s="568" t="s">
        <v>661</v>
      </c>
      <c r="C4" s="566">
        <v>45058.428472222222</v>
      </c>
      <c r="D4" s="567" t="s">
        <v>662</v>
      </c>
      <c r="E4" s="568">
        <v>9.09</v>
      </c>
      <c r="F4" s="568"/>
      <c r="G4" s="569"/>
      <c r="H4" s="569"/>
      <c r="I4" s="573"/>
    </row>
    <row r="5" spans="1:9" ht="64.8" customHeight="1">
      <c r="A5" s="568" t="s">
        <v>533</v>
      </c>
      <c r="B5" s="568" t="s">
        <v>663</v>
      </c>
      <c r="C5" s="566">
        <v>45058.966666666667</v>
      </c>
      <c r="D5" s="567" t="s">
        <v>664</v>
      </c>
      <c r="E5" s="568">
        <v>4.72</v>
      </c>
      <c r="F5" s="568"/>
      <c r="G5" s="569"/>
      <c r="H5" s="569"/>
      <c r="I5" s="573"/>
    </row>
    <row r="6" spans="1:9" ht="79.8" customHeight="1">
      <c r="A6" s="568" t="s">
        <v>533</v>
      </c>
      <c r="B6" s="568" t="s">
        <v>663</v>
      </c>
      <c r="C6" s="566">
        <v>45059.079861111109</v>
      </c>
      <c r="D6" s="567" t="s">
        <v>665</v>
      </c>
      <c r="E6" s="568">
        <v>12</v>
      </c>
      <c r="F6" s="568"/>
      <c r="G6" s="569"/>
      <c r="H6" s="569"/>
      <c r="I6" s="573"/>
    </row>
    <row r="7" spans="1:9" ht="79.2" customHeight="1">
      <c r="A7" s="568" t="s">
        <v>562</v>
      </c>
      <c r="B7" s="568" t="s">
        <v>666</v>
      </c>
      <c r="C7" s="566">
        <v>45059.53125</v>
      </c>
      <c r="D7" s="567" t="s">
        <v>667</v>
      </c>
      <c r="E7" s="568">
        <v>22.9</v>
      </c>
      <c r="F7" s="568"/>
      <c r="G7" s="569"/>
      <c r="H7" s="569"/>
      <c r="I7" s="573"/>
    </row>
    <row r="8" spans="1:9" ht="63.6" customHeight="1">
      <c r="A8" s="568" t="s">
        <v>668</v>
      </c>
      <c r="B8" s="568" t="s">
        <v>669</v>
      </c>
      <c r="C8" s="566">
        <v>45059.615972222222</v>
      </c>
      <c r="D8" s="567" t="s">
        <v>670</v>
      </c>
      <c r="E8" s="568">
        <v>6.7</v>
      </c>
      <c r="F8" s="568"/>
    </row>
    <row r="9" spans="1:9" ht="60" customHeight="1">
      <c r="A9" s="568" t="s">
        <v>533</v>
      </c>
      <c r="B9" s="568" t="s">
        <v>663</v>
      </c>
      <c r="C9" s="566">
        <v>45059.748611111114</v>
      </c>
      <c r="D9" s="567" t="s">
        <v>671</v>
      </c>
      <c r="E9" s="568">
        <v>7</v>
      </c>
      <c r="F9" s="568"/>
    </row>
    <row r="10" spans="1:9" ht="90" customHeight="1">
      <c r="A10" s="568" t="s">
        <v>638</v>
      </c>
      <c r="B10" s="568" t="s">
        <v>651</v>
      </c>
      <c r="C10" s="566">
        <v>45061.163194444445</v>
      </c>
      <c r="D10" s="567" t="s">
        <v>672</v>
      </c>
      <c r="E10" s="568"/>
      <c r="F10" s="568">
        <v>107.15</v>
      </c>
    </row>
    <row r="11" spans="1:9" ht="59.4" customHeight="1">
      <c r="A11" s="568" t="s">
        <v>444</v>
      </c>
      <c r="B11" s="568" t="s">
        <v>673</v>
      </c>
      <c r="C11" s="566">
        <v>45061.421527777777</v>
      </c>
      <c r="D11" s="567" t="s">
        <v>674</v>
      </c>
      <c r="E11" s="568">
        <v>6.95</v>
      </c>
      <c r="F11" s="568"/>
    </row>
    <row r="12" spans="1:9" ht="10.8" customHeight="1">
      <c r="A12" s="828"/>
      <c r="B12" s="828"/>
      <c r="C12" s="829"/>
      <c r="D12" s="830"/>
      <c r="E12" s="828"/>
      <c r="F12" s="828"/>
    </row>
    <row r="13" spans="1:9" ht="10.8" customHeight="1">
      <c r="A13" s="832"/>
      <c r="B13" s="832"/>
      <c r="C13" s="833"/>
      <c r="D13" s="834"/>
      <c r="E13" s="832"/>
      <c r="F13" s="832"/>
    </row>
    <row r="14" spans="1:9" ht="10.8" customHeight="1">
      <c r="A14" s="832"/>
      <c r="B14" s="832"/>
      <c r="C14" s="833"/>
      <c r="D14" s="834"/>
      <c r="E14" s="832"/>
      <c r="F14" s="832"/>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47"/>
  <sheetViews>
    <sheetView showGridLines="0" view="pageBreakPreview" zoomScaleNormal="100" zoomScaleSheetLayoutView="100" zoomScalePageLayoutView="145" workbookViewId="0">
      <selection activeCell="J3" sqref="J3"/>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51" customHeight="1">
      <c r="A3" s="568" t="s">
        <v>444</v>
      </c>
      <c r="B3" s="568" t="s">
        <v>619</v>
      </c>
      <c r="C3" s="566">
        <v>45063.336111111108</v>
      </c>
      <c r="D3" s="567" t="s">
        <v>675</v>
      </c>
      <c r="E3" s="568">
        <v>2.7</v>
      </c>
      <c r="F3" s="568"/>
      <c r="G3" s="569"/>
      <c r="H3" s="569"/>
      <c r="I3" s="573"/>
    </row>
    <row r="4" spans="1:9" ht="64.8" customHeight="1">
      <c r="A4" s="568" t="s">
        <v>638</v>
      </c>
      <c r="B4" s="568" t="s">
        <v>676</v>
      </c>
      <c r="C4" s="566">
        <v>45065.131249999999</v>
      </c>
      <c r="D4" s="567" t="s">
        <v>677</v>
      </c>
      <c r="E4" s="568">
        <v>19.920000000000002</v>
      </c>
      <c r="F4" s="568"/>
      <c r="G4" s="569"/>
      <c r="H4" s="569"/>
      <c r="I4" s="573"/>
    </row>
    <row r="5" spans="1:9" ht="60" customHeight="1">
      <c r="A5" s="568" t="s">
        <v>668</v>
      </c>
      <c r="B5" s="568" t="s">
        <v>669</v>
      </c>
      <c r="C5" s="566">
        <v>45065.276388888888</v>
      </c>
      <c r="D5" s="567" t="s">
        <v>678</v>
      </c>
      <c r="E5" s="568">
        <v>74.900000000000006</v>
      </c>
      <c r="F5" s="568"/>
      <c r="G5" s="569"/>
      <c r="H5" s="569"/>
      <c r="I5" s="573"/>
    </row>
    <row r="6" spans="1:9" ht="73.8" customHeight="1">
      <c r="A6" s="568" t="s">
        <v>592</v>
      </c>
      <c r="B6" s="568" t="s">
        <v>593</v>
      </c>
      <c r="C6" s="566">
        <v>45066.707638888889</v>
      </c>
      <c r="D6" s="567" t="s">
        <v>679</v>
      </c>
      <c r="E6" s="568">
        <v>10.88</v>
      </c>
      <c r="F6" s="568"/>
      <c r="G6" s="569"/>
      <c r="H6" s="569"/>
      <c r="I6" s="573"/>
    </row>
    <row r="7" spans="1:9" ht="57.6" customHeight="1">
      <c r="A7" s="568" t="s">
        <v>533</v>
      </c>
      <c r="B7" s="568" t="s">
        <v>680</v>
      </c>
      <c r="C7" s="566">
        <v>45068.373611111114</v>
      </c>
      <c r="D7" s="567" t="s">
        <v>681</v>
      </c>
      <c r="E7" s="568">
        <v>0.33</v>
      </c>
      <c r="F7" s="568"/>
      <c r="G7" s="569"/>
      <c r="H7" s="569"/>
      <c r="I7" s="573"/>
    </row>
    <row r="8" spans="1:9" ht="84" customHeight="1">
      <c r="A8" s="568" t="s">
        <v>682</v>
      </c>
      <c r="B8" s="568" t="s">
        <v>683</v>
      </c>
      <c r="C8" s="566">
        <v>45069.448611111111</v>
      </c>
      <c r="D8" s="567" t="s">
        <v>684</v>
      </c>
      <c r="E8" s="568">
        <v>15.23</v>
      </c>
      <c r="F8" s="568"/>
    </row>
    <row r="9" spans="1:9" ht="60.6" customHeight="1">
      <c r="A9" s="568" t="s">
        <v>444</v>
      </c>
      <c r="B9" s="568" t="s">
        <v>685</v>
      </c>
      <c r="C9" s="566">
        <v>45070.175694444442</v>
      </c>
      <c r="D9" s="567" t="s">
        <v>686</v>
      </c>
      <c r="E9" s="568">
        <v>4.79</v>
      </c>
      <c r="F9" s="568"/>
    </row>
    <row r="10" spans="1:9" ht="57.6" customHeight="1">
      <c r="A10" s="568" t="s">
        <v>444</v>
      </c>
      <c r="B10" s="568" t="s">
        <v>687</v>
      </c>
      <c r="C10" s="566">
        <v>45070.375694444447</v>
      </c>
      <c r="D10" s="567" t="s">
        <v>688</v>
      </c>
      <c r="E10" s="568">
        <v>17.809999999999999</v>
      </c>
      <c r="F10" s="568"/>
    </row>
    <row r="11" spans="1:9" ht="50.4" customHeight="1">
      <c r="A11" s="568" t="s">
        <v>444</v>
      </c>
      <c r="B11" s="568" t="s">
        <v>673</v>
      </c>
      <c r="C11" s="566">
        <v>45073.44027777778</v>
      </c>
      <c r="D11" s="567" t="s">
        <v>689</v>
      </c>
      <c r="E11" s="568">
        <v>6.92</v>
      </c>
      <c r="F11" s="568"/>
    </row>
    <row r="12" spans="1:9" ht="69.599999999999994" customHeight="1">
      <c r="A12" s="568" t="s">
        <v>638</v>
      </c>
      <c r="B12" s="568" t="s">
        <v>639</v>
      </c>
      <c r="C12" s="566">
        <v>45074.129166666666</v>
      </c>
      <c r="D12" s="567" t="s">
        <v>690</v>
      </c>
      <c r="E12" s="568"/>
      <c r="F12" s="568">
        <v>203.8</v>
      </c>
    </row>
    <row r="13" spans="1:9" ht="71.400000000000006" customHeight="1">
      <c r="A13" s="568" t="s">
        <v>638</v>
      </c>
      <c r="B13" s="568" t="s">
        <v>639</v>
      </c>
      <c r="C13" s="566">
        <v>45074.15902777778</v>
      </c>
      <c r="D13" s="567" t="s">
        <v>691</v>
      </c>
      <c r="E13" s="568"/>
      <c r="F13" s="568">
        <v>83.8</v>
      </c>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C3" sqref="C3:K3"/>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38" t="s">
        <v>22</v>
      </c>
      <c r="B1" s="838"/>
      <c r="C1" s="838"/>
      <c r="D1" s="838"/>
      <c r="E1" s="838"/>
      <c r="F1" s="838"/>
      <c r="G1" s="838"/>
      <c r="H1" s="838"/>
      <c r="I1" s="838"/>
      <c r="J1" s="838"/>
      <c r="K1" s="838"/>
      <c r="L1" s="838"/>
      <c r="M1" s="838"/>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45" t="str">
        <f>+UPPER(Q4)&amp;" "&amp;Q5</f>
        <v>MAYO 2023</v>
      </c>
      <c r="D3" s="845"/>
      <c r="E3" s="845"/>
      <c r="F3" s="845"/>
      <c r="G3" s="845"/>
      <c r="H3" s="845"/>
      <c r="I3" s="845"/>
      <c r="J3" s="845"/>
      <c r="K3" s="845"/>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622</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383</v>
      </c>
      <c r="B6" s="40"/>
      <c r="C6" s="40"/>
      <c r="D6" s="40"/>
      <c r="E6" s="40"/>
      <c r="F6" s="40"/>
      <c r="G6" s="40"/>
      <c r="H6" s="40"/>
      <c r="I6" s="40"/>
      <c r="J6" s="40"/>
      <c r="K6" s="40"/>
      <c r="L6" s="40"/>
      <c r="M6" s="40"/>
      <c r="N6" s="671"/>
      <c r="O6" s="671"/>
      <c r="P6" s="671"/>
      <c r="Q6" s="674">
        <v>45047</v>
      </c>
    </row>
    <row r="7" spans="1:17" ht="11.25" customHeight="1">
      <c r="A7" s="40"/>
      <c r="B7" s="40"/>
      <c r="C7" s="40"/>
      <c r="D7" s="40"/>
      <c r="E7" s="40"/>
      <c r="F7" s="40"/>
      <c r="G7" s="40"/>
      <c r="H7" s="40"/>
      <c r="I7" s="40"/>
      <c r="J7" s="40"/>
      <c r="K7" s="40"/>
      <c r="L7" s="40"/>
      <c r="M7" s="40"/>
      <c r="N7" s="671"/>
      <c r="O7" s="671"/>
      <c r="P7" s="671"/>
      <c r="Q7" s="671">
        <v>31</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mayo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43" t="s">
        <v>623</v>
      </c>
      <c r="C12" s="843"/>
      <c r="D12" s="843"/>
      <c r="E12" s="843"/>
      <c r="F12" s="843"/>
      <c r="G12" s="843"/>
      <c r="H12" s="843"/>
      <c r="I12" s="843"/>
      <c r="J12" s="843"/>
      <c r="K12" s="843"/>
      <c r="L12" s="843"/>
      <c r="M12" s="843"/>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43" t="s">
        <v>624</v>
      </c>
      <c r="C14" s="843"/>
      <c r="D14" s="843"/>
      <c r="E14" s="843"/>
      <c r="F14" s="843"/>
      <c r="G14" s="843"/>
      <c r="H14" s="843"/>
      <c r="I14" s="843"/>
      <c r="J14" s="843"/>
      <c r="K14" s="843"/>
      <c r="L14" s="843"/>
      <c r="M14" s="843"/>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43" t="s">
        <v>625</v>
      </c>
      <c r="C16" s="843"/>
      <c r="D16" s="843"/>
      <c r="E16" s="843"/>
      <c r="F16" s="843"/>
      <c r="G16" s="843"/>
      <c r="H16" s="843"/>
      <c r="I16" s="843"/>
      <c r="J16" s="843"/>
      <c r="K16" s="843"/>
      <c r="L16" s="843"/>
      <c r="M16" s="843"/>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42" t="s">
        <v>626</v>
      </c>
      <c r="C18" s="842"/>
      <c r="D18" s="842"/>
      <c r="E18" s="842"/>
      <c r="F18" s="842"/>
      <c r="G18" s="842"/>
      <c r="H18" s="842"/>
      <c r="I18" s="842"/>
      <c r="J18" s="842"/>
      <c r="K18" s="842"/>
      <c r="L18" s="842"/>
      <c r="M18" s="842"/>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44" t="str">
        <f>+UPPER(Q4)&amp;" "&amp;Q5</f>
        <v>MAYO 2023</v>
      </c>
      <c r="D20" s="844"/>
      <c r="E20" s="844"/>
      <c r="F20" s="40"/>
      <c r="G20" s="40"/>
      <c r="H20" s="40"/>
      <c r="I20" s="844" t="str">
        <f>+UPPER(Q4)&amp;" "&amp;Q5-1</f>
        <v>MAYO 2022</v>
      </c>
      <c r="J20" s="844"/>
      <c r="K20" s="844"/>
      <c r="L20" s="844"/>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24">
        <v>2437.8056477075011</v>
      </c>
      <c r="P23" s="824">
        <v>2616.8815129024993</v>
      </c>
      <c r="Q23" s="679"/>
    </row>
    <row r="24" spans="1:18" ht="11.25" customHeight="1">
      <c r="A24" s="44"/>
      <c r="B24" s="44"/>
      <c r="C24" s="44"/>
      <c r="D24" s="44"/>
      <c r="E24" s="43"/>
      <c r="F24" s="44"/>
      <c r="G24" s="44"/>
      <c r="H24" s="44"/>
      <c r="I24" s="44"/>
      <c r="J24" s="44"/>
      <c r="K24" s="44"/>
      <c r="L24" s="44"/>
      <c r="M24" s="43"/>
      <c r="N24" s="679" t="s">
        <v>25</v>
      </c>
      <c r="O24" s="825">
        <v>2130.8967148099996</v>
      </c>
      <c r="P24" s="825">
        <v>1717.6699561725002</v>
      </c>
      <c r="Q24" s="680"/>
      <c r="R24" s="680"/>
    </row>
    <row r="25" spans="1:18" ht="11.25" customHeight="1">
      <c r="A25" s="44"/>
      <c r="B25" s="44"/>
      <c r="C25" s="44"/>
      <c r="D25" s="44"/>
      <c r="E25" s="44"/>
      <c r="F25" s="44"/>
      <c r="G25" s="44"/>
      <c r="H25" s="44"/>
      <c r="I25" s="44"/>
      <c r="J25" s="53"/>
      <c r="K25" s="53"/>
      <c r="L25" s="44"/>
      <c r="M25" s="44"/>
      <c r="N25" s="679" t="s">
        <v>26</v>
      </c>
      <c r="O25" s="825">
        <v>0</v>
      </c>
      <c r="P25" s="825">
        <v>0</v>
      </c>
      <c r="Q25" s="677"/>
    </row>
    <row r="26" spans="1:18" ht="11.25" customHeight="1">
      <c r="A26" s="44"/>
      <c r="B26" s="44"/>
      <c r="C26" s="44"/>
      <c r="D26" s="44"/>
      <c r="E26" s="44"/>
      <c r="F26" s="44"/>
      <c r="G26" s="44"/>
      <c r="H26" s="44"/>
      <c r="I26" s="44"/>
      <c r="J26" s="53"/>
      <c r="K26" s="53"/>
      <c r="L26" s="44"/>
      <c r="M26" s="44"/>
      <c r="N26" s="677" t="s">
        <v>549</v>
      </c>
      <c r="O26" s="824">
        <v>23.049385517499996</v>
      </c>
      <c r="P26" s="824">
        <v>1.9145844374999998</v>
      </c>
      <c r="Q26" s="677"/>
    </row>
    <row r="27" spans="1:18" ht="11.25" customHeight="1">
      <c r="A27" s="44"/>
      <c r="B27" s="44"/>
      <c r="C27" s="44"/>
      <c r="D27" s="44"/>
      <c r="E27" s="44"/>
      <c r="F27" s="44"/>
      <c r="G27" s="44"/>
      <c r="H27" s="44"/>
      <c r="I27" s="44"/>
      <c r="J27" s="53"/>
      <c r="K27" s="44"/>
      <c r="L27" s="44"/>
      <c r="M27" s="44"/>
      <c r="N27" s="677" t="s">
        <v>27</v>
      </c>
      <c r="O27" s="824">
        <v>20.270959267499997</v>
      </c>
      <c r="P27" s="824">
        <v>24.512633592500002</v>
      </c>
      <c r="Q27" s="677"/>
    </row>
    <row r="28" spans="1:18" ht="11.25" customHeight="1">
      <c r="A28" s="44"/>
      <c r="B28" s="44"/>
      <c r="C28" s="53"/>
      <c r="D28" s="53"/>
      <c r="E28" s="53"/>
      <c r="F28" s="53"/>
      <c r="G28" s="53"/>
      <c r="H28" s="53"/>
      <c r="I28" s="53"/>
      <c r="J28" s="53"/>
      <c r="K28" s="53"/>
      <c r="L28" s="44"/>
      <c r="M28" s="44"/>
      <c r="N28" s="677" t="s">
        <v>28</v>
      </c>
      <c r="O28" s="824">
        <v>224.23503268000002</v>
      </c>
      <c r="P28" s="824">
        <v>171.76328389</v>
      </c>
      <c r="Q28" s="677"/>
    </row>
    <row r="29" spans="1:18" ht="11.25" customHeight="1">
      <c r="A29" s="44"/>
      <c r="B29" s="44"/>
      <c r="C29" s="53"/>
      <c r="D29" s="53"/>
      <c r="E29" s="53"/>
      <c r="F29" s="53"/>
      <c r="G29" s="53"/>
      <c r="H29" s="53"/>
      <c r="I29" s="53"/>
      <c r="J29" s="53"/>
      <c r="K29" s="53"/>
      <c r="L29" s="44"/>
      <c r="M29" s="44"/>
      <c r="N29" s="677" t="s">
        <v>29</v>
      </c>
      <c r="O29" s="824">
        <v>57.958463240000007</v>
      </c>
      <c r="P29" s="824">
        <v>62.212973372500002</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41" t="str">
        <f>"Total = "&amp;TEXT(ROUND(SUM(O23:O29),2),"0 000,00")&amp;" GWh"</f>
        <v>Total = 4 894,22 GWh</v>
      </c>
      <c r="C47" s="841"/>
      <c r="D47" s="841"/>
      <c r="E47" s="841"/>
      <c r="F47" s="54"/>
      <c r="G47" s="54"/>
      <c r="H47" s="840" t="str">
        <f>"Total = "&amp;TEXT(ROUND(SUM(P23:P29),2),"0 000,00")&amp;" GWh"</f>
        <v>Total = 4 594,95 GWh</v>
      </c>
      <c r="I47" s="840"/>
      <c r="J47" s="840"/>
      <c r="K47" s="840"/>
      <c r="L47" s="54"/>
      <c r="M47" s="54"/>
      <c r="N47" s="672"/>
      <c r="O47" s="672"/>
      <c r="P47" s="672"/>
      <c r="Q47" s="672"/>
    </row>
    <row r="48" spans="1:17" ht="11.25" customHeight="1">
      <c r="H48" s="54"/>
      <c r="I48" s="54"/>
      <c r="J48" s="54"/>
      <c r="K48" s="54"/>
      <c r="L48" s="54"/>
      <c r="M48" s="54"/>
      <c r="N48" s="672"/>
      <c r="O48" s="672"/>
      <c r="P48" s="672"/>
      <c r="Q48" s="672"/>
    </row>
    <row r="49" spans="1:17" ht="11.25" customHeight="1">
      <c r="B49" s="839" t="str">
        <f>"Gráfico 1: Comparación de producción mensual de electricidad en "&amp;Q4&amp;" por tipo de recurso energético."</f>
        <v>Gráfico 1: Comparación de producción mensual de electricidad en mayo por tipo de recurso energético.</v>
      </c>
      <c r="C49" s="839"/>
      <c r="D49" s="839"/>
      <c r="E49" s="839"/>
      <c r="F49" s="839"/>
      <c r="G49" s="839"/>
      <c r="H49" s="839"/>
      <c r="I49" s="839"/>
      <c r="J49" s="839"/>
      <c r="K49" s="839"/>
      <c r="L49" s="839"/>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37"/>
  <sheetViews>
    <sheetView showGridLines="0" view="pageBreakPreview" zoomScaleNormal="100" zoomScaleSheetLayoutView="100" workbookViewId="0">
      <selection activeCell="J3" sqref="J3"/>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105.6" customHeight="1">
      <c r="A3" s="568" t="s">
        <v>668</v>
      </c>
      <c r="B3" s="568" t="s">
        <v>669</v>
      </c>
      <c r="C3" s="566">
        <v>45075.143750000003</v>
      </c>
      <c r="D3" s="567" t="s">
        <v>692</v>
      </c>
      <c r="E3" s="568"/>
      <c r="F3" s="568">
        <v>303.14</v>
      </c>
      <c r="G3" s="569"/>
      <c r="H3" s="569"/>
      <c r="I3" s="573"/>
    </row>
    <row r="4" spans="1:9" ht="71.400000000000006" customHeight="1">
      <c r="A4" s="568" t="s">
        <v>668</v>
      </c>
      <c r="B4" s="568" t="s">
        <v>693</v>
      </c>
      <c r="C4" s="566">
        <v>45075.23541666667</v>
      </c>
      <c r="D4" s="567" t="s">
        <v>694</v>
      </c>
      <c r="E4" s="568"/>
      <c r="F4" s="568">
        <v>12</v>
      </c>
      <c r="G4" s="569"/>
      <c r="H4" s="569"/>
      <c r="I4" s="573"/>
    </row>
    <row r="5" spans="1:9" ht="87" customHeight="1">
      <c r="A5" s="568" t="s">
        <v>668</v>
      </c>
      <c r="B5" s="568" t="s">
        <v>669</v>
      </c>
      <c r="C5" s="566">
        <v>45075.276388888888</v>
      </c>
      <c r="D5" s="567" t="s">
        <v>695</v>
      </c>
      <c r="E5" s="568"/>
      <c r="F5" s="568">
        <v>215.52</v>
      </c>
      <c r="G5" s="569"/>
      <c r="H5" s="569"/>
      <c r="I5" s="573"/>
    </row>
    <row r="6" spans="1:9" ht="81.599999999999994" customHeight="1">
      <c r="A6" s="568" t="s">
        <v>444</v>
      </c>
      <c r="B6" s="568" t="s">
        <v>645</v>
      </c>
      <c r="C6" s="566">
        <v>45077.795138888891</v>
      </c>
      <c r="D6" s="567" t="s">
        <v>696</v>
      </c>
      <c r="E6" s="568">
        <v>27</v>
      </c>
      <c r="F6" s="568"/>
      <c r="G6" s="569"/>
      <c r="H6" s="569"/>
      <c r="I6" s="573"/>
    </row>
    <row r="7" spans="1:9">
      <c r="E7" s="575"/>
      <c r="F7" s="575"/>
    </row>
    <row r="8" spans="1:9">
      <c r="E8" s="575"/>
      <c r="F8" s="575"/>
    </row>
    <row r="9" spans="1:9">
      <c r="E9" s="575"/>
      <c r="F9" s="575"/>
    </row>
    <row r="10" spans="1:9">
      <c r="E10" s="575"/>
      <c r="F10" s="575"/>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topLeftCell="A3" zoomScaleNormal="100" zoomScaleSheetLayoutView="100" workbookViewId="0">
      <selection activeCell="J3" sqref="J3"/>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Normal="100" zoomScaleSheetLayoutView="100" workbookViewId="0">
      <selection activeCell="J3" sqref="J3"/>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50" t="s">
        <v>586</v>
      </c>
      <c r="B2" s="850"/>
      <c r="C2" s="850"/>
      <c r="D2" s="850"/>
      <c r="E2" s="850"/>
      <c r="F2" s="850"/>
      <c r="G2" s="850"/>
      <c r="H2" s="850"/>
      <c r="I2" s="850"/>
      <c r="J2" s="850"/>
      <c r="K2" s="683"/>
    </row>
    <row r="3" spans="1:17" ht="12" customHeight="1">
      <c r="A3" s="137"/>
      <c r="B3" s="208"/>
      <c r="C3" s="218"/>
      <c r="D3" s="219"/>
      <c r="E3" s="219"/>
      <c r="F3" s="220"/>
      <c r="G3" s="221"/>
      <c r="H3" s="221"/>
      <c r="I3" s="172"/>
      <c r="J3" s="220"/>
    </row>
    <row r="4" spans="1:17" ht="11.25" customHeight="1">
      <c r="A4" s="187" t="s">
        <v>424</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806" t="s">
        <v>572</v>
      </c>
      <c r="B6" s="807" t="s">
        <v>207</v>
      </c>
      <c r="C6" s="807" t="s">
        <v>573</v>
      </c>
      <c r="D6" s="807" t="s">
        <v>574</v>
      </c>
      <c r="E6" s="807" t="s">
        <v>575</v>
      </c>
      <c r="F6" s="808" t="s">
        <v>576</v>
      </c>
      <c r="G6" s="809" t="s">
        <v>577</v>
      </c>
      <c r="H6" s="808" t="s">
        <v>578</v>
      </c>
      <c r="I6" s="809" t="s">
        <v>579</v>
      </c>
      <c r="J6" s="810" t="s">
        <v>595</v>
      </c>
      <c r="K6" s="664"/>
    </row>
    <row r="7" spans="1:17" ht="20.399999999999999" customHeight="1">
      <c r="A7" s="811" t="s">
        <v>582</v>
      </c>
      <c r="B7" s="812" t="s">
        <v>36</v>
      </c>
      <c r="C7" s="812" t="s">
        <v>580</v>
      </c>
      <c r="D7" s="812" t="s">
        <v>583</v>
      </c>
      <c r="E7" s="812" t="s">
        <v>584</v>
      </c>
      <c r="F7" s="813" t="s">
        <v>581</v>
      </c>
      <c r="G7" s="814">
        <v>10.5</v>
      </c>
      <c r="H7" s="815">
        <v>5.4</v>
      </c>
      <c r="I7" s="815">
        <v>5.4</v>
      </c>
      <c r="J7" s="816" t="s">
        <v>585</v>
      </c>
      <c r="K7" s="664"/>
    </row>
    <row r="8" spans="1:17" ht="13.8" customHeight="1">
      <c r="A8" s="817" t="s">
        <v>41</v>
      </c>
      <c r="B8" s="818"/>
      <c r="C8" s="818"/>
      <c r="D8" s="818"/>
      <c r="E8" s="819"/>
      <c r="F8" s="820"/>
      <c r="G8" s="821"/>
      <c r="H8" s="822">
        <f>+H7</f>
        <v>5.4</v>
      </c>
      <c r="I8" s="822">
        <f>+I7</f>
        <v>5.4</v>
      </c>
      <c r="J8" s="823"/>
      <c r="K8" s="664"/>
    </row>
    <row r="9" spans="1:17" ht="11.25" customHeight="1">
      <c r="A9" s="187"/>
      <c r="B9" s="208"/>
      <c r="C9" s="218"/>
      <c r="D9" s="219"/>
      <c r="E9" s="219"/>
      <c r="F9" s="220"/>
      <c r="G9" s="221"/>
      <c r="H9" s="221"/>
      <c r="I9" s="172"/>
      <c r="J9" s="220"/>
      <c r="K9" s="664"/>
    </row>
    <row r="10" spans="1:17" s="222" customFormat="1" ht="13.2" customHeight="1">
      <c r="H10" s="641"/>
      <c r="I10" s="641"/>
      <c r="J10" s="642"/>
      <c r="K10" s="664"/>
      <c r="L10" s="658"/>
      <c r="M10" s="658"/>
      <c r="N10" s="658"/>
      <c r="O10" s="685"/>
      <c r="P10" s="685"/>
      <c r="Q10" s="660"/>
    </row>
    <row r="11" spans="1:17" s="222" customFormat="1" ht="10.199999999999999" customHeight="1">
      <c r="A11" s="187" t="s">
        <v>519</v>
      </c>
      <c r="B11" s="550"/>
      <c r="C11" s="550"/>
      <c r="D11" s="550"/>
      <c r="E11" s="550"/>
      <c r="F11" s="551"/>
      <c r="G11" s="552"/>
      <c r="H11" s="553"/>
      <c r="I11" s="553"/>
      <c r="J11" s="554"/>
      <c r="K11" s="664"/>
      <c r="L11" s="658"/>
      <c r="M11" s="658"/>
      <c r="N11" s="658"/>
      <c r="O11" s="685"/>
      <c r="P11" s="685"/>
      <c r="Q11" s="660"/>
    </row>
    <row r="12" spans="1:17" s="222" customFormat="1" ht="10.199999999999999" customHeight="1">
      <c r="A12" s="549"/>
      <c r="B12" s="550"/>
      <c r="C12" s="550"/>
      <c r="D12" s="550"/>
      <c r="E12" s="550"/>
      <c r="F12" s="551"/>
      <c r="G12" s="552"/>
      <c r="H12" s="553"/>
      <c r="I12" s="553"/>
      <c r="J12" s="554"/>
      <c r="K12" s="664"/>
      <c r="L12" s="658"/>
      <c r="M12" s="658"/>
      <c r="N12" s="658"/>
      <c r="O12" s="685"/>
      <c r="P12" s="685"/>
      <c r="Q12" s="660"/>
    </row>
    <row r="13" spans="1:17" s="222" customFormat="1" ht="24" customHeight="1">
      <c r="A13" s="806" t="s">
        <v>572</v>
      </c>
      <c r="B13" s="807" t="s">
        <v>207</v>
      </c>
      <c r="C13" s="807" t="s">
        <v>573</v>
      </c>
      <c r="D13" s="807" t="s">
        <v>574</v>
      </c>
      <c r="E13" s="807" t="s">
        <v>575</v>
      </c>
      <c r="F13" s="808" t="s">
        <v>576</v>
      </c>
      <c r="G13" s="809" t="s">
        <v>577</v>
      </c>
      <c r="H13" s="808" t="s">
        <v>578</v>
      </c>
      <c r="I13" s="809" t="s">
        <v>579</v>
      </c>
      <c r="J13" s="810" t="s">
        <v>596</v>
      </c>
      <c r="K13" s="684"/>
      <c r="L13" s="658"/>
      <c r="M13" s="658"/>
      <c r="N13" s="658"/>
      <c r="O13" s="685"/>
      <c r="P13" s="685"/>
      <c r="Q13" s="660"/>
    </row>
    <row r="14" spans="1:17" s="222" customFormat="1" ht="13.95" customHeight="1">
      <c r="A14" s="811" t="s">
        <v>582</v>
      </c>
      <c r="B14" s="812" t="s">
        <v>36</v>
      </c>
      <c r="C14" s="812" t="s">
        <v>25</v>
      </c>
      <c r="D14" s="812" t="s">
        <v>597</v>
      </c>
      <c r="E14" s="812" t="s">
        <v>584</v>
      </c>
      <c r="F14" s="813" t="s">
        <v>597</v>
      </c>
      <c r="G14" s="814">
        <v>10.5</v>
      </c>
      <c r="H14" s="815">
        <v>31</v>
      </c>
      <c r="I14" s="815">
        <v>27.95523</v>
      </c>
      <c r="J14" s="816" t="s">
        <v>598</v>
      </c>
      <c r="K14" s="684"/>
      <c r="L14" s="658"/>
      <c r="M14" s="658"/>
      <c r="N14" s="658"/>
      <c r="O14" s="685"/>
      <c r="P14" s="685"/>
      <c r="Q14" s="660"/>
    </row>
    <row r="15" spans="1:17" s="222" customFormat="1" ht="13.95" customHeight="1">
      <c r="A15" s="817" t="s">
        <v>41</v>
      </c>
      <c r="B15" s="818"/>
      <c r="C15" s="818"/>
      <c r="D15" s="818"/>
      <c r="E15" s="819"/>
      <c r="F15" s="820"/>
      <c r="G15" s="821"/>
      <c r="H15" s="822">
        <f>+H14</f>
        <v>31</v>
      </c>
      <c r="I15" s="822">
        <f>+I14</f>
        <v>27.95523</v>
      </c>
      <c r="J15" s="823"/>
      <c r="K15" s="684"/>
      <c r="L15" s="658"/>
      <c r="M15" s="658"/>
      <c r="N15" s="658"/>
      <c r="O15" s="685"/>
      <c r="P15" s="685"/>
      <c r="Q15" s="660"/>
    </row>
    <row r="16" spans="1:17" s="222" customFormat="1" ht="13.95" customHeight="1">
      <c r="A16" s="549"/>
      <c r="B16" s="550"/>
      <c r="C16" s="550"/>
      <c r="D16" s="550"/>
      <c r="E16" s="550"/>
      <c r="F16" s="551"/>
      <c r="G16" s="552"/>
      <c r="H16" s="553"/>
      <c r="I16" s="553"/>
      <c r="J16" s="554"/>
      <c r="K16" s="684"/>
      <c r="L16" s="658"/>
      <c r="M16" s="658"/>
      <c r="N16" s="658"/>
      <c r="O16" s="685"/>
      <c r="P16" s="685"/>
      <c r="Q16" s="660"/>
    </row>
    <row r="17" spans="1:17" s="222" customFormat="1" ht="13.95" customHeight="1">
      <c r="A17" s="549"/>
      <c r="B17" s="550"/>
      <c r="C17" s="550"/>
      <c r="D17" s="550"/>
      <c r="E17" s="550"/>
      <c r="F17" s="551"/>
      <c r="G17" s="552"/>
      <c r="H17" s="553"/>
      <c r="I17" s="553"/>
      <c r="J17" s="554"/>
      <c r="K17" s="684"/>
      <c r="L17" s="658"/>
      <c r="M17" s="658"/>
      <c r="N17" s="658"/>
      <c r="O17" s="685"/>
      <c r="P17" s="685"/>
      <c r="Q17" s="660"/>
    </row>
    <row r="18" spans="1:17" ht="11.25" customHeight="1">
      <c r="A18" s="187" t="s">
        <v>452</v>
      </c>
      <c r="B18" s="132"/>
      <c r="C18" s="223"/>
      <c r="D18" s="132"/>
      <c r="E18" s="132"/>
      <c r="F18" s="132"/>
      <c r="G18" s="132"/>
      <c r="H18" s="132"/>
      <c r="I18" s="132"/>
      <c r="J18" s="132"/>
      <c r="K18" s="686"/>
    </row>
    <row r="19" spans="1:17" ht="11.25" customHeight="1">
      <c r="B19" s="132"/>
      <c r="C19" s="223"/>
      <c r="D19" s="132"/>
      <c r="E19" s="132"/>
      <c r="F19" s="132"/>
      <c r="G19" s="132"/>
      <c r="H19" s="132"/>
      <c r="I19" s="132"/>
      <c r="J19" s="132"/>
      <c r="K19" s="686"/>
    </row>
    <row r="20" spans="1:17" ht="21" customHeight="1">
      <c r="B20" s="848" t="s">
        <v>211</v>
      </c>
      <c r="C20" s="849"/>
      <c r="D20" s="358" t="str">
        <f>UPPER('1. Resumen'!Q4)&amp;" "&amp;'1. Resumen'!Q5</f>
        <v>MAYO 2023</v>
      </c>
      <c r="E20" s="358" t="str">
        <f>UPPER('1. Resumen'!Q4)&amp;" "&amp;'1. Resumen'!Q5-1</f>
        <v>MAYO 2022</v>
      </c>
      <c r="F20" s="359" t="s">
        <v>212</v>
      </c>
      <c r="G20" s="224"/>
      <c r="H20" s="224"/>
      <c r="I20" s="132"/>
      <c r="J20" s="132"/>
    </row>
    <row r="21" spans="1:17" ht="9.75" customHeight="1">
      <c r="B21" s="851" t="s">
        <v>208</v>
      </c>
      <c r="C21" s="852"/>
      <c r="D21" s="349">
        <v>5261.1882475000011</v>
      </c>
      <c r="E21" s="350">
        <v>5261.9382474999966</v>
      </c>
      <c r="F21" s="643">
        <f>+D21/E21-1</f>
        <v>-1.4253302960209879E-4</v>
      </c>
      <c r="G21" s="224"/>
      <c r="H21" s="224"/>
      <c r="I21" s="132"/>
      <c r="J21" s="132"/>
      <c r="K21" s="686"/>
    </row>
    <row r="22" spans="1:17" ht="9.75" customHeight="1">
      <c r="B22" s="853" t="s">
        <v>209</v>
      </c>
      <c r="C22" s="854"/>
      <c r="D22" s="351">
        <f>7495.9945-31</f>
        <v>7464.9944999999998</v>
      </c>
      <c r="E22" s="352">
        <v>7490.5944999999983</v>
      </c>
      <c r="F22" s="644">
        <f>+D22/E22-1</f>
        <v>-3.4176192557211493E-3</v>
      </c>
      <c r="G22" s="225"/>
      <c r="H22" s="225"/>
      <c r="M22" s="661"/>
      <c r="N22" s="661"/>
      <c r="O22" s="687"/>
    </row>
    <row r="23" spans="1:17" ht="9.75" customHeight="1">
      <c r="B23" s="855" t="s">
        <v>210</v>
      </c>
      <c r="C23" s="856"/>
      <c r="D23" s="353">
        <v>412.19999999999993</v>
      </c>
      <c r="E23" s="354">
        <v>412.2</v>
      </c>
      <c r="F23" s="645">
        <f>+D23/E23-1</f>
        <v>0</v>
      </c>
      <c r="G23" s="225"/>
      <c r="H23" s="225"/>
    </row>
    <row r="24" spans="1:17" ht="9.75" customHeight="1">
      <c r="B24" s="857" t="s">
        <v>78</v>
      </c>
      <c r="C24" s="858"/>
      <c r="D24" s="355">
        <v>282.27499999999998</v>
      </c>
      <c r="E24" s="356">
        <v>282.27499999999992</v>
      </c>
      <c r="F24" s="646">
        <f>+D24/E24-1</f>
        <v>0</v>
      </c>
      <c r="G24" s="225"/>
      <c r="H24" s="225"/>
    </row>
    <row r="25" spans="1:17" ht="10.5" customHeight="1">
      <c r="B25" s="846" t="s">
        <v>192</v>
      </c>
      <c r="C25" s="847"/>
      <c r="D25" s="357">
        <f>+SUM(D21:D24)</f>
        <v>13420.657747500001</v>
      </c>
      <c r="E25" s="357">
        <f>+SUM(E21:E24)</f>
        <v>13447.007747499994</v>
      </c>
      <c r="F25" s="647">
        <f>+D25/E25-1</f>
        <v>-1.959543750905568E-3</v>
      </c>
      <c r="G25" s="321"/>
      <c r="H25" s="225"/>
    </row>
    <row r="26" spans="1:17" ht="11.25" customHeight="1">
      <c r="B26" s="267" t="str">
        <f>"Cuadro N° 2: Comparación de la potencia instalada en el SEIN al término de "&amp;'1. Resumen'!Q4&amp;" "&amp;'1. Resumen'!Q5-1&amp;" y "&amp;'1. Resumen'!Q4&amp;" "&amp;'1. Resumen'!Q5</f>
        <v>Cuadro N° 2: Comparación de la potencia instalada en el SEIN al término de mayo 2022 y mayo 2023</v>
      </c>
      <c r="C26" s="224"/>
      <c r="D26" s="224"/>
      <c r="E26" s="224"/>
      <c r="F26" s="224"/>
      <c r="G26" s="224"/>
      <c r="H26" s="224"/>
      <c r="I26" s="132"/>
      <c r="J26" s="132"/>
      <c r="K26" s="686"/>
    </row>
    <row r="27" spans="1:17" ht="9" customHeight="1">
      <c r="B27" s="267"/>
      <c r="C27" s="224"/>
      <c r="D27" s="224"/>
      <c r="E27" s="224"/>
      <c r="F27" s="224"/>
      <c r="G27" s="224"/>
      <c r="H27" s="224"/>
      <c r="I27" s="132"/>
      <c r="J27" s="132"/>
      <c r="K27" s="686"/>
    </row>
    <row r="28" spans="1:17" ht="9" customHeight="1">
      <c r="B28" s="267"/>
      <c r="C28" s="224"/>
      <c r="D28" s="771"/>
      <c r="E28" s="224"/>
      <c r="F28" s="224"/>
      <c r="G28" s="224"/>
      <c r="H28" s="224"/>
      <c r="I28" s="132"/>
      <c r="J28" s="132"/>
      <c r="K28" s="686"/>
    </row>
    <row r="29" spans="1:17" ht="9" customHeight="1">
      <c r="B29" s="267"/>
      <c r="C29" s="224"/>
      <c r="D29" s="224"/>
      <c r="E29" s="224"/>
      <c r="F29" s="224"/>
      <c r="G29" s="224"/>
      <c r="H29" s="224"/>
      <c r="I29" s="132"/>
      <c r="J29" s="132"/>
      <c r="K29" s="686"/>
    </row>
    <row r="30" spans="1:17" ht="9" customHeight="1">
      <c r="B30" s="267"/>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224"/>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25.5"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C54" s="225"/>
      <c r="D54" s="224"/>
      <c r="E54" s="224"/>
      <c r="F54" s="224"/>
      <c r="G54" s="224"/>
      <c r="H54" s="224"/>
      <c r="I54" s="132"/>
      <c r="J54" s="132"/>
      <c r="K54" s="686"/>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5.2"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mayo 2022 y mayo 2023</v>
      </c>
      <c r="C58" s="132"/>
      <c r="D58" s="132"/>
      <c r="E58" s="132"/>
      <c r="F58" s="132"/>
      <c r="G58" s="132"/>
      <c r="H58" s="132"/>
      <c r="I58" s="132"/>
      <c r="J58" s="132"/>
    </row>
  </sheetData>
  <mergeCells count="7">
    <mergeCell ref="B25:C25"/>
    <mergeCell ref="B20:C20"/>
    <mergeCell ref="A2:J2"/>
    <mergeCell ref="B21:C21"/>
    <mergeCell ref="B22:C22"/>
    <mergeCell ref="B23:C23"/>
    <mergeCell ref="B24:C2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Normal="100" zoomScaleSheetLayoutView="100" workbookViewId="0">
      <selection activeCell="D12" sqref="D12"/>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63" t="s">
        <v>214</v>
      </c>
      <c r="B2" s="863"/>
      <c r="C2" s="863"/>
      <c r="D2" s="863"/>
      <c r="E2" s="863"/>
      <c r="F2" s="863"/>
      <c r="G2" s="863"/>
      <c r="H2" s="863"/>
      <c r="I2" s="863"/>
      <c r="J2" s="863"/>
      <c r="K2" s="863"/>
    </row>
    <row r="3" spans="1:14" ht="11.25" customHeight="1">
      <c r="A3" s="83"/>
      <c r="B3" s="84"/>
      <c r="C3" s="85"/>
      <c r="D3" s="86"/>
      <c r="E3" s="86"/>
      <c r="F3" s="86"/>
      <c r="G3" s="86"/>
      <c r="H3" s="83"/>
      <c r="I3" s="83"/>
      <c r="J3" s="83"/>
      <c r="K3" s="87"/>
    </row>
    <row r="4" spans="1:14" ht="11.25" customHeight="1">
      <c r="A4" s="864" t="str">
        <f>+"3.1. PRODUCCIÓN POR TIPO DE GENERACIÓN (GWh)"</f>
        <v>3.1. PRODUCCIÓN POR TIPO DE GENERACIÓN (GWh)</v>
      </c>
      <c r="B4" s="864"/>
      <c r="C4" s="864"/>
      <c r="D4" s="864"/>
      <c r="E4" s="864"/>
      <c r="F4" s="864"/>
      <c r="G4" s="864"/>
      <c r="H4" s="864"/>
      <c r="I4" s="864"/>
      <c r="J4" s="864"/>
      <c r="K4" s="864"/>
    </row>
    <row r="5" spans="1:14" ht="11.25" customHeight="1">
      <c r="A5" s="54"/>
      <c r="B5" s="88"/>
      <c r="C5" s="89"/>
      <c r="D5" s="90"/>
      <c r="E5" s="90"/>
      <c r="F5" s="90"/>
      <c r="G5" s="90"/>
      <c r="H5" s="91"/>
      <c r="I5" s="83"/>
      <c r="J5" s="83"/>
      <c r="K5" s="92"/>
    </row>
    <row r="6" spans="1:14" ht="18" customHeight="1">
      <c r="A6" s="861" t="s">
        <v>31</v>
      </c>
      <c r="B6" s="865" t="s">
        <v>32</v>
      </c>
      <c r="C6" s="866"/>
      <c r="D6" s="866"/>
      <c r="E6" s="866" t="s">
        <v>33</v>
      </c>
      <c r="F6" s="866"/>
      <c r="G6" s="867" t="str">
        <f>"Generación Acumulada a "&amp;'1. Resumen'!Q4</f>
        <v>Generación Acumulada a mayo</v>
      </c>
      <c r="H6" s="867"/>
      <c r="I6" s="867"/>
      <c r="J6" s="867"/>
      <c r="K6" s="868"/>
    </row>
    <row r="7" spans="1:14" ht="32.25" customHeight="1">
      <c r="A7" s="862"/>
      <c r="B7" s="360">
        <f>+C7-30</f>
        <v>44989</v>
      </c>
      <c r="C7" s="360">
        <f>+D7-28</f>
        <v>45019</v>
      </c>
      <c r="D7" s="360">
        <f>+'1. Resumen'!Q6</f>
        <v>45047</v>
      </c>
      <c r="E7" s="360">
        <f>+D7-365</f>
        <v>44682</v>
      </c>
      <c r="F7" s="361" t="s">
        <v>34</v>
      </c>
      <c r="G7" s="362">
        <v>2023</v>
      </c>
      <c r="H7" s="362">
        <v>2022</v>
      </c>
      <c r="I7" s="361" t="s">
        <v>550</v>
      </c>
      <c r="J7" s="362">
        <v>2021</v>
      </c>
      <c r="K7" s="363" t="s">
        <v>526</v>
      </c>
    </row>
    <row r="8" spans="1:14" ht="15" customHeight="1">
      <c r="A8" s="116" t="s">
        <v>35</v>
      </c>
      <c r="B8" s="304">
        <v>2828.3647186824996</v>
      </c>
      <c r="C8" s="300">
        <v>2903.9310001999984</v>
      </c>
      <c r="D8" s="305">
        <v>2437.8056477075011</v>
      </c>
      <c r="E8" s="304">
        <v>2616.8815129024993</v>
      </c>
      <c r="F8" s="233">
        <f>IF(E8=0,"",D8/E8-1)</f>
        <v>-6.8431017725512966E-2</v>
      </c>
      <c r="G8" s="312">
        <v>13899.929987617501</v>
      </c>
      <c r="H8" s="300">
        <v>14685.151487617499</v>
      </c>
      <c r="I8" s="237">
        <f>IF(H8=0,"",G8/H8-1)</f>
        <v>-5.3470439216244725E-2</v>
      </c>
      <c r="J8" s="304">
        <v>15133.552678110002</v>
      </c>
      <c r="K8" s="233">
        <f t="shared" ref="K8:K15" si="0">IF(J8=0,"",H8/J8-1)</f>
        <v>-2.9629605158152605E-2</v>
      </c>
    </row>
    <row r="9" spans="1:14" ht="15" customHeight="1">
      <c r="A9" s="117" t="s">
        <v>36</v>
      </c>
      <c r="B9" s="306">
        <v>2101.9581008549994</v>
      </c>
      <c r="C9" s="243">
        <v>1665.3500912175007</v>
      </c>
      <c r="D9" s="307">
        <v>2174.2170595949997</v>
      </c>
      <c r="E9" s="306">
        <v>1744.0971742025004</v>
      </c>
      <c r="F9" s="234">
        <f t="shared" ref="F9:F15" si="1">IF(E9=0,"",D9/E9-1)</f>
        <v>0.24661463349321378</v>
      </c>
      <c r="G9" s="313">
        <v>9248.4286917725003</v>
      </c>
      <c r="H9" s="243">
        <v>6972.328039112499</v>
      </c>
      <c r="I9" s="238">
        <f t="shared" ref="I9:I15" si="2">IF(H9=0,"",G9/H9-1)</f>
        <v>0.3264477287775065</v>
      </c>
      <c r="J9" s="306">
        <v>6003.5913541275004</v>
      </c>
      <c r="K9" s="234">
        <f t="shared" si="0"/>
        <v>0.161359530961245</v>
      </c>
    </row>
    <row r="10" spans="1:14" ht="15" customHeight="1">
      <c r="A10" s="118" t="s">
        <v>37</v>
      </c>
      <c r="B10" s="308">
        <v>116.4148622475</v>
      </c>
      <c r="C10" s="244">
        <v>195.974762865</v>
      </c>
      <c r="D10" s="309">
        <v>224.23503268000002</v>
      </c>
      <c r="E10" s="308">
        <v>171.76328389</v>
      </c>
      <c r="F10" s="235">
        <f>IF(E10=0,"",D10/E10-1)</f>
        <v>0.30548873776542251</v>
      </c>
      <c r="G10" s="314">
        <v>789.94336493499998</v>
      </c>
      <c r="H10" s="244">
        <v>767.46051931</v>
      </c>
      <c r="I10" s="239">
        <f t="shared" si="2"/>
        <v>2.9295116894369588E-2</v>
      </c>
      <c r="J10" s="308">
        <v>729.61732822250008</v>
      </c>
      <c r="K10" s="235">
        <f t="shared" si="0"/>
        <v>5.1867176975763263E-2</v>
      </c>
    </row>
    <row r="11" spans="1:14" ht="15" customHeight="1">
      <c r="A11" s="117" t="s">
        <v>29</v>
      </c>
      <c r="B11" s="306">
        <v>59.043847055000001</v>
      </c>
      <c r="C11" s="243">
        <v>63.80080641499999</v>
      </c>
      <c r="D11" s="307">
        <v>57.958463240000007</v>
      </c>
      <c r="E11" s="306">
        <v>62.212973372500002</v>
      </c>
      <c r="F11" s="234">
        <f>IF(E11=0,"",D11/E11-1)</f>
        <v>-6.8386220781092244E-2</v>
      </c>
      <c r="G11" s="313">
        <v>307.86532708750002</v>
      </c>
      <c r="H11" s="243">
        <v>324.81442078750001</v>
      </c>
      <c r="I11" s="238">
        <f t="shared" si="2"/>
        <v>-5.2180853482143963E-2</v>
      </c>
      <c r="J11" s="306">
        <v>319.97087847500001</v>
      </c>
      <c r="K11" s="234">
        <f t="shared" si="0"/>
        <v>1.5137447306406759E-2</v>
      </c>
      <c r="N11" s="835"/>
    </row>
    <row r="12" spans="1:14" ht="15" customHeight="1">
      <c r="A12" s="145" t="s">
        <v>41</v>
      </c>
      <c r="B12" s="310">
        <v>5105.7815288399997</v>
      </c>
      <c r="C12" s="301">
        <v>4829.056660697499</v>
      </c>
      <c r="D12" s="311">
        <v>4894.2162032225006</v>
      </c>
      <c r="E12" s="310">
        <v>4594.9549443674996</v>
      </c>
      <c r="F12" s="236">
        <f>IF(E12=0,"",D12/E12-1)</f>
        <v>6.5128224863626905E-2</v>
      </c>
      <c r="G12" s="310">
        <v>24246.167371412503</v>
      </c>
      <c r="H12" s="301">
        <v>22749.7544668275</v>
      </c>
      <c r="I12" s="240">
        <f>IF(H12=0,"",G12/H12-1)</f>
        <v>6.577710132067538E-2</v>
      </c>
      <c r="J12" s="310">
        <f>+SUM(J8:J11)</f>
        <v>22186.732238935001</v>
      </c>
      <c r="K12" s="236">
        <f t="shared" si="0"/>
        <v>2.5376527819832129E-2</v>
      </c>
    </row>
    <row r="13" spans="1:14" ht="15" customHeight="1">
      <c r="A13" s="112"/>
      <c r="B13" s="112"/>
      <c r="C13" s="112"/>
      <c r="D13" s="112"/>
      <c r="E13" s="112"/>
      <c r="F13" s="114"/>
      <c r="G13" s="112"/>
      <c r="H13" s="112"/>
      <c r="I13" s="580"/>
      <c r="J13" s="113"/>
      <c r="K13" s="114" t="str">
        <f t="shared" si="0"/>
        <v/>
      </c>
    </row>
    <row r="14" spans="1:14" ht="15" customHeight="1">
      <c r="A14" s="119" t="s">
        <v>38</v>
      </c>
      <c r="B14" s="231">
        <v>0</v>
      </c>
      <c r="C14" s="232">
        <v>0.6593067600000001</v>
      </c>
      <c r="D14" s="303">
        <v>1.4373820000000002</v>
      </c>
      <c r="E14" s="231">
        <v>9.7372668999999981</v>
      </c>
      <c r="F14" s="120">
        <f>IF(E14=0,"",D14/E14-1)</f>
        <v>-0.85238342393593003</v>
      </c>
      <c r="G14" s="231">
        <v>2.0966887600000002</v>
      </c>
      <c r="H14" s="232">
        <v>14.343455499999999</v>
      </c>
      <c r="I14" s="123">
        <f t="shared" si="2"/>
        <v>-0.85382261896374967</v>
      </c>
      <c r="J14" s="231">
        <v>20.97854293</v>
      </c>
      <c r="K14" s="120">
        <f t="shared" si="0"/>
        <v>-0.31627970789675819</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0</v>
      </c>
      <c r="C16" s="242">
        <f t="shared" ref="C16:E16" si="3">+C15-C14</f>
        <v>-0.6593067600000001</v>
      </c>
      <c r="D16" s="242">
        <f t="shared" si="3"/>
        <v>-1.4373820000000002</v>
      </c>
      <c r="E16" s="241">
        <f t="shared" si="3"/>
        <v>-9.7372668999999981</v>
      </c>
      <c r="F16" s="122"/>
      <c r="G16" s="241">
        <f t="shared" ref="G16:H16" si="4">+G15-G14</f>
        <v>-1.8422642300000001</v>
      </c>
      <c r="H16" s="242">
        <f t="shared" si="4"/>
        <v>-14.343455499999999</v>
      </c>
      <c r="I16" s="124"/>
      <c r="J16" s="241">
        <f>+J15-J14</f>
        <v>-20.97854293</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9"/>
      <c r="C42" s="859"/>
      <c r="D42" s="859"/>
      <c r="E42" s="93"/>
      <c r="F42" s="93"/>
      <c r="G42" s="860"/>
      <c r="H42" s="860"/>
      <c r="I42" s="860"/>
      <c r="J42" s="860"/>
      <c r="K42" s="860"/>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mayo.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30" zoomScaleNormal="100" zoomScaleSheetLayoutView="130" zoomScalePageLayoutView="130" workbookViewId="0">
      <selection activeCell="C15" sqref="C15"/>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70" t="str">
        <f>+"3.2. PRODUCCIÓN POR TIPO DE RECURSO ENERGÉTICO (GWh)"</f>
        <v>3.2. PRODUCCIÓN POR TIPO DE RECURSO ENERGÉTICO (GWh)</v>
      </c>
      <c r="B2" s="870"/>
      <c r="C2" s="870"/>
      <c r="D2" s="870"/>
      <c r="E2" s="870"/>
      <c r="F2" s="870"/>
      <c r="G2" s="870"/>
      <c r="H2" s="870"/>
      <c r="I2" s="870"/>
      <c r="J2" s="870"/>
      <c r="K2" s="870"/>
    </row>
    <row r="3" spans="1:12" ht="18.75" customHeight="1">
      <c r="A3" s="126"/>
      <c r="B3" s="127"/>
      <c r="C3" s="128"/>
      <c r="D3" s="129"/>
      <c r="E3" s="129"/>
      <c r="F3" s="129"/>
      <c r="G3" s="130"/>
      <c r="H3" s="130"/>
      <c r="I3" s="130"/>
      <c r="J3" s="126"/>
      <c r="K3" s="126"/>
      <c r="L3" s="36"/>
    </row>
    <row r="4" spans="1:12" ht="14.25" customHeight="1">
      <c r="A4" s="874" t="s">
        <v>42</v>
      </c>
      <c r="B4" s="871" t="s">
        <v>32</v>
      </c>
      <c r="C4" s="872"/>
      <c r="D4" s="872"/>
      <c r="E4" s="872" t="s">
        <v>33</v>
      </c>
      <c r="F4" s="872"/>
      <c r="G4" s="873" t="str">
        <f>+'3. Tipo Generación'!G6:K6</f>
        <v>Generación Acumulada a mayo</v>
      </c>
      <c r="H4" s="873"/>
      <c r="I4" s="873"/>
      <c r="J4" s="873"/>
      <c r="K4" s="873"/>
      <c r="L4" s="131"/>
    </row>
    <row r="5" spans="1:12" ht="26.25" customHeight="1">
      <c r="A5" s="874"/>
      <c r="B5" s="364">
        <f>+'3. Tipo Generación'!B7</f>
        <v>44989</v>
      </c>
      <c r="C5" s="364">
        <f>+'3. Tipo Generación'!C7</f>
        <v>45019</v>
      </c>
      <c r="D5" s="364">
        <f>+'3. Tipo Generación'!D7</f>
        <v>45047</v>
      </c>
      <c r="E5" s="364">
        <f>+'3. Tipo Generación'!E7</f>
        <v>44682</v>
      </c>
      <c r="F5" s="365" t="s">
        <v>34</v>
      </c>
      <c r="G5" s="366">
        <v>2023</v>
      </c>
      <c r="H5" s="366">
        <v>2022</v>
      </c>
      <c r="I5" s="365" t="s">
        <v>550</v>
      </c>
      <c r="J5" s="366">
        <v>2021</v>
      </c>
      <c r="K5" s="365" t="s">
        <v>526</v>
      </c>
      <c r="L5" s="19"/>
    </row>
    <row r="6" spans="1:12" ht="11.25" customHeight="1">
      <c r="A6" s="139" t="s">
        <v>43</v>
      </c>
      <c r="B6" s="278">
        <v>2828.3647186824996</v>
      </c>
      <c r="C6" s="279">
        <v>2903.9310001999984</v>
      </c>
      <c r="D6" s="280">
        <v>2437.8056477075011</v>
      </c>
      <c r="E6" s="278">
        <v>2616.8815129024993</v>
      </c>
      <c r="F6" s="248">
        <f>IF(E6=0,"",D6/E6-1)</f>
        <v>-6.8431017725512966E-2</v>
      </c>
      <c r="G6" s="278">
        <v>13899.929987617501</v>
      </c>
      <c r="H6" s="279">
        <v>14685.151487617499</v>
      </c>
      <c r="I6" s="248">
        <f t="shared" ref="I6:I15" si="0">IF(H6=0,"",G6/H6-1)</f>
        <v>-5.3470439216244725E-2</v>
      </c>
      <c r="J6" s="278">
        <v>15133.552678110002</v>
      </c>
      <c r="K6" s="248">
        <f>IF(J6=0,"",H6/J6-1)</f>
        <v>-2.9629605158152605E-2</v>
      </c>
      <c r="L6" s="24"/>
    </row>
    <row r="7" spans="1:12" ht="11.25" customHeight="1">
      <c r="A7" s="140" t="s">
        <v>49</v>
      </c>
      <c r="B7" s="281">
        <v>1994.0635013249996</v>
      </c>
      <c r="C7" s="243">
        <v>1567.6647182400006</v>
      </c>
      <c r="D7" s="282">
        <v>2034.7268133100001</v>
      </c>
      <c r="E7" s="281">
        <v>1645.2046991625002</v>
      </c>
      <c r="F7" s="249">
        <f t="shared" ref="F7:F17" si="1">IF(E7=0,"",D7/E7-1)</f>
        <v>0.23676209674442839</v>
      </c>
      <c r="G7" s="281">
        <v>8718.4971428824992</v>
      </c>
      <c r="H7" s="243">
        <v>6573.4237099800002</v>
      </c>
      <c r="I7" s="249">
        <f t="shared" si="0"/>
        <v>0.3263251431131351</v>
      </c>
      <c r="J7" s="281">
        <v>5541.8829084074996</v>
      </c>
      <c r="K7" s="249">
        <f t="shared" ref="K7:K18" si="2">IF(J7=0,"",H7/J7-1)</f>
        <v>0.1861354378324318</v>
      </c>
      <c r="L7" s="22"/>
    </row>
    <row r="8" spans="1:12" ht="11.25" customHeight="1">
      <c r="A8" s="141" t="s">
        <v>50</v>
      </c>
      <c r="B8" s="283">
        <v>58.362846000000005</v>
      </c>
      <c r="C8" s="244">
        <v>56.283942750000001</v>
      </c>
      <c r="D8" s="284">
        <v>62.847240499999998</v>
      </c>
      <c r="E8" s="283">
        <v>62.75949</v>
      </c>
      <c r="F8" s="323">
        <f t="shared" si="1"/>
        <v>1.3982028853325446E-3</v>
      </c>
      <c r="G8" s="283">
        <v>292.68943375000003</v>
      </c>
      <c r="H8" s="244">
        <v>227.83920125</v>
      </c>
      <c r="I8" s="323">
        <f t="shared" si="0"/>
        <v>0.28463158290676294</v>
      </c>
      <c r="J8" s="283">
        <v>269.11075402749998</v>
      </c>
      <c r="K8" s="323">
        <f t="shared" si="2"/>
        <v>-0.15336270349598335</v>
      </c>
      <c r="L8" s="22"/>
    </row>
    <row r="9" spans="1:12" ht="11.25" customHeight="1">
      <c r="A9" s="140" t="s">
        <v>51</v>
      </c>
      <c r="B9" s="281">
        <v>22.260714249999996</v>
      </c>
      <c r="C9" s="772">
        <v>13.969002499999998</v>
      </c>
      <c r="D9" s="282">
        <v>33.322660999999997</v>
      </c>
      <c r="E9" s="281">
        <v>9.7057670099999989</v>
      </c>
      <c r="F9" s="249"/>
      <c r="G9" s="281">
        <v>88.791737174999994</v>
      </c>
      <c r="H9" s="772">
        <v>39.6636422475</v>
      </c>
      <c r="I9" s="249">
        <f t="shared" si="0"/>
        <v>1.2386178410177786</v>
      </c>
      <c r="J9" s="281">
        <v>49.3202158</v>
      </c>
      <c r="K9" s="249">
        <f t="shared" si="2"/>
        <v>-0.19579341646960113</v>
      </c>
      <c r="L9" s="22"/>
    </row>
    <row r="10" spans="1:12" ht="11.25" customHeight="1">
      <c r="A10" s="141" t="s">
        <v>26</v>
      </c>
      <c r="B10" s="283">
        <v>0</v>
      </c>
      <c r="C10" s="773">
        <v>0</v>
      </c>
      <c r="D10" s="284">
        <v>0</v>
      </c>
      <c r="E10" s="283">
        <v>0</v>
      </c>
      <c r="F10" s="323" t="str">
        <f t="shared" si="1"/>
        <v/>
      </c>
      <c r="G10" s="283">
        <v>0</v>
      </c>
      <c r="H10" s="773">
        <v>6.0839352225000001</v>
      </c>
      <c r="I10" s="323">
        <f t="shared" si="0"/>
        <v>-1</v>
      </c>
      <c r="J10" s="283">
        <v>12.778767482499999</v>
      </c>
      <c r="K10" s="323">
        <f t="shared" si="2"/>
        <v>-0.52390281528858695</v>
      </c>
      <c r="L10" s="24"/>
    </row>
    <row r="11" spans="1:12" ht="11.25" customHeight="1">
      <c r="A11" s="140" t="s">
        <v>44</v>
      </c>
      <c r="B11" s="281">
        <v>1.3414663150000001</v>
      </c>
      <c r="C11" s="772">
        <v>0</v>
      </c>
      <c r="D11" s="282">
        <v>2.160896975</v>
      </c>
      <c r="E11" s="281">
        <v>0.93733993999999998</v>
      </c>
      <c r="F11" s="249">
        <f t="shared" si="1"/>
        <v>1.3053503673384492</v>
      </c>
      <c r="G11" s="281">
        <v>4.1587273124999999</v>
      </c>
      <c r="H11" s="772">
        <v>6.1898244674999994</v>
      </c>
      <c r="I11" s="249">
        <f t="shared" si="0"/>
        <v>-0.32813485514240059</v>
      </c>
      <c r="J11" s="281">
        <v>3.5194904300000003</v>
      </c>
      <c r="K11" s="249">
        <f t="shared" si="2"/>
        <v>0.75872746086711174</v>
      </c>
      <c r="L11" s="22"/>
    </row>
    <row r="12" spans="1:12" ht="11.25" customHeight="1">
      <c r="A12" s="246" t="s">
        <v>45</v>
      </c>
      <c r="B12" s="330">
        <v>0</v>
      </c>
      <c r="C12" s="774">
        <v>0</v>
      </c>
      <c r="D12" s="331">
        <v>0</v>
      </c>
      <c r="E12" s="330">
        <v>0</v>
      </c>
      <c r="F12" s="250" t="str">
        <f>IF(E12=0,"",D12/E12-1)</f>
        <v/>
      </c>
      <c r="G12" s="330">
        <v>0</v>
      </c>
      <c r="H12" s="774">
        <v>0</v>
      </c>
      <c r="I12" s="250" t="str">
        <f t="shared" si="0"/>
        <v/>
      </c>
      <c r="J12" s="330">
        <v>0</v>
      </c>
      <c r="K12" s="250" t="str">
        <f t="shared" si="2"/>
        <v/>
      </c>
      <c r="L12" s="22"/>
    </row>
    <row r="13" spans="1:12" ht="11.25" customHeight="1">
      <c r="A13" s="140" t="s">
        <v>46</v>
      </c>
      <c r="B13" s="281">
        <v>4.4520491199999999</v>
      </c>
      <c r="C13" s="772">
        <v>9.4727167150000007</v>
      </c>
      <c r="D13" s="282">
        <v>20.888488542499996</v>
      </c>
      <c r="E13" s="281">
        <v>0.97724449749999998</v>
      </c>
      <c r="F13" s="249">
        <f>IF(E13=0,"",D13/E13-1)</f>
        <v>20.374884786700981</v>
      </c>
      <c r="G13" s="281">
        <v>42.21193702499999</v>
      </c>
      <c r="H13" s="772">
        <v>8.2947443674999999</v>
      </c>
      <c r="I13" s="249">
        <f t="shared" si="0"/>
        <v>4.0889979431304022</v>
      </c>
      <c r="J13" s="281">
        <v>6.9599989525000003</v>
      </c>
      <c r="K13" s="249">
        <f t="shared" si="2"/>
        <v>0.19177379538549566</v>
      </c>
      <c r="L13" s="22"/>
    </row>
    <row r="14" spans="1:12" ht="11.25" customHeight="1">
      <c r="A14" s="141" t="s">
        <v>47</v>
      </c>
      <c r="B14" s="283">
        <v>15.383113595000001</v>
      </c>
      <c r="C14" s="773">
        <v>16.580766987499999</v>
      </c>
      <c r="D14" s="284">
        <v>14.515525217499999</v>
      </c>
      <c r="E14" s="283">
        <v>19.601933642500001</v>
      </c>
      <c r="F14" s="323">
        <f t="shared" si="1"/>
        <v>-0.2594850343729298</v>
      </c>
      <c r="G14" s="283">
        <v>75.795192377500001</v>
      </c>
      <c r="H14" s="773">
        <v>80.797038177499985</v>
      </c>
      <c r="I14" s="323">
        <f>IF(H14=0,"",G14/H14-1)</f>
        <v>-6.1906301429163979E-2</v>
      </c>
      <c r="J14" s="283">
        <v>84.65486937</v>
      </c>
      <c r="K14" s="323">
        <f t="shared" si="2"/>
        <v>-4.5571285163038211E-2</v>
      </c>
      <c r="L14" s="22"/>
    </row>
    <row r="15" spans="1:12" ht="11.25" customHeight="1">
      <c r="A15" s="140" t="s">
        <v>48</v>
      </c>
      <c r="B15" s="281">
        <v>6.0944102500000001</v>
      </c>
      <c r="C15" s="243">
        <v>1.3789440249999998</v>
      </c>
      <c r="D15" s="282">
        <v>5.7554340499999999</v>
      </c>
      <c r="E15" s="281">
        <v>4.9106999500000006</v>
      </c>
      <c r="F15" s="249">
        <f t="shared" si="1"/>
        <v>0.17201908253425247</v>
      </c>
      <c r="G15" s="281">
        <v>26.284521250000001</v>
      </c>
      <c r="H15" s="243">
        <v>30.035943400000004</v>
      </c>
      <c r="I15" s="249">
        <f t="shared" si="0"/>
        <v>-0.12489776332445757</v>
      </c>
      <c r="J15" s="281">
        <v>35.3643496575</v>
      </c>
      <c r="K15" s="249">
        <f t="shared" si="2"/>
        <v>-0.1506716879881872</v>
      </c>
      <c r="L15" s="22"/>
    </row>
    <row r="16" spans="1:12" ht="11.25" customHeight="1">
      <c r="A16" s="141" t="s">
        <v>29</v>
      </c>
      <c r="B16" s="283">
        <v>59.043847055000001</v>
      </c>
      <c r="C16" s="244">
        <v>63.80080641499999</v>
      </c>
      <c r="D16" s="284">
        <v>57.958463240000007</v>
      </c>
      <c r="E16" s="283">
        <v>62.212973372500002</v>
      </c>
      <c r="F16" s="323">
        <f t="shared" si="1"/>
        <v>-6.8386220781092244E-2</v>
      </c>
      <c r="G16" s="283">
        <v>307.86532708750002</v>
      </c>
      <c r="H16" s="244">
        <v>324.81442078750001</v>
      </c>
      <c r="I16" s="323">
        <f>IF(H16=0,"",G16/H16-1)</f>
        <v>-5.2180853482143963E-2</v>
      </c>
      <c r="J16" s="283">
        <v>319.97087847500001</v>
      </c>
      <c r="K16" s="323">
        <f t="shared" si="2"/>
        <v>1.5137447306406759E-2</v>
      </c>
      <c r="L16" s="22"/>
    </row>
    <row r="17" spans="1:12" ht="11.25" customHeight="1">
      <c r="A17" s="140" t="s">
        <v>28</v>
      </c>
      <c r="B17" s="281">
        <v>116.4148622475</v>
      </c>
      <c r="C17" s="243">
        <v>195.974762865</v>
      </c>
      <c r="D17" s="282">
        <v>224.23503268000002</v>
      </c>
      <c r="E17" s="281">
        <v>171.76328389</v>
      </c>
      <c r="F17" s="249">
        <f t="shared" si="1"/>
        <v>0.30548873776542251</v>
      </c>
      <c r="G17" s="281">
        <v>789.94336493499998</v>
      </c>
      <c r="H17" s="243">
        <v>767.46051931</v>
      </c>
      <c r="I17" s="249">
        <f>IF(H17=0,"",G17/H17-1)</f>
        <v>2.9295116894369588E-2</v>
      </c>
      <c r="J17" s="281">
        <v>729.61732822250008</v>
      </c>
      <c r="K17" s="249">
        <f t="shared" si="2"/>
        <v>5.1867176975763263E-2</v>
      </c>
      <c r="L17" s="22"/>
    </row>
    <row r="18" spans="1:12" ht="11.25" customHeight="1">
      <c r="A18" s="146" t="s">
        <v>41</v>
      </c>
      <c r="B18" s="285">
        <v>5105.7815288399997</v>
      </c>
      <c r="C18" s="286">
        <v>4829.0566606975008</v>
      </c>
      <c r="D18" s="540">
        <v>4894.2162032225006</v>
      </c>
      <c r="E18" s="285">
        <v>4594.9549443674996</v>
      </c>
      <c r="F18" s="324">
        <f>IF(E18=0,"",D18/E18-1)</f>
        <v>6.5128224863626905E-2</v>
      </c>
      <c r="G18" s="285">
        <v>24246.167371412503</v>
      </c>
      <c r="H18" s="286">
        <v>22749.7544668275</v>
      </c>
      <c r="I18" s="324">
        <f>IF(H18=0,"",G18/H18-1)</f>
        <v>6.577710132067538E-2</v>
      </c>
      <c r="J18" s="285">
        <f>SUM(J6:J17)</f>
        <v>22186.732238935001</v>
      </c>
      <c r="K18" s="324">
        <f t="shared" si="2"/>
        <v>2.5376527819832129E-2</v>
      </c>
      <c r="L18" s="30"/>
    </row>
    <row r="19" spans="1:12" ht="11.25" customHeight="1">
      <c r="A19" s="22"/>
      <c r="B19" s="22"/>
      <c r="C19" s="22"/>
      <c r="D19" s="22"/>
      <c r="E19" s="22"/>
      <c r="F19" s="22"/>
      <c r="G19" s="22"/>
      <c r="H19" s="22"/>
      <c r="I19" s="22"/>
      <c r="J19" s="22"/>
      <c r="K19" s="22"/>
      <c r="L19" s="22"/>
    </row>
    <row r="20" spans="1:12" ht="11.25" customHeight="1">
      <c r="A20" s="142" t="s">
        <v>38</v>
      </c>
      <c r="B20" s="231">
        <v>0</v>
      </c>
      <c r="C20" s="232">
        <v>0.6593067600000001</v>
      </c>
      <c r="D20" s="303">
        <v>1.4373820000000002</v>
      </c>
      <c r="E20" s="526">
        <v>9.7372668999999981</v>
      </c>
      <c r="F20" s="120">
        <f>IF(E20=0,"",D20/E20-1)</f>
        <v>-0.85238342393593003</v>
      </c>
      <c r="G20" s="231">
        <v>2.0966887600000002</v>
      </c>
      <c r="H20" s="302">
        <v>14.343455499999999</v>
      </c>
      <c r="I20" s="123">
        <f>IF(H20=0,"",G20/H20-1)</f>
        <v>-0.85382261896374967</v>
      </c>
      <c r="J20" s="231">
        <v>20.97854293</v>
      </c>
      <c r="K20" s="120">
        <f>IF(J20=0,"",H20/J20-1)</f>
        <v>-0.31627970789675819</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v>
      </c>
      <c r="C22" s="242">
        <f>+C21-C20</f>
        <v>-0.6593067600000001</v>
      </c>
      <c r="D22" s="325">
        <f>+D21-D20</f>
        <v>-1.4373820000000002</v>
      </c>
      <c r="E22" s="528">
        <f>+E21-E20</f>
        <v>-9.7372668999999981</v>
      </c>
      <c r="F22" s="242"/>
      <c r="G22" s="241">
        <f>+G21-G20</f>
        <v>-1.8422642300000001</v>
      </c>
      <c r="H22" s="242">
        <f>+H21-H20</f>
        <v>-14.343455499999999</v>
      </c>
      <c r="I22" s="124"/>
      <c r="J22" s="241">
        <f>+J21-J20</f>
        <v>-20.97854293</v>
      </c>
      <c r="K22" s="122"/>
      <c r="L22" s="30"/>
    </row>
    <row r="23" spans="1:12" ht="11.25" customHeight="1">
      <c r="A23" s="226" t="s">
        <v>215</v>
      </c>
      <c r="B23" s="133"/>
      <c r="C23" s="133"/>
      <c r="D23" s="133"/>
      <c r="E23" s="133"/>
      <c r="F23" s="133"/>
      <c r="G23" s="133"/>
      <c r="H23" s="134"/>
      <c r="I23" s="134"/>
      <c r="J23" s="133"/>
      <c r="K23" s="135"/>
      <c r="L23" s="22"/>
    </row>
    <row r="24" spans="1:12" ht="22.8" customHeight="1">
      <c r="A24" s="869" t="s">
        <v>594</v>
      </c>
      <c r="B24" s="869"/>
      <c r="C24" s="869"/>
      <c r="D24" s="869"/>
      <c r="E24" s="869"/>
      <c r="F24" s="869"/>
      <c r="G24" s="869"/>
      <c r="H24" s="869"/>
      <c r="I24" s="869"/>
      <c r="J24" s="869"/>
      <c r="K24" s="869"/>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ignoredErrors>
    <ignoredError sqref="K18 J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J3" sqref="J3"/>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76" t="s">
        <v>223</v>
      </c>
      <c r="B2" s="876"/>
      <c r="C2" s="876"/>
      <c r="D2" s="876"/>
      <c r="E2" s="876"/>
      <c r="F2" s="876"/>
      <c r="G2" s="876"/>
      <c r="H2" s="876"/>
      <c r="I2" s="876"/>
      <c r="J2" s="876"/>
      <c r="K2" s="876"/>
      <c r="L2" s="428"/>
    </row>
    <row r="3" spans="1:12" ht="11.25" customHeight="1">
      <c r="A3" s="74"/>
      <c r="B3" s="73"/>
      <c r="C3" s="73"/>
      <c r="D3" s="73"/>
      <c r="E3" s="73"/>
      <c r="F3" s="73"/>
      <c r="G3" s="73"/>
      <c r="H3" s="73"/>
      <c r="I3" s="73"/>
      <c r="J3" s="73"/>
      <c r="K3" s="73"/>
      <c r="L3" s="428"/>
    </row>
    <row r="4" spans="1:12" ht="15.75" customHeight="1">
      <c r="A4" s="874" t="s">
        <v>219</v>
      </c>
      <c r="B4" s="871" t="s">
        <v>32</v>
      </c>
      <c r="C4" s="872"/>
      <c r="D4" s="872"/>
      <c r="E4" s="872" t="s">
        <v>33</v>
      </c>
      <c r="F4" s="872"/>
      <c r="G4" s="873" t="str">
        <f>+'4. Tipo Recurso'!G4:K4</f>
        <v>Generación Acumulada a mayo</v>
      </c>
      <c r="H4" s="873"/>
      <c r="I4" s="873"/>
      <c r="J4" s="873"/>
      <c r="K4" s="873"/>
      <c r="L4" s="429"/>
    </row>
    <row r="5" spans="1:12" ht="29.25" customHeight="1">
      <c r="A5" s="874"/>
      <c r="B5" s="364">
        <f>+'4. Tipo Recurso'!B5</f>
        <v>44989</v>
      </c>
      <c r="C5" s="364">
        <f>+'4. Tipo Recurso'!C5</f>
        <v>45019</v>
      </c>
      <c r="D5" s="364">
        <f>+'4. Tipo Recurso'!D5</f>
        <v>45047</v>
      </c>
      <c r="E5" s="364">
        <f>+'4. Tipo Recurso'!E5</f>
        <v>44682</v>
      </c>
      <c r="F5" s="364" t="s">
        <v>34</v>
      </c>
      <c r="G5" s="366">
        <v>2023</v>
      </c>
      <c r="H5" s="366">
        <v>2022</v>
      </c>
      <c r="I5" s="365" t="s">
        <v>550</v>
      </c>
      <c r="J5" s="366">
        <v>2021</v>
      </c>
      <c r="K5" s="365" t="s">
        <v>526</v>
      </c>
      <c r="L5" s="430"/>
    </row>
    <row r="6" spans="1:12" ht="11.25" customHeight="1">
      <c r="A6" s="139" t="s">
        <v>43</v>
      </c>
      <c r="B6" s="278">
        <v>242.75524676249998</v>
      </c>
      <c r="C6" s="279">
        <v>220.19296142000002</v>
      </c>
      <c r="D6" s="280">
        <v>201.70210765500005</v>
      </c>
      <c r="E6" s="278">
        <v>182.05815145249997</v>
      </c>
      <c r="F6" s="248">
        <f t="shared" ref="F6:F11" si="0">IF(E6=0,"",D6/E6-1)</f>
        <v>0.1078993499921661</v>
      </c>
      <c r="G6" s="278">
        <v>1119.7193371650003</v>
      </c>
      <c r="H6" s="279">
        <v>1113.4323514824998</v>
      </c>
      <c r="I6" s="252">
        <f t="shared" ref="I6:I11" si="1">IF(H6=0,"",G6/H6-1)</f>
        <v>5.6464909378011185E-3</v>
      </c>
      <c r="J6" s="278">
        <v>1191.3876939424999</v>
      </c>
      <c r="K6" s="248">
        <f t="shared" ref="K6:K11" si="2">IF(J6=0,"",H6/J6-1)</f>
        <v>-6.5432388513291473E-2</v>
      </c>
      <c r="L6" s="431"/>
    </row>
    <row r="7" spans="1:12" ht="11.25" customHeight="1">
      <c r="A7" s="140" t="s">
        <v>37</v>
      </c>
      <c r="B7" s="281">
        <v>116.4148622475</v>
      </c>
      <c r="C7" s="243">
        <v>195.974762865</v>
      </c>
      <c r="D7" s="282">
        <v>224.23503268000002</v>
      </c>
      <c r="E7" s="281">
        <v>171.76328389</v>
      </c>
      <c r="F7" s="249">
        <f t="shared" si="0"/>
        <v>0.30548873776542251</v>
      </c>
      <c r="G7" s="281">
        <v>789.94336493499998</v>
      </c>
      <c r="H7" s="243">
        <v>767.46051931</v>
      </c>
      <c r="I7" s="238">
        <f t="shared" si="1"/>
        <v>2.9295116894369588E-2</v>
      </c>
      <c r="J7" s="281">
        <v>729.61732822250008</v>
      </c>
      <c r="K7" s="249">
        <f t="shared" si="2"/>
        <v>5.1867176975763263E-2</v>
      </c>
      <c r="L7" s="431"/>
    </row>
    <row r="8" spans="1:12" ht="11.25" customHeight="1">
      <c r="A8" s="246" t="s">
        <v>29</v>
      </c>
      <c r="B8" s="330">
        <v>59.043847055000001</v>
      </c>
      <c r="C8" s="287">
        <v>63.80080641499999</v>
      </c>
      <c r="D8" s="331">
        <v>57.958463240000007</v>
      </c>
      <c r="E8" s="330">
        <v>62.212973372500002</v>
      </c>
      <c r="F8" s="250">
        <f t="shared" si="0"/>
        <v>-6.8386220781092244E-2</v>
      </c>
      <c r="G8" s="330">
        <v>307.86532708750002</v>
      </c>
      <c r="H8" s="287">
        <v>324.81442078750001</v>
      </c>
      <c r="I8" s="245">
        <f t="shared" si="1"/>
        <v>-5.2180853482143963E-2</v>
      </c>
      <c r="J8" s="330">
        <v>319.97087847500001</v>
      </c>
      <c r="K8" s="250">
        <f t="shared" si="2"/>
        <v>1.5137447306406759E-2</v>
      </c>
      <c r="L8" s="431"/>
    </row>
    <row r="9" spans="1:12" ht="11.25" customHeight="1">
      <c r="A9" s="140" t="s">
        <v>47</v>
      </c>
      <c r="B9" s="281">
        <v>15.383113595000001</v>
      </c>
      <c r="C9" s="243">
        <v>16.580766987499999</v>
      </c>
      <c r="D9" s="282">
        <v>14.515525217499999</v>
      </c>
      <c r="E9" s="281">
        <v>19.601933642500001</v>
      </c>
      <c r="F9" s="249">
        <f t="shared" si="0"/>
        <v>-0.2594850343729298</v>
      </c>
      <c r="G9" s="281">
        <v>75.795192377500001</v>
      </c>
      <c r="H9" s="243">
        <v>80.797038177499985</v>
      </c>
      <c r="I9" s="238">
        <f t="shared" si="1"/>
        <v>-6.1906301429163979E-2</v>
      </c>
      <c r="J9" s="281">
        <v>84.65486937</v>
      </c>
      <c r="K9" s="249">
        <f t="shared" si="2"/>
        <v>-4.5571285163038211E-2</v>
      </c>
      <c r="L9" s="432"/>
    </row>
    <row r="10" spans="1:12" ht="11.25" customHeight="1">
      <c r="A10" s="247" t="s">
        <v>48</v>
      </c>
      <c r="B10" s="332">
        <v>6.0944102500000001</v>
      </c>
      <c r="C10" s="333">
        <v>1.3789440249999998</v>
      </c>
      <c r="D10" s="334">
        <v>5.7554340499999999</v>
      </c>
      <c r="E10" s="332">
        <v>4.9106999500000006</v>
      </c>
      <c r="F10" s="251">
        <f t="shared" si="0"/>
        <v>0.17201908253425247</v>
      </c>
      <c r="G10" s="332">
        <v>26.284521250000001</v>
      </c>
      <c r="H10" s="333">
        <v>30.035943400000004</v>
      </c>
      <c r="I10" s="253">
        <f t="shared" si="1"/>
        <v>-0.12489776332445757</v>
      </c>
      <c r="J10" s="332">
        <v>35.3643496575</v>
      </c>
      <c r="K10" s="251">
        <f t="shared" si="2"/>
        <v>-0.1506716879881872</v>
      </c>
      <c r="L10" s="431"/>
    </row>
    <row r="11" spans="1:12" ht="11.25" customHeight="1">
      <c r="A11" s="254" t="s">
        <v>216</v>
      </c>
      <c r="B11" s="315">
        <f>+B6+B7+B8+B9+B10</f>
        <v>439.69147991</v>
      </c>
      <c r="C11" s="316">
        <f t="shared" ref="C11:D11" si="3">+C6+C7+C8+C9+C10</f>
        <v>497.92824171250004</v>
      </c>
      <c r="D11" s="317">
        <f t="shared" si="3"/>
        <v>504.16656284250013</v>
      </c>
      <c r="E11" s="318">
        <f>+E6+E7+E8+E9+E10</f>
        <v>440.54704230749996</v>
      </c>
      <c r="F11" s="255">
        <f t="shared" si="0"/>
        <v>0.14441027728111266</v>
      </c>
      <c r="G11" s="328">
        <f>+G6+G7+G8+G9+G10</f>
        <v>2319.6077428150006</v>
      </c>
      <c r="H11" s="329">
        <f>+H6+H7+H8+H9+H10</f>
        <v>2316.5402731575</v>
      </c>
      <c r="I11" s="256">
        <f t="shared" si="1"/>
        <v>1.3241598659192721E-3</v>
      </c>
      <c r="J11" s="328">
        <f>+J6+J7+J8+J9+J10</f>
        <v>2360.9951196675001</v>
      </c>
      <c r="K11" s="255">
        <f t="shared" si="2"/>
        <v>-1.8828859975051904E-2</v>
      </c>
      <c r="L11" s="429"/>
    </row>
    <row r="12" spans="1:12" ht="24.75" customHeight="1">
      <c r="A12" s="257" t="s">
        <v>217</v>
      </c>
      <c r="B12" s="258">
        <f>B11/'4. Tipo Recurso'!B18</f>
        <v>8.6116391276517282E-2</v>
      </c>
      <c r="C12" s="539">
        <f>C11/'4. Tipo Recurso'!C18</f>
        <v>0.10311087168742811</v>
      </c>
      <c r="D12" s="435">
        <f>D11/'4. Tipo Recurso'!D18</f>
        <v>0.10301272806676207</v>
      </c>
      <c r="E12" s="827">
        <f>E11/'4. Tipo Recurso'!E18</f>
        <v>9.5876248546794343E-2</v>
      </c>
      <c r="F12" s="259"/>
      <c r="G12" s="258">
        <f>G11/'4. Tipo Recurso'!G18</f>
        <v>9.5669047700707499E-2</v>
      </c>
      <c r="H12" s="256">
        <f>H11/'4. Tipo Recurso'!H18</f>
        <v>0.10182704505823821</v>
      </c>
      <c r="I12" s="256"/>
      <c r="J12" s="258">
        <f>J11/'4. Tipo Recurso'!J18</f>
        <v>0.10641472994947145</v>
      </c>
      <c r="K12" s="259"/>
      <c r="L12" s="429"/>
    </row>
    <row r="13" spans="1:12" ht="11.25" customHeight="1">
      <c r="A13" s="260" t="s">
        <v>218</v>
      </c>
      <c r="B13" s="134"/>
      <c r="C13" s="134"/>
      <c r="D13" s="134"/>
      <c r="E13" s="134"/>
      <c r="F13" s="134"/>
      <c r="G13" s="134"/>
      <c r="H13" s="134"/>
      <c r="I13" s="134"/>
      <c r="J13" s="134"/>
      <c r="K13" s="135"/>
      <c r="L13" s="429"/>
    </row>
    <row r="14" spans="1:12" ht="35.25" customHeight="1">
      <c r="A14" s="877" t="s">
        <v>520</v>
      </c>
      <c r="B14" s="877"/>
      <c r="C14" s="877"/>
      <c r="D14" s="877"/>
      <c r="E14" s="877"/>
      <c r="F14" s="877"/>
      <c r="G14" s="877"/>
      <c r="H14" s="877"/>
      <c r="I14" s="877"/>
      <c r="J14" s="877"/>
      <c r="K14" s="877"/>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75"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5" s="875"/>
      <c r="C35" s="875"/>
      <c r="D35" s="875"/>
      <c r="E35" s="875"/>
      <c r="F35" s="875"/>
      <c r="G35" s="875"/>
      <c r="H35" s="875"/>
      <c r="I35" s="875"/>
      <c r="J35" s="875"/>
      <c r="K35" s="875"/>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4894.2162032225006</v>
      </c>
      <c r="G40" s="261" t="s">
        <v>220</v>
      </c>
      <c r="H40" s="138"/>
      <c r="I40" s="138"/>
      <c r="J40" s="138"/>
      <c r="K40" s="138"/>
      <c r="L40" s="581"/>
      <c r="M40" s="583">
        <f>+F40-F41</f>
        <v>4390.0462032225005</v>
      </c>
      <c r="N40" s="277"/>
      <c r="O40" s="277"/>
      <c r="P40" s="434"/>
    </row>
    <row r="41" spans="1:16" ht="11.25" customHeight="1">
      <c r="A41" s="136"/>
      <c r="B41" s="138"/>
      <c r="C41" s="261" t="s">
        <v>222</v>
      </c>
      <c r="D41" s="158"/>
      <c r="E41" s="158"/>
      <c r="F41" s="327">
        <f>ROUND(D11,2)</f>
        <v>504.17</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mayo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J3" sqref="J3"/>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78" t="s">
        <v>227</v>
      </c>
      <c r="B2" s="878"/>
      <c r="C2" s="878"/>
      <c r="D2" s="878"/>
      <c r="E2" s="878"/>
      <c r="F2" s="878"/>
      <c r="G2" s="878"/>
      <c r="H2" s="878"/>
      <c r="I2" s="878"/>
      <c r="J2" s="878"/>
      <c r="K2" s="878"/>
      <c r="L2" s="878"/>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5"/>
    </row>
    <row r="6" spans="1:26" ht="10.5" customHeight="1">
      <c r="A6" s="111"/>
      <c r="B6" s="138"/>
      <c r="C6" s="138"/>
      <c r="D6" s="138"/>
      <c r="E6" s="138"/>
      <c r="F6" s="138"/>
      <c r="G6" s="138"/>
      <c r="H6" s="138"/>
      <c r="I6" s="138"/>
      <c r="J6" s="138"/>
      <c r="K6" s="138"/>
      <c r="L6" s="138"/>
      <c r="M6" s="635" t="s">
        <v>388</v>
      </c>
      <c r="N6" s="637" t="s">
        <v>56</v>
      </c>
      <c r="O6" s="636">
        <v>20.861999999999998</v>
      </c>
      <c r="P6" s="637">
        <v>14.72743374</v>
      </c>
      <c r="Q6" s="637">
        <v>0.94885139596302592</v>
      </c>
      <c r="R6" s="637"/>
      <c r="T6" s="548" t="s">
        <v>427</v>
      </c>
      <c r="U6" s="548" t="s">
        <v>70</v>
      </c>
      <c r="V6" s="638">
        <v>0.9905547111898344</v>
      </c>
      <c r="W6" s="639">
        <v>0.64734967025771784</v>
      </c>
      <c r="X6" s="766"/>
      <c r="Y6" s="733"/>
      <c r="Z6" s="698"/>
    </row>
    <row r="7" spans="1:26" ht="10.5" customHeight="1">
      <c r="A7" s="136"/>
      <c r="B7" s="138"/>
      <c r="C7" s="138"/>
      <c r="D7" s="138"/>
      <c r="E7" s="138"/>
      <c r="F7" s="138"/>
      <c r="G7" s="138"/>
      <c r="H7" s="138"/>
      <c r="I7" s="138"/>
      <c r="J7" s="138"/>
      <c r="K7" s="138"/>
      <c r="L7" s="138"/>
      <c r="M7" s="635" t="s">
        <v>61</v>
      </c>
      <c r="N7" s="637" t="s">
        <v>56</v>
      </c>
      <c r="O7" s="636">
        <v>20.202000000000002</v>
      </c>
      <c r="P7" s="637">
        <v>14.109641360000001</v>
      </c>
      <c r="Q7" s="637">
        <v>0.93874723890852918</v>
      </c>
      <c r="R7" s="637"/>
      <c r="U7" s="548" t="s">
        <v>434</v>
      </c>
      <c r="V7" s="638">
        <v>0.97131595454328912</v>
      </c>
      <c r="W7" s="639">
        <v>0.94964801497984364</v>
      </c>
      <c r="X7" s="766"/>
      <c r="Y7" s="733"/>
      <c r="Z7" s="698"/>
    </row>
    <row r="8" spans="1:26" ht="10.5" customHeight="1">
      <c r="A8" s="136"/>
      <c r="B8" s="138"/>
      <c r="C8" s="138"/>
      <c r="D8" s="138"/>
      <c r="E8" s="138"/>
      <c r="F8" s="138"/>
      <c r="G8" s="138"/>
      <c r="H8" s="138"/>
      <c r="I8" s="138"/>
      <c r="J8" s="138"/>
      <c r="K8" s="138"/>
      <c r="L8" s="138"/>
      <c r="M8" s="635" t="s">
        <v>434</v>
      </c>
      <c r="N8" s="637" t="s">
        <v>56</v>
      </c>
      <c r="O8" s="636">
        <v>20.295999999999999</v>
      </c>
      <c r="P8" s="637">
        <v>14.0134665825</v>
      </c>
      <c r="Q8" s="637">
        <v>0.92803037772817143</v>
      </c>
      <c r="R8" s="637"/>
      <c r="U8" s="548" t="s">
        <v>60</v>
      </c>
      <c r="V8" s="638">
        <v>0.95831888382435582</v>
      </c>
      <c r="W8" s="639">
        <v>0.97225573714000324</v>
      </c>
      <c r="X8" s="766"/>
      <c r="Y8" s="733"/>
      <c r="Z8" s="698"/>
    </row>
    <row r="9" spans="1:26" ht="10.5" customHeight="1">
      <c r="A9" s="136"/>
      <c r="B9" s="138"/>
      <c r="C9" s="138"/>
      <c r="D9" s="138"/>
      <c r="E9" s="138"/>
      <c r="F9" s="138"/>
      <c r="G9" s="138"/>
      <c r="H9" s="138"/>
      <c r="I9" s="138"/>
      <c r="J9" s="138"/>
      <c r="K9" s="138"/>
      <c r="L9" s="138"/>
      <c r="M9" s="635" t="s">
        <v>57</v>
      </c>
      <c r="N9" s="764" t="s">
        <v>56</v>
      </c>
      <c r="O9" s="636">
        <v>18.148</v>
      </c>
      <c r="P9" s="637">
        <v>13.68244975</v>
      </c>
      <c r="Q9" s="637">
        <v>1.0133562623388104</v>
      </c>
      <c r="R9" s="637"/>
      <c r="U9" s="548" t="s">
        <v>61</v>
      </c>
      <c r="V9" s="638">
        <v>0.94570418884471041</v>
      </c>
      <c r="W9" s="639">
        <v>0.80213309440544533</v>
      </c>
      <c r="X9" s="766"/>
      <c r="Y9" s="733"/>
      <c r="Z9" s="698"/>
    </row>
    <row r="10" spans="1:26" ht="10.5" customHeight="1">
      <c r="A10" s="136"/>
      <c r="B10" s="138"/>
      <c r="C10" s="138"/>
      <c r="D10" s="138"/>
      <c r="E10" s="138"/>
      <c r="F10" s="138"/>
      <c r="G10" s="138"/>
      <c r="H10" s="138"/>
      <c r="I10" s="138"/>
      <c r="J10" s="138"/>
      <c r="K10" s="138"/>
      <c r="L10" s="138"/>
      <c r="M10" s="635" t="s">
        <v>59</v>
      </c>
      <c r="N10" s="764" t="s">
        <v>56</v>
      </c>
      <c r="O10" s="636">
        <v>19.1995</v>
      </c>
      <c r="P10" s="637">
        <v>13.533421690000001</v>
      </c>
      <c r="Q10" s="637">
        <v>0.94742482443119191</v>
      </c>
      <c r="R10" s="637"/>
      <c r="U10" s="548" t="s">
        <v>57</v>
      </c>
      <c r="V10" s="638">
        <v>0.93995758780758265</v>
      </c>
      <c r="W10" s="639">
        <v>0.86184249485223541</v>
      </c>
      <c r="X10" s="766"/>
      <c r="Y10" s="733"/>
      <c r="Z10" s="698"/>
    </row>
    <row r="11" spans="1:26" ht="10.5" customHeight="1">
      <c r="A11" s="136"/>
      <c r="B11" s="138"/>
      <c r="C11" s="138"/>
      <c r="D11" s="138"/>
      <c r="E11" s="138"/>
      <c r="F11" s="138"/>
      <c r="G11" s="138"/>
      <c r="H11" s="138"/>
      <c r="I11" s="138"/>
      <c r="J11" s="138"/>
      <c r="K11" s="138"/>
      <c r="L11" s="138"/>
      <c r="M11" s="635" t="s">
        <v>435</v>
      </c>
      <c r="N11" s="764" t="s">
        <v>56</v>
      </c>
      <c r="O11" s="636">
        <v>20.58</v>
      </c>
      <c r="P11" s="637">
        <v>12.1835266325</v>
      </c>
      <c r="Q11" s="637">
        <v>0.79570980755013221</v>
      </c>
      <c r="R11" s="637"/>
      <c r="U11" s="548" t="s">
        <v>433</v>
      </c>
      <c r="V11" s="638">
        <v>0.93762911640698265</v>
      </c>
      <c r="W11" s="639">
        <v>0.88624160243310246</v>
      </c>
      <c r="X11" s="766"/>
      <c r="Y11" s="733"/>
      <c r="Z11" s="698"/>
    </row>
    <row r="12" spans="1:26" ht="10.5" customHeight="1">
      <c r="A12" s="136"/>
      <c r="B12" s="138"/>
      <c r="C12" s="138"/>
      <c r="D12" s="138"/>
      <c r="E12" s="138"/>
      <c r="F12" s="138"/>
      <c r="G12" s="138"/>
      <c r="H12" s="138"/>
      <c r="I12" s="138"/>
      <c r="J12" s="138"/>
      <c r="K12" s="138"/>
      <c r="L12" s="138"/>
      <c r="M12" s="635" t="s">
        <v>433</v>
      </c>
      <c r="N12" s="637" t="s">
        <v>56</v>
      </c>
      <c r="O12" s="636">
        <v>20.27</v>
      </c>
      <c r="P12" s="637">
        <v>12.0335058225</v>
      </c>
      <c r="Q12" s="637">
        <v>0.79793127605948722</v>
      </c>
      <c r="R12" s="637"/>
      <c r="U12" s="548" t="s">
        <v>388</v>
      </c>
      <c r="V12" s="638">
        <v>0.9335657316988778</v>
      </c>
      <c r="W12" s="639">
        <v>0.85633062849228092</v>
      </c>
      <c r="X12" s="766"/>
      <c r="Y12" s="733"/>
      <c r="Z12" s="698"/>
    </row>
    <row r="13" spans="1:26" ht="10.5" customHeight="1">
      <c r="A13" s="136"/>
      <c r="B13" s="138"/>
      <c r="C13" s="138"/>
      <c r="D13" s="138"/>
      <c r="E13" s="138"/>
      <c r="F13" s="138"/>
      <c r="G13" s="138"/>
      <c r="H13" s="138"/>
      <c r="I13" s="138"/>
      <c r="J13" s="138"/>
      <c r="K13" s="138"/>
      <c r="L13" s="138"/>
      <c r="M13" s="635" t="s">
        <v>55</v>
      </c>
      <c r="N13" s="637" t="s">
        <v>56</v>
      </c>
      <c r="O13" s="636">
        <v>19.966000000000001</v>
      </c>
      <c r="P13" s="637">
        <v>11.127654235</v>
      </c>
      <c r="Q13" s="637">
        <v>0.74909969495184814</v>
      </c>
      <c r="R13" s="637"/>
      <c r="U13" s="548" t="s">
        <v>55</v>
      </c>
      <c r="V13" s="638">
        <v>0.91725240497145366</v>
      </c>
      <c r="W13" s="639">
        <v>0.87896001106129862</v>
      </c>
      <c r="X13" s="766"/>
      <c r="Y13" s="733"/>
      <c r="Z13" s="698"/>
    </row>
    <row r="14" spans="1:26" ht="10.5" customHeight="1">
      <c r="A14" s="136"/>
      <c r="B14" s="138"/>
      <c r="C14" s="138"/>
      <c r="D14" s="138"/>
      <c r="E14" s="138"/>
      <c r="F14" s="138"/>
      <c r="G14" s="138"/>
      <c r="H14" s="138"/>
      <c r="I14" s="138"/>
      <c r="J14" s="138"/>
      <c r="K14" s="138"/>
      <c r="L14" s="138"/>
      <c r="M14" s="635" t="s">
        <v>395</v>
      </c>
      <c r="N14" s="637" t="s">
        <v>56</v>
      </c>
      <c r="O14" s="636">
        <v>19.987169999999999</v>
      </c>
      <c r="P14" s="637">
        <v>9.2544983925000004</v>
      </c>
      <c r="Q14" s="637">
        <v>0.62234132823222232</v>
      </c>
      <c r="R14" s="637"/>
      <c r="U14" s="548" t="s">
        <v>59</v>
      </c>
      <c r="V14" s="638">
        <v>0.91633401699518835</v>
      </c>
      <c r="W14" s="639">
        <v>0.83741832498339874</v>
      </c>
      <c r="X14" s="766"/>
      <c r="Y14" s="733"/>
      <c r="Z14" s="698"/>
    </row>
    <row r="15" spans="1:26" ht="11.25" customHeight="1">
      <c r="A15" s="136"/>
      <c r="B15" s="138"/>
      <c r="C15" s="138"/>
      <c r="D15" s="138"/>
      <c r="E15" s="138"/>
      <c r="F15" s="138"/>
      <c r="G15" s="138"/>
      <c r="H15" s="138"/>
      <c r="I15" s="138"/>
      <c r="J15" s="138"/>
      <c r="K15" s="138"/>
      <c r="L15" s="138"/>
      <c r="M15" s="635" t="s">
        <v>396</v>
      </c>
      <c r="N15" s="637" t="s">
        <v>56</v>
      </c>
      <c r="O15" s="636">
        <v>20.084060000000001</v>
      </c>
      <c r="P15" s="637">
        <v>9.1925215999999992</v>
      </c>
      <c r="Q15" s="637">
        <v>0.61519134004510223</v>
      </c>
      <c r="R15" s="637"/>
      <c r="U15" s="548" t="s">
        <v>435</v>
      </c>
      <c r="V15" s="638">
        <v>0.90989612184159385</v>
      </c>
      <c r="W15" s="639">
        <v>0.88870226296131827</v>
      </c>
      <c r="X15" s="766"/>
      <c r="Y15" s="733"/>
      <c r="Z15" s="698"/>
    </row>
    <row r="16" spans="1:26" ht="11.25" customHeight="1">
      <c r="A16" s="136"/>
      <c r="B16" s="138"/>
      <c r="C16" s="138"/>
      <c r="D16" s="138"/>
      <c r="E16" s="138"/>
      <c r="F16" s="138"/>
      <c r="G16" s="138"/>
      <c r="H16" s="138"/>
      <c r="I16" s="138"/>
      <c r="J16" s="138"/>
      <c r="K16" s="138"/>
      <c r="L16" s="138"/>
      <c r="M16" s="635" t="s">
        <v>58</v>
      </c>
      <c r="N16" s="637" t="s">
        <v>56</v>
      </c>
      <c r="O16" s="636">
        <v>19.966999999999999</v>
      </c>
      <c r="P16" s="637">
        <v>8.8665112300000004</v>
      </c>
      <c r="Q16" s="637">
        <v>0.5968524968079052</v>
      </c>
      <c r="R16" s="637"/>
      <c r="U16" s="548" t="s">
        <v>395</v>
      </c>
      <c r="V16" s="638">
        <v>0.87230723903285734</v>
      </c>
      <c r="W16" s="639">
        <v>0.86058488777725306</v>
      </c>
      <c r="X16" s="766"/>
      <c r="Y16" s="733"/>
      <c r="Z16" s="698"/>
    </row>
    <row r="17" spans="1:26" ht="11.25" customHeight="1">
      <c r="A17" s="136"/>
      <c r="B17" s="138"/>
      <c r="C17" s="138"/>
      <c r="D17" s="138"/>
      <c r="E17" s="138"/>
      <c r="F17" s="138"/>
      <c r="G17" s="138"/>
      <c r="H17" s="138"/>
      <c r="I17" s="138"/>
      <c r="J17" s="138"/>
      <c r="K17" s="138"/>
      <c r="L17" s="138"/>
      <c r="M17" s="635" t="s">
        <v>60</v>
      </c>
      <c r="N17" s="637" t="s">
        <v>56</v>
      </c>
      <c r="O17" s="636">
        <v>9.9830000000000005</v>
      </c>
      <c r="P17" s="637">
        <v>7.3850747375000001</v>
      </c>
      <c r="Q17" s="637">
        <v>0.99430789566725786</v>
      </c>
      <c r="R17" s="637"/>
      <c r="U17" s="548" t="s">
        <v>396</v>
      </c>
      <c r="V17" s="638">
        <v>0.84414597348558118</v>
      </c>
      <c r="W17" s="639">
        <v>0.85058278542454935</v>
      </c>
      <c r="X17" s="766"/>
      <c r="Y17" s="733"/>
      <c r="Z17" s="698"/>
    </row>
    <row r="18" spans="1:26">
      <c r="A18" s="136"/>
      <c r="B18" s="138"/>
      <c r="C18" s="138"/>
      <c r="D18" s="138"/>
      <c r="E18" s="138"/>
      <c r="F18" s="138"/>
      <c r="G18" s="138"/>
      <c r="H18" s="138"/>
      <c r="I18" s="138"/>
      <c r="J18" s="138"/>
      <c r="K18" s="138"/>
      <c r="L18" s="138"/>
      <c r="M18" s="635" t="s">
        <v>397</v>
      </c>
      <c r="N18" s="637" t="s">
        <v>56</v>
      </c>
      <c r="O18" s="636">
        <v>20.050889999999999</v>
      </c>
      <c r="P18" s="637">
        <v>7.3374696699999999</v>
      </c>
      <c r="Q18" s="637">
        <v>0.49185798818240317</v>
      </c>
      <c r="R18" s="637"/>
      <c r="U18" s="548" t="s">
        <v>71</v>
      </c>
      <c r="V18" s="638">
        <v>0.83157483254085252</v>
      </c>
      <c r="W18" s="639">
        <v>0.90156376828053775</v>
      </c>
      <c r="X18" s="766"/>
      <c r="Y18" s="733"/>
      <c r="Z18" s="698"/>
    </row>
    <row r="19" spans="1:26">
      <c r="A19" s="136"/>
      <c r="B19" s="138"/>
      <c r="C19" s="138"/>
      <c r="D19" s="138"/>
      <c r="E19" s="138"/>
      <c r="F19" s="138"/>
      <c r="G19" s="138"/>
      <c r="H19" s="138"/>
      <c r="I19" s="138"/>
      <c r="J19" s="138"/>
      <c r="K19" s="138"/>
      <c r="L19" s="138"/>
      <c r="M19" s="635" t="s">
        <v>402</v>
      </c>
      <c r="N19" s="637" t="s">
        <v>56</v>
      </c>
      <c r="O19" s="636">
        <v>20.365970000000001</v>
      </c>
      <c r="P19" s="637">
        <v>6.3676081849999999</v>
      </c>
      <c r="Q19" s="637">
        <v>0.42024087985407621</v>
      </c>
      <c r="R19" s="637"/>
      <c r="U19" s="548" t="s">
        <v>65</v>
      </c>
      <c r="V19" s="638">
        <v>0.81685500551536872</v>
      </c>
      <c r="W19" s="639">
        <v>0.83070491756908893</v>
      </c>
      <c r="X19" s="766"/>
      <c r="Y19" s="733"/>
      <c r="Z19" s="698"/>
    </row>
    <row r="20" spans="1:26">
      <c r="A20" s="136"/>
      <c r="B20" s="138"/>
      <c r="C20" s="138"/>
      <c r="D20" s="138"/>
      <c r="E20" s="138"/>
      <c r="F20" s="138"/>
      <c r="G20" s="138"/>
      <c r="H20" s="138"/>
      <c r="I20" s="138"/>
      <c r="J20" s="138"/>
      <c r="K20" s="138"/>
      <c r="L20" s="138"/>
      <c r="M20" s="635" t="s">
        <v>67</v>
      </c>
      <c r="N20" s="637" t="s">
        <v>56</v>
      </c>
      <c r="O20" s="636">
        <v>9.5660000000000007</v>
      </c>
      <c r="P20" s="637">
        <v>5.7231339375000001</v>
      </c>
      <c r="Q20" s="637">
        <v>0.80413802264235557</v>
      </c>
      <c r="R20" s="637"/>
      <c r="U20" s="548" t="s">
        <v>72</v>
      </c>
      <c r="V20" s="638">
        <v>0.81225701742834777</v>
      </c>
      <c r="W20" s="639">
        <v>0.83782974370599772</v>
      </c>
      <c r="X20" s="766"/>
      <c r="Y20" s="733"/>
      <c r="Z20" s="698"/>
    </row>
    <row r="21" spans="1:26">
      <c r="A21" s="136"/>
      <c r="B21" s="138"/>
      <c r="C21" s="138"/>
      <c r="D21" s="138"/>
      <c r="E21" s="138"/>
      <c r="F21" s="138"/>
      <c r="G21" s="138"/>
      <c r="H21" s="138"/>
      <c r="I21" s="138"/>
      <c r="J21" s="138"/>
      <c r="K21" s="138"/>
      <c r="L21" s="138"/>
      <c r="M21" s="635" t="s">
        <v>443</v>
      </c>
      <c r="N21" s="637" t="s">
        <v>56</v>
      </c>
      <c r="O21" s="636">
        <v>20.763359999999999</v>
      </c>
      <c r="P21" s="637">
        <v>5.5946121450000001</v>
      </c>
      <c r="Q21" s="637">
        <v>0.3621591100784608</v>
      </c>
      <c r="R21" s="637"/>
      <c r="U21" s="548" t="s">
        <v>58</v>
      </c>
      <c r="V21" s="638">
        <v>0.79939738475493394</v>
      </c>
      <c r="W21" s="639">
        <v>0.7741807804967048</v>
      </c>
      <c r="X21" s="766"/>
      <c r="Y21" s="733"/>
      <c r="Z21" s="698"/>
    </row>
    <row r="22" spans="1:26">
      <c r="A22" s="136"/>
      <c r="B22" s="138"/>
      <c r="C22" s="138"/>
      <c r="D22" s="138"/>
      <c r="E22" s="138"/>
      <c r="F22" s="138"/>
      <c r="G22" s="138"/>
      <c r="H22" s="138"/>
      <c r="I22" s="138"/>
      <c r="J22" s="138"/>
      <c r="K22" s="138"/>
      <c r="L22" s="138"/>
      <c r="M22" s="635" t="s">
        <v>62</v>
      </c>
      <c r="N22" s="637" t="s">
        <v>56</v>
      </c>
      <c r="O22" s="636">
        <v>9.9643300000000004</v>
      </c>
      <c r="P22" s="637">
        <v>4.8840316924999998</v>
      </c>
      <c r="Q22" s="637">
        <v>0.65880583305435436</v>
      </c>
      <c r="R22" s="637"/>
      <c r="U22" s="548" t="s">
        <v>432</v>
      </c>
      <c r="V22" s="638">
        <v>0.79561719059546043</v>
      </c>
      <c r="W22" s="639">
        <v>0.7625363726252592</v>
      </c>
      <c r="X22" s="766"/>
      <c r="Y22" s="733"/>
      <c r="Z22" s="698"/>
    </row>
    <row r="23" spans="1:26">
      <c r="A23" s="136"/>
      <c r="B23" s="138"/>
      <c r="C23" s="138"/>
      <c r="D23" s="138"/>
      <c r="E23" s="138"/>
      <c r="F23" s="138"/>
      <c r="G23" s="138"/>
      <c r="H23" s="138"/>
      <c r="I23" s="138"/>
      <c r="J23" s="138"/>
      <c r="K23" s="138"/>
      <c r="L23" s="138"/>
      <c r="M23" s="635" t="s">
        <v>63</v>
      </c>
      <c r="N23" s="637" t="s">
        <v>56</v>
      </c>
      <c r="O23" s="636">
        <v>9.85</v>
      </c>
      <c r="P23" s="637">
        <v>4.5562250200000003</v>
      </c>
      <c r="Q23" s="637">
        <v>0.62172166093553849</v>
      </c>
      <c r="R23" s="637"/>
      <c r="U23" s="548" t="s">
        <v>62</v>
      </c>
      <c r="V23" s="638">
        <v>0.79004355286133443</v>
      </c>
      <c r="W23" s="639">
        <v>0.79242135166060068</v>
      </c>
      <c r="X23" s="766"/>
      <c r="Y23" s="733"/>
      <c r="Z23" s="698"/>
    </row>
    <row r="24" spans="1:26">
      <c r="A24" s="136"/>
      <c r="B24" s="138"/>
      <c r="C24" s="138"/>
      <c r="D24" s="138"/>
      <c r="E24" s="138"/>
      <c r="F24" s="138"/>
      <c r="G24" s="138"/>
      <c r="H24" s="138"/>
      <c r="I24" s="138"/>
      <c r="J24" s="138"/>
      <c r="K24" s="138"/>
      <c r="L24" s="138"/>
      <c r="M24" s="635" t="s">
        <v>432</v>
      </c>
      <c r="N24" s="637" t="s">
        <v>56</v>
      </c>
      <c r="O24" s="636">
        <v>8.58</v>
      </c>
      <c r="P24" s="637">
        <v>4.1602801925000001</v>
      </c>
      <c r="Q24" s="637">
        <v>0.65172196413577466</v>
      </c>
      <c r="R24" s="637"/>
      <c r="U24" s="548" t="s">
        <v>63</v>
      </c>
      <c r="V24" s="638">
        <v>0.76603636515166806</v>
      </c>
      <c r="W24" s="639">
        <v>0.77739131922266691</v>
      </c>
      <c r="X24" s="766"/>
      <c r="Y24" s="733"/>
      <c r="Z24" s="698"/>
    </row>
    <row r="25" spans="1:26">
      <c r="A25" s="136"/>
      <c r="B25" s="138"/>
      <c r="C25" s="138"/>
      <c r="D25" s="138"/>
      <c r="E25" s="138"/>
      <c r="F25" s="138"/>
      <c r="G25" s="138"/>
      <c r="H25" s="138"/>
      <c r="I25" s="138"/>
      <c r="J25" s="138"/>
      <c r="K25" s="138"/>
      <c r="L25" s="138"/>
      <c r="M25" s="635" t="s">
        <v>69</v>
      </c>
      <c r="N25" s="637" t="s">
        <v>56</v>
      </c>
      <c r="O25" s="636">
        <v>5.67</v>
      </c>
      <c r="P25" s="637">
        <v>4.0775545525000005</v>
      </c>
      <c r="Q25" s="637">
        <v>0.96659331145341476</v>
      </c>
      <c r="R25" s="637"/>
      <c r="U25" s="548" t="s">
        <v>68</v>
      </c>
      <c r="V25" s="638">
        <v>0.75728539916328341</v>
      </c>
      <c r="W25" s="639">
        <v>0.66124276400089854</v>
      </c>
      <c r="X25" s="766"/>
      <c r="Y25" s="733"/>
      <c r="Z25" s="698"/>
    </row>
    <row r="26" spans="1:26">
      <c r="A26" s="136"/>
      <c r="B26" s="138"/>
      <c r="C26" s="138"/>
      <c r="D26" s="138"/>
      <c r="E26" s="138"/>
      <c r="F26" s="138"/>
      <c r="G26" s="138"/>
      <c r="H26" s="138"/>
      <c r="I26" s="138"/>
      <c r="J26" s="138"/>
      <c r="K26" s="138"/>
      <c r="L26" s="138"/>
      <c r="M26" s="635" t="s">
        <v>64</v>
      </c>
      <c r="N26" s="637" t="s">
        <v>56</v>
      </c>
      <c r="O26" s="636">
        <v>9.0798699999999997</v>
      </c>
      <c r="P26" s="637">
        <v>3.6703424675000003</v>
      </c>
      <c r="Q26" s="637">
        <v>0.54331791145735575</v>
      </c>
      <c r="R26" s="637"/>
      <c r="U26" s="548" t="s">
        <v>69</v>
      </c>
      <c r="V26" s="638">
        <v>0.74364344332901178</v>
      </c>
      <c r="W26" s="639">
        <v>0.93189133729282747</v>
      </c>
      <c r="X26" s="766"/>
      <c r="Y26" s="733"/>
      <c r="Z26" s="698"/>
    </row>
    <row r="27" spans="1:26">
      <c r="A27" s="136"/>
      <c r="B27" s="138"/>
      <c r="C27" s="138"/>
      <c r="D27" s="138"/>
      <c r="E27" s="138"/>
      <c r="F27" s="138"/>
      <c r="G27" s="138"/>
      <c r="H27" s="138"/>
      <c r="I27" s="138"/>
      <c r="J27" s="138"/>
      <c r="K27" s="138"/>
      <c r="L27" s="138"/>
      <c r="M27" s="635" t="s">
        <v>65</v>
      </c>
      <c r="N27" s="637" t="s">
        <v>56</v>
      </c>
      <c r="O27" s="636">
        <v>6.5019999999999998</v>
      </c>
      <c r="P27" s="637">
        <v>2.7849536625</v>
      </c>
      <c r="Q27" s="637">
        <v>0.57570244360296086</v>
      </c>
      <c r="R27" s="637"/>
      <c r="U27" s="548" t="s">
        <v>397</v>
      </c>
      <c r="V27" s="638">
        <v>0.717032974311269</v>
      </c>
      <c r="W27" s="639">
        <v>0.84726949714365718</v>
      </c>
      <c r="X27" s="766"/>
      <c r="Y27" s="733"/>
      <c r="Z27" s="698"/>
    </row>
    <row r="28" spans="1:26">
      <c r="A28" s="136"/>
      <c r="B28" s="138"/>
      <c r="C28" s="138"/>
      <c r="D28" s="138"/>
      <c r="E28" s="138"/>
      <c r="F28" s="138"/>
      <c r="G28" s="138"/>
      <c r="H28" s="138"/>
      <c r="I28" s="138"/>
      <c r="J28" s="138"/>
      <c r="K28" s="138"/>
      <c r="L28" s="138"/>
      <c r="M28" s="635" t="s">
        <v>71</v>
      </c>
      <c r="N28" s="637" t="s">
        <v>56</v>
      </c>
      <c r="O28" s="636">
        <v>3.91621</v>
      </c>
      <c r="P28" s="637">
        <v>2.6355838</v>
      </c>
      <c r="Q28" s="637">
        <v>0.90456113029843166</v>
      </c>
      <c r="R28" s="637"/>
      <c r="U28" s="548" t="s">
        <v>66</v>
      </c>
      <c r="V28" s="638">
        <v>0.70654122508655715</v>
      </c>
      <c r="W28" s="639">
        <v>0.74404148622155297</v>
      </c>
      <c r="X28" s="766"/>
      <c r="Y28" s="733"/>
      <c r="Z28" s="698"/>
    </row>
    <row r="29" spans="1:26">
      <c r="A29" s="136"/>
      <c r="B29" s="138"/>
      <c r="C29" s="138"/>
      <c r="D29" s="138"/>
      <c r="E29" s="138"/>
      <c r="F29" s="138"/>
      <c r="G29" s="138"/>
      <c r="H29" s="138"/>
      <c r="I29" s="138"/>
      <c r="J29" s="138"/>
      <c r="K29" s="138"/>
      <c r="L29" s="138"/>
      <c r="M29" s="635" t="s">
        <v>66</v>
      </c>
      <c r="N29" s="637" t="s">
        <v>56</v>
      </c>
      <c r="O29" s="636">
        <v>6.6360000000000001</v>
      </c>
      <c r="P29" s="637">
        <v>2.4477976250000002</v>
      </c>
      <c r="Q29" s="637">
        <v>0.49578821145819157</v>
      </c>
      <c r="R29" s="637"/>
      <c r="U29" s="548" t="s">
        <v>398</v>
      </c>
      <c r="V29" s="638">
        <v>0.64688554369011408</v>
      </c>
      <c r="W29" s="639">
        <v>0.43786656204026742</v>
      </c>
      <c r="X29" s="766"/>
      <c r="Y29" s="733"/>
      <c r="Z29" s="698"/>
    </row>
    <row r="30" spans="1:26">
      <c r="A30" s="136"/>
      <c r="B30" s="138"/>
      <c r="C30" s="138"/>
      <c r="D30" s="138"/>
      <c r="E30" s="138"/>
      <c r="F30" s="138"/>
      <c r="G30" s="138"/>
      <c r="H30" s="138"/>
      <c r="I30" s="138"/>
      <c r="J30" s="138"/>
      <c r="K30" s="138"/>
      <c r="L30" s="138"/>
      <c r="M30" s="548" t="s">
        <v>70</v>
      </c>
      <c r="N30" s="637" t="s">
        <v>56</v>
      </c>
      <c r="O30" s="636">
        <v>3.3107500000000001</v>
      </c>
      <c r="P30" s="637">
        <v>2.4358436824999998</v>
      </c>
      <c r="Q30" s="637">
        <v>0.98889479550568005</v>
      </c>
      <c r="R30" s="637"/>
      <c r="U30" s="548" t="s">
        <v>402</v>
      </c>
      <c r="V30" s="638">
        <v>0.61742881959724882</v>
      </c>
      <c r="W30" s="639">
        <v>0.69048767786564813</v>
      </c>
      <c r="X30" s="766"/>
      <c r="Y30" s="733"/>
      <c r="Z30" s="698"/>
    </row>
    <row r="31" spans="1:26">
      <c r="A31" s="136"/>
      <c r="B31" s="138"/>
      <c r="C31" s="138"/>
      <c r="D31" s="138"/>
      <c r="E31" s="138"/>
      <c r="F31" s="138"/>
      <c r="G31" s="138"/>
      <c r="H31" s="138"/>
      <c r="I31" s="138"/>
      <c r="J31" s="138"/>
      <c r="K31" s="138"/>
      <c r="L31" s="138"/>
      <c r="M31" s="635" t="s">
        <v>72</v>
      </c>
      <c r="N31" s="637" t="s">
        <v>56</v>
      </c>
      <c r="O31" s="637">
        <v>3.9729999999999999</v>
      </c>
      <c r="P31" s="637">
        <v>2.1330999999999998</v>
      </c>
      <c r="Q31" s="637">
        <v>0.7216385332174976</v>
      </c>
      <c r="R31" s="637"/>
      <c r="U31" s="548" t="s">
        <v>67</v>
      </c>
      <c r="V31" s="638">
        <v>0.59129025673097646</v>
      </c>
      <c r="W31" s="639">
        <v>0.79491296891896379</v>
      </c>
      <c r="X31" s="766"/>
      <c r="Y31" s="733"/>
      <c r="Z31" s="698"/>
    </row>
    <row r="32" spans="1:26">
      <c r="A32" s="136"/>
      <c r="B32" s="138"/>
      <c r="C32" s="138"/>
      <c r="D32" s="138"/>
      <c r="E32" s="138"/>
      <c r="F32" s="138"/>
      <c r="G32" s="138"/>
      <c r="H32" s="138"/>
      <c r="I32" s="138"/>
      <c r="J32" s="138"/>
      <c r="K32" s="138"/>
      <c r="L32" s="138"/>
      <c r="M32" s="635" t="s">
        <v>68</v>
      </c>
      <c r="N32" s="637" t="s">
        <v>56</v>
      </c>
      <c r="O32" s="637">
        <v>5.1890000000000001</v>
      </c>
      <c r="P32" s="637">
        <v>1.9627023975</v>
      </c>
      <c r="Q32" s="637">
        <v>0.50839099187798009</v>
      </c>
      <c r="R32" s="637"/>
      <c r="U32" s="548" t="s">
        <v>64</v>
      </c>
      <c r="V32" s="638">
        <v>0.54970395400058136</v>
      </c>
      <c r="W32" s="639">
        <v>0.68954938649358455</v>
      </c>
      <c r="X32" s="766"/>
      <c r="Y32" s="733"/>
      <c r="Z32" s="698"/>
    </row>
    <row r="33" spans="1:26">
      <c r="A33" s="136"/>
      <c r="B33" s="138"/>
      <c r="C33" s="138"/>
      <c r="D33" s="138"/>
      <c r="E33" s="138"/>
      <c r="F33" s="138"/>
      <c r="G33" s="138"/>
      <c r="H33" s="138"/>
      <c r="I33" s="138"/>
      <c r="J33" s="138"/>
      <c r="K33" s="138"/>
      <c r="L33" s="138"/>
      <c r="M33" s="635" t="s">
        <v>398</v>
      </c>
      <c r="N33" s="637" t="s">
        <v>56</v>
      </c>
      <c r="O33" s="637">
        <v>0.678643</v>
      </c>
      <c r="P33" s="637">
        <v>0.47256999999999999</v>
      </c>
      <c r="Q33" s="637">
        <v>0.93594825435876561</v>
      </c>
      <c r="R33" s="637"/>
      <c r="U33" s="548" t="s">
        <v>443</v>
      </c>
      <c r="V33" s="638">
        <v>0.54275951342498374</v>
      </c>
      <c r="W33" s="639">
        <v>0.63843829879418423</v>
      </c>
      <c r="X33" s="766"/>
      <c r="Y33" s="733"/>
      <c r="Z33" s="698"/>
    </row>
    <row r="34" spans="1:26">
      <c r="B34" s="138"/>
      <c r="C34" s="138"/>
      <c r="D34" s="138"/>
      <c r="E34" s="138"/>
      <c r="F34" s="138"/>
      <c r="G34" s="138"/>
      <c r="H34" s="138"/>
      <c r="I34" s="138"/>
      <c r="J34" s="138"/>
      <c r="K34" s="138"/>
      <c r="L34" s="138"/>
      <c r="M34" s="635" t="s">
        <v>73</v>
      </c>
      <c r="N34" s="637" t="s">
        <v>56</v>
      </c>
      <c r="O34" s="637">
        <v>1.7689999999999999</v>
      </c>
      <c r="P34" s="637">
        <v>0.34859285249999999</v>
      </c>
      <c r="Q34" s="637">
        <v>0.26486081415598389</v>
      </c>
      <c r="R34" s="637"/>
      <c r="U34" s="548" t="s">
        <v>73</v>
      </c>
      <c r="V34" s="638">
        <v>0.34111055021357528</v>
      </c>
      <c r="W34" s="639">
        <v>0.1717787164459785</v>
      </c>
      <c r="X34" s="766"/>
      <c r="Y34" s="733"/>
      <c r="Z34" s="698"/>
    </row>
    <row r="35" spans="1:26">
      <c r="A35" s="136"/>
      <c r="B35" s="138"/>
      <c r="C35" s="138"/>
      <c r="D35" s="138"/>
      <c r="E35" s="138"/>
      <c r="F35" s="138"/>
      <c r="G35" s="138"/>
      <c r="H35" s="138"/>
      <c r="I35" s="138"/>
      <c r="J35" s="138"/>
      <c r="K35" s="138"/>
      <c r="L35" s="138"/>
      <c r="M35" s="635" t="s">
        <v>404</v>
      </c>
      <c r="N35" s="637" t="s">
        <v>210</v>
      </c>
      <c r="O35" s="636">
        <v>132.30000000000001</v>
      </c>
      <c r="P35" s="637">
        <v>43.749299749999999</v>
      </c>
      <c r="Q35" s="637">
        <v>0.44446577660335335</v>
      </c>
      <c r="R35" s="637"/>
      <c r="T35" s="548" t="s">
        <v>421</v>
      </c>
      <c r="U35" s="548" t="s">
        <v>76</v>
      </c>
      <c r="V35" s="638">
        <v>0.80288459732149942</v>
      </c>
      <c r="W35" s="639">
        <v>0.67130427844319129</v>
      </c>
      <c r="X35" s="766"/>
      <c r="Y35" s="733"/>
      <c r="Z35" s="698"/>
    </row>
    <row r="36" spans="1:26" ht="10.95" customHeight="1">
      <c r="A36" s="136"/>
      <c r="B36" s="138"/>
      <c r="C36" s="138"/>
      <c r="D36" s="138"/>
      <c r="E36" s="138"/>
      <c r="F36" s="138"/>
      <c r="G36" s="138"/>
      <c r="H36" s="138"/>
      <c r="I36" s="138"/>
      <c r="J36" s="138"/>
      <c r="K36" s="138"/>
      <c r="L36" s="138"/>
      <c r="M36" s="635" t="s">
        <v>74</v>
      </c>
      <c r="N36" s="637" t="s">
        <v>210</v>
      </c>
      <c r="O36" s="636">
        <v>97.15</v>
      </c>
      <c r="P36" s="637">
        <v>38.773152197499996</v>
      </c>
      <c r="Q36" s="637">
        <v>0.53643285515553485</v>
      </c>
      <c r="R36" s="637"/>
      <c r="U36" s="548" t="s">
        <v>74</v>
      </c>
      <c r="V36" s="638">
        <v>0.70892936930877481</v>
      </c>
      <c r="W36" s="639">
        <v>0.62327571910088742</v>
      </c>
      <c r="X36" s="766"/>
      <c r="Y36" s="733"/>
      <c r="Z36" s="698"/>
    </row>
    <row r="37" spans="1:26">
      <c r="A37" s="136"/>
      <c r="B37" s="138"/>
      <c r="C37" s="138"/>
      <c r="D37" s="138"/>
      <c r="E37" s="138"/>
      <c r="F37" s="138"/>
      <c r="G37" s="138"/>
      <c r="H37" s="138"/>
      <c r="I37" s="138"/>
      <c r="J37" s="138"/>
      <c r="K37" s="138"/>
      <c r="L37" s="138"/>
      <c r="M37" s="635" t="s">
        <v>75</v>
      </c>
      <c r="N37" s="637" t="s">
        <v>210</v>
      </c>
      <c r="O37" s="636">
        <v>83.15</v>
      </c>
      <c r="P37" s="637">
        <v>26.4007150825</v>
      </c>
      <c r="Q37" s="637">
        <v>0.42675685027221172</v>
      </c>
      <c r="R37" s="637"/>
      <c r="U37" s="548" t="s">
        <v>454</v>
      </c>
      <c r="V37" s="638">
        <v>0.70351544104120689</v>
      </c>
      <c r="W37" s="639">
        <v>0.36311814506898299</v>
      </c>
      <c r="X37" s="766"/>
      <c r="Y37" s="733"/>
      <c r="Z37" s="698"/>
    </row>
    <row r="38" spans="1:26" ht="11.25" customHeight="1">
      <c r="A38" s="136"/>
      <c r="B38" s="138"/>
      <c r="C38" s="138"/>
      <c r="D38" s="138"/>
      <c r="E38" s="138"/>
      <c r="F38" s="138"/>
      <c r="G38" s="138"/>
      <c r="H38" s="138"/>
      <c r="I38" s="138"/>
      <c r="J38" s="138"/>
      <c r="K38" s="138"/>
      <c r="L38" s="138"/>
      <c r="M38" s="635" t="s">
        <v>76</v>
      </c>
      <c r="N38" s="637" t="s">
        <v>210</v>
      </c>
      <c r="O38" s="636">
        <v>32</v>
      </c>
      <c r="P38" s="637">
        <v>12.33778596</v>
      </c>
      <c r="Q38" s="637">
        <v>0.51822017641129026</v>
      </c>
      <c r="R38" s="640"/>
      <c r="U38" s="548" t="s">
        <v>404</v>
      </c>
      <c r="V38" s="638">
        <v>0.69777965032724165</v>
      </c>
      <c r="W38" s="639">
        <v>0.51500016320607211</v>
      </c>
      <c r="X38" s="766"/>
      <c r="Y38" s="733"/>
      <c r="Z38" s="698"/>
    </row>
    <row r="39" spans="1:26">
      <c r="A39" s="136"/>
      <c r="B39" s="138"/>
      <c r="C39" s="138"/>
      <c r="D39" s="138"/>
      <c r="E39" s="138"/>
      <c r="F39" s="138"/>
      <c r="G39" s="138"/>
      <c r="H39" s="138"/>
      <c r="I39" s="138"/>
      <c r="J39" s="138"/>
      <c r="K39" s="138"/>
      <c r="L39" s="138"/>
      <c r="M39" s="635" t="s">
        <v>77</v>
      </c>
      <c r="N39" s="637" t="s">
        <v>210</v>
      </c>
      <c r="O39" s="636">
        <v>30.86</v>
      </c>
      <c r="P39" s="637">
        <v>10.0025321625</v>
      </c>
      <c r="Q39" s="637">
        <v>0.43565339142171722</v>
      </c>
      <c r="U39" s="548" t="s">
        <v>453</v>
      </c>
      <c r="V39" s="638">
        <v>0.30089376386230432</v>
      </c>
      <c r="W39" s="639">
        <v>0.27114464005462879</v>
      </c>
      <c r="X39" s="766"/>
      <c r="Y39" s="733"/>
      <c r="Z39" s="698"/>
    </row>
    <row r="40" spans="1:26">
      <c r="A40" s="136"/>
      <c r="B40" s="138"/>
      <c r="C40" s="138"/>
      <c r="D40" s="138"/>
      <c r="E40" s="138"/>
      <c r="F40" s="138"/>
      <c r="G40" s="138"/>
      <c r="H40" s="138"/>
      <c r="I40" s="138"/>
      <c r="J40" s="138"/>
      <c r="K40" s="138"/>
      <c r="L40" s="138"/>
      <c r="M40" s="635" t="s">
        <v>454</v>
      </c>
      <c r="N40" s="637" t="s">
        <v>210</v>
      </c>
      <c r="O40" s="636">
        <v>18.37</v>
      </c>
      <c r="P40" s="637">
        <v>8.058208282499999</v>
      </c>
      <c r="Q40" s="637">
        <v>0.58959853624861702</v>
      </c>
      <c r="U40" s="548" t="s">
        <v>75</v>
      </c>
      <c r="V40" s="638">
        <v>0.5031723132458954</v>
      </c>
      <c r="W40" s="639">
        <v>0.44797744939529216</v>
      </c>
      <c r="X40" s="766"/>
      <c r="Y40" s="733"/>
      <c r="Z40" s="698"/>
    </row>
    <row r="41" spans="1:26">
      <c r="A41" s="136"/>
      <c r="B41" s="138"/>
      <c r="C41" s="138"/>
      <c r="D41" s="138"/>
      <c r="E41" s="138"/>
      <c r="F41" s="138"/>
      <c r="G41" s="138"/>
      <c r="H41" s="138"/>
      <c r="I41" s="138"/>
      <c r="J41" s="138"/>
      <c r="K41" s="138"/>
      <c r="L41" s="138"/>
      <c r="M41" s="548" t="s">
        <v>453</v>
      </c>
      <c r="N41" s="637" t="s">
        <v>210</v>
      </c>
      <c r="O41" s="636">
        <v>18.37</v>
      </c>
      <c r="P41" s="637">
        <v>6.3800188325000002</v>
      </c>
      <c r="Q41" s="637">
        <v>0.46680969677214484</v>
      </c>
      <c r="U41" s="548" t="s">
        <v>77</v>
      </c>
      <c r="V41" s="638">
        <v>0.49303451083529587</v>
      </c>
      <c r="W41" s="639">
        <v>0.41164742655001074</v>
      </c>
      <c r="X41" s="766"/>
      <c r="Y41" s="733"/>
      <c r="Z41" s="698"/>
    </row>
    <row r="42" spans="1:26">
      <c r="A42" s="136"/>
      <c r="B42" s="138"/>
      <c r="C42" s="138"/>
      <c r="D42" s="138"/>
      <c r="E42" s="138"/>
      <c r="F42" s="138"/>
      <c r="G42" s="138"/>
      <c r="H42" s="138"/>
      <c r="I42" s="138"/>
      <c r="J42" s="138"/>
      <c r="K42" s="138"/>
      <c r="L42" s="138"/>
      <c r="M42" s="548" t="s">
        <v>405</v>
      </c>
      <c r="N42" s="637" t="s">
        <v>78</v>
      </c>
      <c r="O42" s="636">
        <v>144.47999999999999</v>
      </c>
      <c r="P42" s="637">
        <v>31.416789250000001</v>
      </c>
      <c r="Q42" s="637">
        <v>0.29226790747165965</v>
      </c>
      <c r="T42" s="548" t="s">
        <v>413</v>
      </c>
      <c r="U42" s="548" t="s">
        <v>224</v>
      </c>
      <c r="V42" s="638">
        <v>0.39927622854832173</v>
      </c>
      <c r="W42" s="639">
        <v>0.32652902714541943</v>
      </c>
      <c r="X42" s="766"/>
      <c r="Y42" s="733"/>
      <c r="Z42" s="698"/>
    </row>
    <row r="43" spans="1:26" ht="36" customHeight="1">
      <c r="A43" s="87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mayo 2023.
Nota: Son consideradas las centrales adjudicadas por subasta RER y cuenten con operación comercial</v>
      </c>
      <c r="B43" s="875"/>
      <c r="C43" s="875"/>
      <c r="D43" s="875"/>
      <c r="E43" s="875"/>
      <c r="F43" s="875"/>
      <c r="G43" s="875"/>
      <c r="H43" s="875"/>
      <c r="I43" s="875"/>
      <c r="J43" s="875"/>
      <c r="K43" s="875"/>
      <c r="L43" s="875"/>
      <c r="M43" s="635" t="s">
        <v>406</v>
      </c>
      <c r="N43" s="637" t="s">
        <v>78</v>
      </c>
      <c r="O43" s="636">
        <v>44.54</v>
      </c>
      <c r="P43" s="637">
        <v>7.5567521324999998</v>
      </c>
      <c r="Q43" s="637">
        <v>0.2280405233335023</v>
      </c>
      <c r="U43" s="548" t="s">
        <v>79</v>
      </c>
      <c r="V43" s="638">
        <v>0.33731572209457727</v>
      </c>
      <c r="W43" s="639">
        <v>0.3344978093956954</v>
      </c>
      <c r="X43" s="766"/>
      <c r="Y43" s="733"/>
      <c r="Z43" s="698"/>
    </row>
    <row r="44" spans="1:26" ht="18" customHeight="1">
      <c r="A44" s="136"/>
      <c r="B44" s="138"/>
      <c r="C44" s="138"/>
      <c r="D44" s="138"/>
      <c r="E44" s="138"/>
      <c r="F44" s="138"/>
      <c r="G44" s="138"/>
      <c r="H44" s="138"/>
      <c r="I44" s="138"/>
      <c r="J44" s="138"/>
      <c r="K44" s="138"/>
      <c r="L44" s="138"/>
      <c r="M44" s="635" t="s">
        <v>225</v>
      </c>
      <c r="N44" s="637" t="s">
        <v>78</v>
      </c>
      <c r="O44" s="636">
        <v>20</v>
      </c>
      <c r="P44" s="637">
        <v>3.8275518525000001</v>
      </c>
      <c r="Q44" s="637">
        <v>0.2572279470766129</v>
      </c>
      <c r="U44" s="548" t="s">
        <v>225</v>
      </c>
      <c r="V44" s="638">
        <v>0.32254707224623597</v>
      </c>
      <c r="W44" s="639">
        <v>0.32498136541114792</v>
      </c>
      <c r="X44" s="766"/>
      <c r="Y44" s="733"/>
      <c r="Z44" s="698"/>
    </row>
    <row r="45" spans="1:26" ht="12">
      <c r="A45" s="136"/>
      <c r="B45" s="138"/>
      <c r="C45" s="879" t="str">
        <f>"Factor de planta de las centrales RER  Acumulado al "&amp;'1. Resumen'!Q7&amp;" de "&amp;'1. Resumen'!Q4</f>
        <v>Factor de planta de las centrales RER  Acumulado al 31 de mayo</v>
      </c>
      <c r="D45" s="879"/>
      <c r="E45" s="879"/>
      <c r="F45" s="879"/>
      <c r="G45" s="879"/>
      <c r="H45" s="879"/>
      <c r="I45" s="879"/>
      <c r="J45" s="879"/>
      <c r="K45" s="138"/>
      <c r="L45" s="138"/>
      <c r="M45" s="635" t="s">
        <v>80</v>
      </c>
      <c r="N45" s="637" t="s">
        <v>78</v>
      </c>
      <c r="O45" s="636">
        <v>20</v>
      </c>
      <c r="P45" s="637">
        <v>3.5078406725</v>
      </c>
      <c r="Q45" s="637">
        <v>0.23574198067876345</v>
      </c>
      <c r="U45" s="548" t="s">
        <v>405</v>
      </c>
      <c r="V45" s="638">
        <v>0.31780875076658716</v>
      </c>
      <c r="W45" s="639">
        <v>0.3383795840155393</v>
      </c>
      <c r="X45" s="766"/>
      <c r="Y45" s="733"/>
      <c r="Z45" s="698"/>
    </row>
    <row r="46" spans="1:26" ht="9.75" customHeight="1">
      <c r="A46" s="136"/>
      <c r="B46" s="138"/>
      <c r="C46" s="138"/>
      <c r="D46" s="138"/>
      <c r="E46" s="138"/>
      <c r="F46" s="138"/>
      <c r="G46" s="138"/>
      <c r="H46" s="138"/>
      <c r="I46" s="138"/>
      <c r="J46" s="138"/>
      <c r="K46" s="138"/>
      <c r="L46" s="138"/>
      <c r="M46" s="635" t="s">
        <v>226</v>
      </c>
      <c r="N46" s="637" t="s">
        <v>78</v>
      </c>
      <c r="O46" s="636">
        <v>20</v>
      </c>
      <c r="P46" s="637">
        <v>3.4053330000000002</v>
      </c>
      <c r="Q46" s="637">
        <v>0.22885302419354839</v>
      </c>
      <c r="U46" s="547" t="s">
        <v>226</v>
      </c>
      <c r="V46" s="638">
        <v>0.25054933521786782</v>
      </c>
      <c r="W46" s="639">
        <v>0.26178993584437088</v>
      </c>
      <c r="X46" s="766"/>
      <c r="Y46" s="733"/>
      <c r="Z46" s="698"/>
    </row>
    <row r="47" spans="1:26" ht="9.75" customHeight="1">
      <c r="A47" s="136"/>
      <c r="B47" s="138"/>
      <c r="C47" s="138"/>
      <c r="D47" s="138"/>
      <c r="E47" s="138"/>
      <c r="F47" s="138"/>
      <c r="G47" s="138"/>
      <c r="H47" s="138"/>
      <c r="I47" s="138"/>
      <c r="J47" s="138"/>
      <c r="K47" s="138"/>
      <c r="L47" s="138"/>
      <c r="M47" s="635" t="s">
        <v>79</v>
      </c>
      <c r="N47" s="637" t="s">
        <v>78</v>
      </c>
      <c r="O47" s="636">
        <v>16</v>
      </c>
      <c r="P47" s="637">
        <v>3.1830456525000002</v>
      </c>
      <c r="Q47" s="637">
        <v>0.26739294795866936</v>
      </c>
      <c r="U47" s="548" t="s">
        <v>406</v>
      </c>
      <c r="V47" s="638">
        <v>0.32579277535182122</v>
      </c>
      <c r="W47" s="639">
        <v>0.26734579359364952</v>
      </c>
      <c r="Y47" s="733"/>
      <c r="Z47" s="698"/>
    </row>
    <row r="48" spans="1:26" ht="9.75" customHeight="1">
      <c r="A48" s="136"/>
      <c r="B48" s="138"/>
      <c r="C48" s="138"/>
      <c r="D48" s="138"/>
      <c r="E48" s="138"/>
      <c r="F48" s="138"/>
      <c r="G48" s="138"/>
      <c r="H48" s="138"/>
      <c r="I48" s="138"/>
      <c r="J48" s="138"/>
      <c r="K48" s="138"/>
      <c r="L48" s="138"/>
      <c r="M48" s="635" t="s">
        <v>224</v>
      </c>
      <c r="N48" s="637" t="s">
        <v>78</v>
      </c>
      <c r="O48" s="636">
        <v>20</v>
      </c>
      <c r="P48" s="637">
        <v>3.1035376800000001</v>
      </c>
      <c r="Q48" s="637">
        <v>0.20857108064516128</v>
      </c>
      <c r="U48" s="548" t="s">
        <v>80</v>
      </c>
      <c r="V48" s="638">
        <v>0.32542975299220472</v>
      </c>
      <c r="W48" s="639">
        <v>0.24662783992135764</v>
      </c>
      <c r="Y48" s="733"/>
      <c r="Z48" s="698"/>
    </row>
    <row r="49" spans="1:26" ht="9.75" customHeight="1">
      <c r="A49" s="136"/>
      <c r="B49" s="138"/>
      <c r="C49" s="138"/>
      <c r="D49" s="138"/>
      <c r="E49" s="138"/>
      <c r="F49" s="138"/>
      <c r="G49" s="138"/>
      <c r="H49" s="138"/>
      <c r="I49" s="138"/>
      <c r="J49" s="138"/>
      <c r="K49" s="138"/>
      <c r="L49" s="138"/>
      <c r="M49" s="635" t="s">
        <v>81</v>
      </c>
      <c r="N49" s="637" t="s">
        <v>385</v>
      </c>
      <c r="O49" s="636">
        <v>12.74105</v>
      </c>
      <c r="P49" s="637">
        <v>4.3834259900000001</v>
      </c>
      <c r="Q49" s="637">
        <v>0.46241884298879338</v>
      </c>
      <c r="T49" s="548" t="s">
        <v>414</v>
      </c>
      <c r="U49" s="548" t="s">
        <v>81</v>
      </c>
      <c r="V49" s="663">
        <v>0.32046804335678808</v>
      </c>
      <c r="W49" s="639">
        <v>0.73787272874480148</v>
      </c>
      <c r="Y49" s="733"/>
      <c r="Z49" s="698"/>
    </row>
    <row r="50" spans="1:26" ht="9.75" customHeight="1">
      <c r="A50" s="136"/>
      <c r="B50" s="138"/>
      <c r="C50" s="138"/>
      <c r="D50" s="138"/>
      <c r="E50" s="138"/>
      <c r="F50" s="138"/>
      <c r="G50" s="138"/>
      <c r="H50" s="138"/>
      <c r="I50" s="138"/>
      <c r="J50" s="138"/>
      <c r="K50" s="138"/>
      <c r="L50" s="138"/>
      <c r="M50" s="635" t="s">
        <v>82</v>
      </c>
      <c r="N50" s="637" t="s">
        <v>385</v>
      </c>
      <c r="O50" s="636">
        <v>4.2625000000000002</v>
      </c>
      <c r="P50" s="637">
        <v>2.0994484674999998</v>
      </c>
      <c r="Q50" s="637">
        <v>0.66201509396777336</v>
      </c>
      <c r="U50" s="548" t="s">
        <v>407</v>
      </c>
      <c r="V50" s="663">
        <v>0.31447601910344847</v>
      </c>
      <c r="W50" s="639">
        <v>0.67067745843681026</v>
      </c>
    </row>
    <row r="51" spans="1:26" ht="20.25" customHeight="1">
      <c r="A51" s="136"/>
      <c r="B51" s="138"/>
      <c r="C51" s="138"/>
      <c r="D51" s="138"/>
      <c r="E51" s="138"/>
      <c r="F51" s="138"/>
      <c r="G51" s="138"/>
      <c r="H51" s="138"/>
      <c r="I51" s="138"/>
      <c r="J51" s="138"/>
      <c r="K51" s="138"/>
      <c r="L51" s="138"/>
      <c r="M51" s="635" t="s">
        <v>83</v>
      </c>
      <c r="N51" s="637" t="s">
        <v>385</v>
      </c>
      <c r="O51" s="636">
        <v>2.9537</v>
      </c>
      <c r="P51" s="637">
        <v>1.5584336249999999</v>
      </c>
      <c r="Q51" s="637">
        <v>0.70916777289719723</v>
      </c>
      <c r="U51" s="548" t="s">
        <v>442</v>
      </c>
      <c r="V51" s="663">
        <v>0.24873263520971303</v>
      </c>
      <c r="W51" s="639">
        <v>0.62968120803440042</v>
      </c>
    </row>
    <row r="52" spans="1:26" ht="9.75" customHeight="1">
      <c r="A52" s="136"/>
      <c r="B52" s="138"/>
      <c r="C52" s="138"/>
      <c r="D52" s="138"/>
      <c r="E52" s="138"/>
      <c r="F52" s="138"/>
      <c r="G52" s="138"/>
      <c r="H52" s="138"/>
      <c r="I52" s="138"/>
      <c r="J52" s="138"/>
      <c r="K52" s="138"/>
      <c r="L52" s="138"/>
      <c r="M52" s="635" t="s">
        <v>407</v>
      </c>
      <c r="N52" s="637" t="s">
        <v>385</v>
      </c>
      <c r="O52" s="636">
        <v>2.4</v>
      </c>
      <c r="P52" s="637">
        <v>1.3844009075000001</v>
      </c>
      <c r="Q52" s="637">
        <v>0.77531412830421154</v>
      </c>
      <c r="U52" s="548" t="s">
        <v>82</v>
      </c>
      <c r="V52" s="663">
        <v>0.24216410307140146</v>
      </c>
      <c r="W52" s="639">
        <v>0.72214144526875246</v>
      </c>
    </row>
    <row r="53" spans="1:26" ht="9.75" customHeight="1">
      <c r="B53" s="138"/>
      <c r="C53" s="138"/>
      <c r="D53" s="138"/>
      <c r="E53" s="138"/>
      <c r="F53" s="138"/>
      <c r="G53" s="138"/>
      <c r="H53" s="138"/>
      <c r="I53" s="138"/>
      <c r="J53" s="138"/>
      <c r="K53" s="138"/>
      <c r="L53" s="138"/>
      <c r="M53" s="635" t="s">
        <v>442</v>
      </c>
      <c r="N53" s="637" t="s">
        <v>385</v>
      </c>
      <c r="O53" s="636">
        <v>2.4</v>
      </c>
      <c r="P53" s="637">
        <v>0.71315105000000001</v>
      </c>
      <c r="Q53" s="637">
        <v>0.39939014896953412</v>
      </c>
      <c r="U53" s="548" t="s">
        <v>83</v>
      </c>
      <c r="V53" s="663">
        <v>0.24058387579332233</v>
      </c>
      <c r="W53" s="639">
        <v>0.70727397572812656</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7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mayo.
Nota: Son consideradas las centrales adjudicadas por subasta RER y cuenten con operación comercial</v>
      </c>
      <c r="B64" s="875"/>
      <c r="C64" s="875"/>
      <c r="D64" s="875"/>
      <c r="E64" s="875"/>
      <c r="F64" s="875"/>
      <c r="G64" s="875"/>
      <c r="H64" s="875"/>
      <c r="I64" s="875"/>
      <c r="J64" s="875"/>
      <c r="K64" s="875"/>
      <c r="L64" s="875"/>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G3" sqref="G3:J3"/>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76" t="s">
        <v>228</v>
      </c>
      <c r="B1" s="876"/>
      <c r="C1" s="876"/>
      <c r="D1" s="876"/>
      <c r="E1" s="876"/>
      <c r="F1" s="876"/>
      <c r="G1" s="876"/>
      <c r="H1" s="876"/>
      <c r="I1" s="876"/>
      <c r="J1" s="876"/>
      <c r="K1" s="17"/>
    </row>
    <row r="2" spans="1:15" ht="6" customHeight="1">
      <c r="A2" s="17"/>
      <c r="B2" s="17"/>
      <c r="C2" s="17"/>
      <c r="D2" s="17"/>
      <c r="E2" s="17"/>
      <c r="F2" s="17"/>
      <c r="G2" s="17"/>
      <c r="H2" s="17"/>
      <c r="I2" s="17"/>
      <c r="J2" s="17"/>
      <c r="K2" s="17"/>
      <c r="L2" s="664"/>
      <c r="M2" s="707"/>
    </row>
    <row r="3" spans="1:15" ht="11.25" customHeight="1">
      <c r="A3" s="882" t="s">
        <v>238</v>
      </c>
      <c r="B3" s="883" t="str">
        <f>+'1. Resumen'!Q4</f>
        <v>mayo</v>
      </c>
      <c r="C3" s="884"/>
      <c r="D3" s="884"/>
      <c r="E3" s="138"/>
      <c r="F3" s="138"/>
      <c r="G3" s="885" t="s">
        <v>570</v>
      </c>
      <c r="H3" s="885"/>
      <c r="I3" s="885"/>
      <c r="J3" s="885"/>
      <c r="K3" s="138"/>
      <c r="M3" s="708"/>
      <c r="N3" s="709">
        <v>2023</v>
      </c>
      <c r="O3" s="709">
        <v>2022</v>
      </c>
    </row>
    <row r="4" spans="1:15" ht="11.25" customHeight="1">
      <c r="A4" s="882"/>
      <c r="B4" s="367">
        <f>+'1. Resumen'!Q5</f>
        <v>2023</v>
      </c>
      <c r="C4" s="368">
        <f>+B4-1</f>
        <v>2022</v>
      </c>
      <c r="D4" s="368" t="s">
        <v>34</v>
      </c>
      <c r="E4" s="138"/>
      <c r="F4" s="138"/>
      <c r="G4" s="138"/>
      <c r="H4" s="138"/>
      <c r="I4" s="138"/>
      <c r="J4" s="138"/>
      <c r="K4" s="138"/>
      <c r="L4" s="714"/>
      <c r="M4" s="710" t="s">
        <v>394</v>
      </c>
      <c r="N4" s="711"/>
      <c r="O4" s="711">
        <v>0.19607749999999999</v>
      </c>
    </row>
    <row r="5" spans="1:15" ht="10.5" customHeight="1">
      <c r="A5" s="585" t="s">
        <v>392</v>
      </c>
      <c r="B5" s="735">
        <v>1025.2554394075</v>
      </c>
      <c r="C5" s="736">
        <v>741.06155749999994</v>
      </c>
      <c r="D5" s="586">
        <f>IF(C5=0,"",B5/C5-1)</f>
        <v>0.3834956476034721</v>
      </c>
      <c r="E5" s="138"/>
      <c r="F5" s="138"/>
      <c r="G5" s="138"/>
      <c r="H5" s="138"/>
      <c r="I5" s="138"/>
      <c r="J5" s="138"/>
      <c r="K5" s="138"/>
      <c r="L5" s="715"/>
      <c r="M5" s="710" t="s">
        <v>229</v>
      </c>
      <c r="N5" s="711">
        <v>0</v>
      </c>
      <c r="O5" s="711">
        <v>0</v>
      </c>
    </row>
    <row r="6" spans="1:15" ht="10.5" customHeight="1">
      <c r="A6" s="587" t="s">
        <v>85</v>
      </c>
      <c r="B6" s="737">
        <v>749.91656310250016</v>
      </c>
      <c r="C6" s="737">
        <v>541.97623009500001</v>
      </c>
      <c r="D6" s="588">
        <f t="shared" ref="D6:D64" si="0">IF(C6=0,"",B6/C6-1)</f>
        <v>0.38367057715990871</v>
      </c>
      <c r="E6" s="322"/>
      <c r="F6" s="138"/>
      <c r="G6" s="138"/>
      <c r="H6" s="138"/>
      <c r="I6" s="138"/>
      <c r="J6" s="138"/>
      <c r="K6" s="138"/>
      <c r="M6" s="711" t="s">
        <v>117</v>
      </c>
      <c r="N6" s="711">
        <v>0</v>
      </c>
      <c r="O6" s="711">
        <v>8.4372436875000005</v>
      </c>
    </row>
    <row r="7" spans="1:15" ht="10.5" customHeight="1">
      <c r="A7" s="585" t="s">
        <v>86</v>
      </c>
      <c r="B7" s="736">
        <v>640.19472099999984</v>
      </c>
      <c r="C7" s="736">
        <v>580.23964099999989</v>
      </c>
      <c r="D7" s="586">
        <f t="shared" si="0"/>
        <v>0.10332813507307392</v>
      </c>
      <c r="E7" s="138"/>
      <c r="F7" s="138"/>
      <c r="G7" s="138"/>
      <c r="H7" s="138"/>
      <c r="I7" s="138"/>
      <c r="J7" s="138"/>
      <c r="K7" s="138"/>
      <c r="M7" s="710" t="s">
        <v>522</v>
      </c>
      <c r="N7" s="711">
        <v>0.24209149999999999</v>
      </c>
      <c r="O7" s="711">
        <v>0.25438965749999998</v>
      </c>
    </row>
    <row r="8" spans="1:15" ht="10.5" customHeight="1">
      <c r="A8" s="587" t="s">
        <v>87</v>
      </c>
      <c r="B8" s="737">
        <v>535.07461188000002</v>
      </c>
      <c r="C8" s="737">
        <v>624.43300392000003</v>
      </c>
      <c r="D8" s="588">
        <f t="shared" si="0"/>
        <v>-0.14310324963452492</v>
      </c>
      <c r="E8" s="138"/>
      <c r="F8" s="138"/>
      <c r="G8" s="138"/>
      <c r="H8" s="138"/>
      <c r="I8" s="138"/>
      <c r="J8" s="138"/>
      <c r="K8" s="138"/>
      <c r="M8" s="711" t="s">
        <v>114</v>
      </c>
      <c r="N8" s="711">
        <v>0.29337980499999999</v>
      </c>
      <c r="O8" s="711">
        <v>1.0664450000000001E-3</v>
      </c>
    </row>
    <row r="9" spans="1:15" ht="10.5" customHeight="1">
      <c r="A9" s="585" t="s">
        <v>234</v>
      </c>
      <c r="B9" s="736">
        <v>210.56191545000001</v>
      </c>
      <c r="C9" s="736">
        <v>211.23782075</v>
      </c>
      <c r="D9" s="586">
        <f t="shared" si="0"/>
        <v>-3.1997361911809685E-3</v>
      </c>
      <c r="E9" s="138"/>
      <c r="F9" s="138"/>
      <c r="G9" s="138"/>
      <c r="H9" s="138"/>
      <c r="I9" s="138"/>
      <c r="J9" s="138"/>
      <c r="K9" s="138"/>
      <c r="L9" s="714"/>
      <c r="M9" s="711" t="s">
        <v>449</v>
      </c>
      <c r="N9" s="711">
        <v>0.34859285249999999</v>
      </c>
      <c r="O9" s="711">
        <v>0</v>
      </c>
    </row>
    <row r="10" spans="1:15" ht="10.5" customHeight="1">
      <c r="A10" s="587" t="s">
        <v>88</v>
      </c>
      <c r="B10" s="737">
        <v>202.9092936975</v>
      </c>
      <c r="C10" s="737">
        <v>210.44621342500002</v>
      </c>
      <c r="D10" s="588">
        <f t="shared" si="0"/>
        <v>-3.5813995437775192E-2</v>
      </c>
      <c r="E10" s="138"/>
      <c r="F10" s="138"/>
      <c r="G10" s="138"/>
      <c r="H10" s="138"/>
      <c r="I10" s="138"/>
      <c r="J10" s="138"/>
      <c r="K10" s="138"/>
      <c r="L10" s="715"/>
      <c r="M10" s="711" t="s">
        <v>236</v>
      </c>
      <c r="N10" s="711">
        <v>0.47703449999999997</v>
      </c>
      <c r="O10" s="711">
        <v>2.0167449999999999E-3</v>
      </c>
    </row>
    <row r="11" spans="1:15" ht="10.5" customHeight="1">
      <c r="A11" s="585" t="s">
        <v>98</v>
      </c>
      <c r="B11" s="736">
        <v>200.14760925000002</v>
      </c>
      <c r="C11" s="736">
        <v>31.047562005</v>
      </c>
      <c r="D11" s="586">
        <f t="shared" si="0"/>
        <v>5.4464839209522342</v>
      </c>
      <c r="E11" s="138"/>
      <c r="F11" s="138"/>
      <c r="G11" s="138"/>
      <c r="H11" s="138"/>
      <c r="I11" s="138"/>
      <c r="J11" s="138"/>
      <c r="K11" s="138"/>
      <c r="L11" s="715"/>
      <c r="M11" s="710" t="s">
        <v>521</v>
      </c>
      <c r="N11" s="711">
        <v>1.7169163300000001</v>
      </c>
      <c r="O11" s="711">
        <v>1.9232616025000002</v>
      </c>
    </row>
    <row r="12" spans="1:15" ht="10.5" customHeight="1">
      <c r="A12" s="587" t="s">
        <v>230</v>
      </c>
      <c r="B12" s="737">
        <v>187.44593858499999</v>
      </c>
      <c r="C12" s="737">
        <v>155.8943597375</v>
      </c>
      <c r="D12" s="589">
        <f t="shared" si="0"/>
        <v>0.20239076577643722</v>
      </c>
      <c r="E12" s="138"/>
      <c r="F12" s="138"/>
      <c r="G12" s="138"/>
      <c r="H12" s="138"/>
      <c r="I12" s="138"/>
      <c r="J12" s="138"/>
      <c r="K12" s="138"/>
      <c r="L12" s="715"/>
      <c r="M12" s="710" t="s">
        <v>110</v>
      </c>
      <c r="N12" s="711">
        <v>1.9627023975</v>
      </c>
      <c r="O12" s="711">
        <v>1.9864998225000001</v>
      </c>
    </row>
    <row r="13" spans="1:15" ht="10.5" customHeight="1">
      <c r="A13" s="585" t="s">
        <v>90</v>
      </c>
      <c r="B13" s="736">
        <v>119.57049725000002</v>
      </c>
      <c r="C13" s="736">
        <v>119.12282750000001</v>
      </c>
      <c r="D13" s="586">
        <f t="shared" si="0"/>
        <v>3.7580517470507946E-3</v>
      </c>
      <c r="E13" s="138"/>
      <c r="F13" s="138"/>
      <c r="G13" s="138"/>
      <c r="H13" s="138"/>
      <c r="I13" s="138"/>
      <c r="J13" s="138"/>
      <c r="K13" s="138"/>
      <c r="L13" s="715"/>
      <c r="M13" s="711" t="s">
        <v>112</v>
      </c>
      <c r="N13" s="711">
        <v>2.1330999999999998</v>
      </c>
      <c r="O13" s="711">
        <v>2.3294999999999999</v>
      </c>
    </row>
    <row r="14" spans="1:15" ht="10.5" customHeight="1">
      <c r="A14" s="587" t="s">
        <v>91</v>
      </c>
      <c r="B14" s="737">
        <v>95.517348749999996</v>
      </c>
      <c r="C14" s="737">
        <v>98.50874675</v>
      </c>
      <c r="D14" s="588">
        <f t="shared" si="0"/>
        <v>-3.0366826283880211E-2</v>
      </c>
      <c r="E14" s="138"/>
      <c r="F14" s="138"/>
      <c r="G14" s="138"/>
      <c r="H14" s="138"/>
      <c r="I14" s="138"/>
      <c r="J14" s="138"/>
      <c r="K14" s="138"/>
      <c r="L14" s="715"/>
      <c r="M14" s="711" t="s">
        <v>115</v>
      </c>
      <c r="N14" s="711">
        <v>2.160896975</v>
      </c>
      <c r="O14" s="711">
        <v>0.93733993999999998</v>
      </c>
    </row>
    <row r="15" spans="1:15" ht="10.5" customHeight="1">
      <c r="A15" s="585" t="s">
        <v>92</v>
      </c>
      <c r="B15" s="736">
        <v>91.395645099999996</v>
      </c>
      <c r="C15" s="736">
        <v>96.643174674999997</v>
      </c>
      <c r="D15" s="586">
        <f t="shared" si="0"/>
        <v>-5.4297984235791574E-2</v>
      </c>
      <c r="E15" s="138"/>
      <c r="F15" s="138"/>
      <c r="G15" s="138"/>
      <c r="H15" s="138"/>
      <c r="I15" s="138"/>
      <c r="J15" s="138"/>
      <c r="K15" s="138" t="s">
        <v>8</v>
      </c>
      <c r="L15" s="715"/>
      <c r="M15" s="711" t="s">
        <v>113</v>
      </c>
      <c r="N15" s="711">
        <v>2.4358436824999998</v>
      </c>
      <c r="O15" s="711">
        <v>0.88898949999999999</v>
      </c>
    </row>
    <row r="16" spans="1:15" ht="10.5" customHeight="1">
      <c r="A16" s="587" t="s">
        <v>96</v>
      </c>
      <c r="B16" s="737">
        <v>76.881610499999994</v>
      </c>
      <c r="C16" s="737">
        <v>85.550378749999993</v>
      </c>
      <c r="D16" s="588">
        <f t="shared" si="0"/>
        <v>-0.10132939651070805</v>
      </c>
      <c r="E16" s="138"/>
      <c r="F16" s="138"/>
      <c r="G16" s="138"/>
      <c r="H16" s="138"/>
      <c r="I16" s="138"/>
      <c r="J16" s="138"/>
      <c r="K16" s="138"/>
      <c r="L16" s="715"/>
      <c r="M16" s="711" t="s">
        <v>111</v>
      </c>
      <c r="N16" s="711">
        <v>2.6355838</v>
      </c>
      <c r="O16" s="711">
        <v>2.6795507250000004</v>
      </c>
    </row>
    <row r="17" spans="1:15" ht="10.5" customHeight="1">
      <c r="A17" s="585" t="s">
        <v>93</v>
      </c>
      <c r="B17" s="736">
        <v>69.069491662499999</v>
      </c>
      <c r="C17" s="736">
        <v>61.9998369475</v>
      </c>
      <c r="D17" s="586">
        <f t="shared" si="0"/>
        <v>0.11402698882879991</v>
      </c>
      <c r="E17" s="138"/>
      <c r="F17" s="138"/>
      <c r="G17" s="138"/>
      <c r="H17" s="138"/>
      <c r="I17" s="138"/>
      <c r="J17" s="138"/>
      <c r="K17" s="138"/>
      <c r="L17" s="716"/>
      <c r="M17" s="710" t="s">
        <v>107</v>
      </c>
      <c r="N17" s="711">
        <v>3.1035376800000001</v>
      </c>
      <c r="O17" s="711">
        <v>3.8505087499999999</v>
      </c>
    </row>
    <row r="18" spans="1:15" ht="10.5" customHeight="1">
      <c r="A18" s="587" t="s">
        <v>408</v>
      </c>
      <c r="B18" s="737">
        <v>64.152565339999995</v>
      </c>
      <c r="C18" s="737">
        <v>65.70272180500001</v>
      </c>
      <c r="D18" s="588">
        <f t="shared" si="0"/>
        <v>-2.3593489316937943E-2</v>
      </c>
      <c r="E18" s="138"/>
      <c r="F18" s="138"/>
      <c r="G18" s="138"/>
      <c r="H18" s="138"/>
      <c r="I18" s="138"/>
      <c r="J18" s="138"/>
      <c r="K18" s="138"/>
      <c r="L18" s="715"/>
      <c r="M18" s="711" t="s">
        <v>108</v>
      </c>
      <c r="N18" s="711">
        <v>3.1830456525000002</v>
      </c>
      <c r="O18" s="711">
        <v>3.6861812500000002</v>
      </c>
    </row>
    <row r="19" spans="1:15" ht="10.5" customHeight="1">
      <c r="A19" s="585" t="s">
        <v>89</v>
      </c>
      <c r="B19" s="736">
        <v>63.423640654999993</v>
      </c>
      <c r="C19" s="736">
        <v>72.3474614</v>
      </c>
      <c r="D19" s="586">
        <f t="shared" si="0"/>
        <v>-0.12334670176830842</v>
      </c>
      <c r="E19" s="138"/>
      <c r="F19" s="138"/>
      <c r="G19" s="138"/>
      <c r="H19" s="138"/>
      <c r="I19" s="138"/>
      <c r="J19" s="138"/>
      <c r="K19" s="138"/>
      <c r="L19" s="715"/>
      <c r="M19" s="710" t="s">
        <v>409</v>
      </c>
      <c r="N19" s="711">
        <v>3.2488336025</v>
      </c>
      <c r="O19" s="711">
        <v>4.7678055800000001</v>
      </c>
    </row>
    <row r="20" spans="1:15" ht="10.5" customHeight="1">
      <c r="A20" s="587" t="s">
        <v>94</v>
      </c>
      <c r="B20" s="737">
        <v>62.847240499999998</v>
      </c>
      <c r="C20" s="737">
        <v>62.75949</v>
      </c>
      <c r="D20" s="588">
        <f t="shared" si="0"/>
        <v>1.3982028853325446E-3</v>
      </c>
      <c r="E20" s="138"/>
      <c r="F20" s="138"/>
      <c r="G20" s="138"/>
      <c r="H20" s="138"/>
      <c r="I20" s="138"/>
      <c r="J20" s="138"/>
      <c r="K20" s="138"/>
      <c r="L20" s="715"/>
      <c r="M20" s="711" t="s">
        <v>445</v>
      </c>
      <c r="N20" s="711">
        <v>3.4053330000000002</v>
      </c>
      <c r="O20" s="711">
        <v>3.8187446</v>
      </c>
    </row>
    <row r="21" spans="1:15" ht="10.5" customHeight="1">
      <c r="A21" s="585" t="s">
        <v>97</v>
      </c>
      <c r="B21" s="736">
        <v>38.773152197499996</v>
      </c>
      <c r="C21" s="736">
        <v>40.466045890000004</v>
      </c>
      <c r="D21" s="586">
        <f t="shared" si="0"/>
        <v>-4.1834917528187687E-2</v>
      </c>
      <c r="E21" s="138"/>
      <c r="F21" s="138"/>
      <c r="G21" s="138"/>
      <c r="H21" s="138"/>
      <c r="I21" s="138"/>
      <c r="J21" s="138"/>
      <c r="K21" s="138"/>
      <c r="L21" s="716"/>
      <c r="M21" s="710" t="s">
        <v>446</v>
      </c>
      <c r="N21" s="711">
        <v>3.5078406725</v>
      </c>
      <c r="O21" s="711">
        <v>3.6931134025000003</v>
      </c>
    </row>
    <row r="22" spans="1:15" ht="10.5" customHeight="1">
      <c r="A22" s="587" t="s">
        <v>455</v>
      </c>
      <c r="B22" s="737">
        <v>37.408592499999997</v>
      </c>
      <c r="C22" s="737">
        <v>38.949332497500002</v>
      </c>
      <c r="D22" s="588">
        <f t="shared" si="0"/>
        <v>-3.9557545629283819E-2</v>
      </c>
      <c r="E22" s="138"/>
      <c r="F22" s="138"/>
      <c r="G22" s="138"/>
      <c r="H22" s="138"/>
      <c r="I22" s="138"/>
      <c r="J22" s="138"/>
      <c r="K22" s="138"/>
      <c r="L22" s="715"/>
      <c r="M22" s="710" t="s">
        <v>100</v>
      </c>
      <c r="N22" s="711">
        <v>3.585890735</v>
      </c>
      <c r="O22" s="711">
        <v>0</v>
      </c>
    </row>
    <row r="23" spans="1:15" ht="10.5" customHeight="1">
      <c r="A23" s="585" t="s">
        <v>95</v>
      </c>
      <c r="B23" s="736">
        <v>36.403247245000003</v>
      </c>
      <c r="C23" s="736">
        <v>52.720985349999999</v>
      </c>
      <c r="D23" s="586">
        <f t="shared" si="0"/>
        <v>-0.30951125053280126</v>
      </c>
      <c r="E23" s="138"/>
      <c r="F23" s="138"/>
      <c r="G23" s="138"/>
      <c r="H23" s="138"/>
      <c r="I23" s="138"/>
      <c r="J23" s="138"/>
      <c r="K23" s="138"/>
      <c r="L23" s="715"/>
      <c r="M23" s="710" t="s">
        <v>105</v>
      </c>
      <c r="N23" s="711">
        <v>3.8275518525000001</v>
      </c>
      <c r="O23" s="711">
        <v>4.3961172500000005</v>
      </c>
    </row>
    <row r="24" spans="1:15" ht="10.5" customHeight="1">
      <c r="A24" s="587" t="s">
        <v>450</v>
      </c>
      <c r="B24" s="737">
        <v>34.667173464999998</v>
      </c>
      <c r="C24" s="737">
        <v>27.255888474999999</v>
      </c>
      <c r="D24" s="588">
        <f t="shared" si="0"/>
        <v>0.27191500276345315</v>
      </c>
      <c r="E24" s="138"/>
      <c r="F24" s="138"/>
      <c r="G24" s="138"/>
      <c r="H24" s="138"/>
      <c r="I24" s="138"/>
      <c r="J24" s="138"/>
      <c r="K24" s="138"/>
      <c r="L24" s="715"/>
      <c r="M24" s="711" t="s">
        <v>104</v>
      </c>
      <c r="N24" s="711">
        <v>4.3834259900000001</v>
      </c>
      <c r="O24" s="711">
        <v>0</v>
      </c>
    </row>
    <row r="25" spans="1:15" ht="10.5" customHeight="1">
      <c r="A25" s="585" t="s">
        <v>103</v>
      </c>
      <c r="B25" s="736">
        <v>33.322660999999997</v>
      </c>
      <c r="C25" s="736">
        <v>9.7057670099999989</v>
      </c>
      <c r="D25" s="586">
        <f t="shared" si="0"/>
        <v>2.43328466113674</v>
      </c>
      <c r="E25" s="138"/>
      <c r="F25" s="138"/>
      <c r="G25" s="138"/>
      <c r="H25" s="138"/>
      <c r="I25" s="138"/>
      <c r="J25" s="138"/>
      <c r="K25" s="138"/>
      <c r="L25" s="715"/>
      <c r="M25" s="710" t="s">
        <v>101</v>
      </c>
      <c r="N25" s="711">
        <v>5.0964264324999995</v>
      </c>
      <c r="O25" s="711">
        <v>13.888063915</v>
      </c>
    </row>
    <row r="26" spans="1:15" ht="10.5" customHeight="1">
      <c r="A26" s="587" t="s">
        <v>106</v>
      </c>
      <c r="B26" s="737">
        <v>29.454832130000003</v>
      </c>
      <c r="C26" s="737">
        <v>23.9135478275</v>
      </c>
      <c r="D26" s="588">
        <f t="shared" si="0"/>
        <v>0.23172154723640204</v>
      </c>
      <c r="E26" s="138"/>
      <c r="F26" s="138"/>
      <c r="G26" s="138"/>
      <c r="H26" s="138"/>
      <c r="I26" s="138"/>
      <c r="J26" s="138"/>
      <c r="K26" s="138"/>
      <c r="L26" s="715"/>
      <c r="M26" s="710" t="s">
        <v>439</v>
      </c>
      <c r="N26" s="711">
        <v>5.5946121450000001</v>
      </c>
      <c r="O26" s="711">
        <v>3.0608849125000002</v>
      </c>
    </row>
    <row r="27" spans="1:15" ht="10.5" customHeight="1">
      <c r="A27" s="590" t="s">
        <v>232</v>
      </c>
      <c r="B27" s="736">
        <v>25.742578590000001</v>
      </c>
      <c r="C27" s="736">
        <v>378.17861547749999</v>
      </c>
      <c r="D27" s="586">
        <f t="shared" si="0"/>
        <v>-0.93193010515019037</v>
      </c>
      <c r="E27" s="138"/>
      <c r="F27" s="138"/>
      <c r="G27" s="138"/>
      <c r="H27" s="138"/>
      <c r="I27" s="138"/>
      <c r="J27" s="138"/>
      <c r="K27" s="138"/>
      <c r="L27" s="715"/>
      <c r="M27" s="710" t="s">
        <v>393</v>
      </c>
      <c r="N27" s="711">
        <v>5.7554340500000007</v>
      </c>
      <c r="O27" s="711">
        <v>4.9106999500000006</v>
      </c>
    </row>
    <row r="28" spans="1:15" ht="10.5" customHeight="1">
      <c r="A28" s="591" t="s">
        <v>109</v>
      </c>
      <c r="B28" s="737">
        <v>19.73660052</v>
      </c>
      <c r="C28" s="737">
        <v>20.219000432500003</v>
      </c>
      <c r="D28" s="588">
        <f t="shared" si="0"/>
        <v>-2.3858741885409596E-2</v>
      </c>
      <c r="E28" s="138"/>
      <c r="F28" s="138"/>
      <c r="G28" s="138"/>
      <c r="H28" s="138"/>
      <c r="I28" s="138"/>
      <c r="J28" s="138"/>
      <c r="K28" s="138"/>
      <c r="L28" s="715"/>
      <c r="M28" s="711" t="s">
        <v>400</v>
      </c>
      <c r="N28" s="711">
        <v>6.3676081849999999</v>
      </c>
      <c r="O28" s="711">
        <v>6.3175623700000001</v>
      </c>
    </row>
    <row r="29" spans="1:15" ht="10.5" customHeight="1">
      <c r="A29" s="592" t="s">
        <v>231</v>
      </c>
      <c r="B29" s="736">
        <v>16.7824613525</v>
      </c>
      <c r="C29" s="736">
        <v>24.059927612500001</v>
      </c>
      <c r="D29" s="586">
        <f t="shared" si="0"/>
        <v>-0.3024724919047177</v>
      </c>
      <c r="E29" s="138"/>
      <c r="F29" s="138"/>
      <c r="G29" s="138"/>
      <c r="H29" s="138"/>
      <c r="I29" s="138"/>
      <c r="J29" s="138"/>
      <c r="K29" s="138"/>
      <c r="L29" s="715"/>
      <c r="M29" s="711" t="s">
        <v>447</v>
      </c>
      <c r="N29" s="711">
        <v>6.3800188325000002</v>
      </c>
      <c r="O29" s="711">
        <v>4.8271659575000001</v>
      </c>
    </row>
    <row r="30" spans="1:15" ht="10.5" customHeight="1">
      <c r="A30" s="591" t="s">
        <v>99</v>
      </c>
      <c r="B30" s="737">
        <v>16.6274865625</v>
      </c>
      <c r="C30" s="737">
        <v>18.561354492500001</v>
      </c>
      <c r="D30" s="588">
        <f t="shared" si="0"/>
        <v>-0.10418786682735948</v>
      </c>
      <c r="E30" s="138"/>
      <c r="F30" s="138"/>
      <c r="G30" s="138"/>
      <c r="H30" s="138"/>
      <c r="I30" s="138"/>
      <c r="J30" s="138"/>
      <c r="K30" s="138"/>
      <c r="L30" s="715"/>
      <c r="M30" s="711" t="s">
        <v>430</v>
      </c>
      <c r="N30" s="711">
        <v>6.8832656249999999</v>
      </c>
      <c r="O30" s="711">
        <v>6.396884375</v>
      </c>
    </row>
    <row r="31" spans="1:15" ht="10.5" customHeight="1">
      <c r="A31" s="592" t="s">
        <v>431</v>
      </c>
      <c r="B31" s="736">
        <v>16.343806825000001</v>
      </c>
      <c r="C31" s="736">
        <v>16.777196455000002</v>
      </c>
      <c r="D31" s="586">
        <f t="shared" si="0"/>
        <v>-2.5832065039140706E-2</v>
      </c>
      <c r="E31" s="138"/>
      <c r="F31" s="138"/>
      <c r="G31" s="138"/>
      <c r="H31" s="138"/>
      <c r="I31" s="138"/>
      <c r="J31" s="138"/>
      <c r="K31" s="138"/>
      <c r="L31" s="715"/>
      <c r="M31" s="710" t="s">
        <v>448</v>
      </c>
      <c r="N31" s="711">
        <v>8.058208282499999</v>
      </c>
      <c r="O31" s="711">
        <v>7.3036391325000007</v>
      </c>
    </row>
    <row r="32" spans="1:15" ht="10.5" customHeight="1">
      <c r="A32" s="593" t="s">
        <v>384</v>
      </c>
      <c r="B32" s="737">
        <v>14.72743374</v>
      </c>
      <c r="C32" s="737">
        <v>14.6079875</v>
      </c>
      <c r="D32" s="588">
        <f t="shared" si="0"/>
        <v>8.1767758905872956E-3</v>
      </c>
      <c r="E32" s="138"/>
      <c r="F32" s="138"/>
      <c r="G32" s="138"/>
      <c r="H32" s="138"/>
      <c r="I32" s="138"/>
      <c r="J32" s="138"/>
      <c r="K32" s="138"/>
      <c r="L32" s="715"/>
      <c r="M32" s="710" t="s">
        <v>422</v>
      </c>
      <c r="N32" s="711">
        <v>12.0335058225</v>
      </c>
      <c r="O32" s="711">
        <v>13.080604107500001</v>
      </c>
    </row>
    <row r="33" spans="1:15" ht="10.5" customHeight="1">
      <c r="A33" s="594" t="s">
        <v>451</v>
      </c>
      <c r="B33" s="736">
        <v>14.63432521</v>
      </c>
      <c r="C33" s="736">
        <v>14.768044275000001</v>
      </c>
      <c r="D33" s="586">
        <f t="shared" si="0"/>
        <v>-9.0546224340867232E-3</v>
      </c>
      <c r="E33" s="138"/>
      <c r="F33" s="138"/>
      <c r="G33" s="138"/>
      <c r="H33" s="138"/>
      <c r="I33" s="138"/>
      <c r="J33" s="138"/>
      <c r="K33" s="138"/>
      <c r="L33" s="717"/>
      <c r="M33" s="710" t="s">
        <v>235</v>
      </c>
      <c r="N33" s="711">
        <v>12.33778596</v>
      </c>
      <c r="O33" s="711">
        <v>14.89197506</v>
      </c>
    </row>
    <row r="34" spans="1:15" ht="10.5" customHeight="1">
      <c r="A34" s="593" t="s">
        <v>116</v>
      </c>
      <c r="B34" s="737">
        <v>14.109641360000001</v>
      </c>
      <c r="C34" s="737">
        <v>12.083802577499998</v>
      </c>
      <c r="D34" s="588">
        <f t="shared" si="0"/>
        <v>0.16764911289366058</v>
      </c>
      <c r="E34" s="138"/>
      <c r="F34" s="138"/>
      <c r="G34" s="138"/>
      <c r="H34" s="138"/>
      <c r="I34" s="138"/>
      <c r="J34" s="138"/>
      <c r="K34" s="138"/>
      <c r="L34" s="717"/>
      <c r="M34" s="710" t="s">
        <v>237</v>
      </c>
      <c r="N34" s="711">
        <v>12.7437405925</v>
      </c>
      <c r="O34" s="711">
        <v>2.0572499999999997E-2</v>
      </c>
    </row>
    <row r="35" spans="1:15" ht="10.5" customHeight="1">
      <c r="A35" s="594" t="s">
        <v>233</v>
      </c>
      <c r="B35" s="736">
        <v>13.68244975</v>
      </c>
      <c r="C35" s="736">
        <v>13.584064712500002</v>
      </c>
      <c r="D35" s="586">
        <f t="shared" si="0"/>
        <v>7.2426802714995464E-3</v>
      </c>
      <c r="E35" s="138"/>
      <c r="F35" s="138"/>
      <c r="G35" s="138"/>
      <c r="H35" s="138"/>
      <c r="I35" s="138"/>
      <c r="J35" s="138"/>
      <c r="K35" s="138"/>
      <c r="L35" s="716"/>
      <c r="M35" s="711" t="s">
        <v>102</v>
      </c>
      <c r="N35" s="711">
        <v>13.533421690000001</v>
      </c>
      <c r="O35" s="711">
        <v>11.585898784999998</v>
      </c>
    </row>
    <row r="36" spans="1:15" ht="10.5" customHeight="1">
      <c r="A36" s="593" t="s">
        <v>102</v>
      </c>
      <c r="B36" s="737">
        <v>13.533421690000001</v>
      </c>
      <c r="C36" s="737">
        <v>11.585898784999998</v>
      </c>
      <c r="D36" s="588">
        <f t="shared" si="0"/>
        <v>0.16809424466243539</v>
      </c>
      <c r="E36" s="138"/>
      <c r="F36" s="138"/>
      <c r="G36" s="138"/>
      <c r="H36" s="138"/>
      <c r="I36" s="138"/>
      <c r="J36" s="138"/>
      <c r="K36" s="138"/>
      <c r="L36" s="716"/>
      <c r="M36" s="710" t="s">
        <v>233</v>
      </c>
      <c r="N36" s="711">
        <v>13.68244975</v>
      </c>
      <c r="O36" s="711">
        <v>13.584064712500002</v>
      </c>
    </row>
    <row r="37" spans="1:15" ht="10.5" customHeight="1">
      <c r="A37" s="594" t="s">
        <v>237</v>
      </c>
      <c r="B37" s="736">
        <v>12.7437405925</v>
      </c>
      <c r="C37" s="736">
        <v>2.0572499999999997E-2</v>
      </c>
      <c r="D37" s="586">
        <f t="shared" si="0"/>
        <v>618.45512662534941</v>
      </c>
      <c r="E37" s="138"/>
      <c r="F37" s="138"/>
      <c r="G37" s="138"/>
      <c r="H37" s="138"/>
      <c r="I37" s="138"/>
      <c r="J37" s="138"/>
      <c r="K37" s="138"/>
      <c r="L37" s="716"/>
      <c r="M37" s="711" t="s">
        <v>116</v>
      </c>
      <c r="N37" s="711">
        <v>14.109641360000001</v>
      </c>
      <c r="O37" s="711">
        <v>12.083802577499998</v>
      </c>
    </row>
    <row r="38" spans="1:15" ht="10.5" customHeight="1">
      <c r="A38" s="593" t="s">
        <v>235</v>
      </c>
      <c r="B38" s="737">
        <v>12.33778596</v>
      </c>
      <c r="C38" s="737">
        <v>14.89197506</v>
      </c>
      <c r="D38" s="588">
        <f t="shared" si="0"/>
        <v>-0.17151446263569015</v>
      </c>
      <c r="E38" s="138"/>
      <c r="F38" s="138"/>
      <c r="G38" s="138"/>
      <c r="H38" s="138"/>
      <c r="I38" s="138"/>
      <c r="J38" s="138"/>
      <c r="K38" s="138"/>
      <c r="L38" s="717"/>
      <c r="M38" s="710" t="s">
        <v>451</v>
      </c>
      <c r="N38" s="711">
        <v>14.63432521</v>
      </c>
      <c r="O38" s="711">
        <v>14.768044275000001</v>
      </c>
    </row>
    <row r="39" spans="1:15" ht="10.5" customHeight="1">
      <c r="A39" s="594" t="s">
        <v>422</v>
      </c>
      <c r="B39" s="736">
        <v>12.0335058225</v>
      </c>
      <c r="C39" s="736">
        <v>13.080604107500001</v>
      </c>
      <c r="D39" s="586">
        <f t="shared" si="0"/>
        <v>-8.0049688561373733E-2</v>
      </c>
      <c r="E39" s="138"/>
      <c r="F39" s="138"/>
      <c r="G39" s="138"/>
      <c r="H39" s="138"/>
      <c r="I39" s="138"/>
      <c r="J39" s="138"/>
      <c r="K39" s="138"/>
      <c r="L39" s="717"/>
      <c r="M39" s="711" t="s">
        <v>384</v>
      </c>
      <c r="N39" s="711">
        <v>14.72743374</v>
      </c>
      <c r="O39" s="711">
        <v>14.6079875</v>
      </c>
    </row>
    <row r="40" spans="1:15" ht="10.5" customHeight="1">
      <c r="A40" s="591" t="s">
        <v>448</v>
      </c>
      <c r="B40" s="737">
        <v>8.058208282499999</v>
      </c>
      <c r="C40" s="737">
        <v>7.3036391325000007</v>
      </c>
      <c r="D40" s="588">
        <f t="shared" si="0"/>
        <v>0.10331413372304898</v>
      </c>
      <c r="E40" s="138"/>
      <c r="F40" s="138"/>
      <c r="G40" s="138"/>
      <c r="H40" s="138"/>
      <c r="I40" s="138"/>
      <c r="J40" s="138"/>
      <c r="K40" s="138"/>
      <c r="L40" s="717"/>
      <c r="M40" s="710" t="s">
        <v>431</v>
      </c>
      <c r="N40" s="711">
        <v>16.343806825000001</v>
      </c>
      <c r="O40" s="711">
        <v>16.777196455000002</v>
      </c>
    </row>
    <row r="41" spans="1:15" ht="10.5" customHeight="1">
      <c r="A41" s="592" t="s">
        <v>430</v>
      </c>
      <c r="B41" s="736">
        <v>6.8832656249999999</v>
      </c>
      <c r="C41" s="736">
        <v>6.396884375</v>
      </c>
      <c r="D41" s="586">
        <f t="shared" si="0"/>
        <v>7.6034084952488978E-2</v>
      </c>
      <c r="E41" s="138"/>
      <c r="F41" s="138"/>
      <c r="G41" s="138"/>
      <c r="H41" s="138"/>
      <c r="I41" s="138"/>
      <c r="J41" s="138"/>
      <c r="K41" s="138"/>
      <c r="M41" s="710" t="s">
        <v>99</v>
      </c>
      <c r="N41" s="711">
        <v>16.6274865625</v>
      </c>
      <c r="O41" s="711">
        <v>18.561354492500001</v>
      </c>
    </row>
    <row r="42" spans="1:15" ht="10.5" customHeight="1">
      <c r="A42" s="591" t="s">
        <v>447</v>
      </c>
      <c r="B42" s="737">
        <v>6.3800188325000002</v>
      </c>
      <c r="C42" s="737">
        <v>4.8271659575000001</v>
      </c>
      <c r="D42" s="588">
        <f t="shared" si="0"/>
        <v>0.32169038493224411</v>
      </c>
      <c r="E42" s="138"/>
      <c r="F42" s="138"/>
      <c r="G42" s="138"/>
      <c r="H42" s="138"/>
      <c r="I42" s="138"/>
      <c r="J42" s="138"/>
      <c r="K42" s="138"/>
      <c r="M42" s="712" t="s">
        <v>231</v>
      </c>
      <c r="N42" s="711">
        <v>16.7824613525</v>
      </c>
      <c r="O42" s="711">
        <v>24.059927612500001</v>
      </c>
    </row>
    <row r="43" spans="1:15" ht="10.5" customHeight="1">
      <c r="A43" s="592" t="s">
        <v>400</v>
      </c>
      <c r="B43" s="736">
        <v>6.3676081849999999</v>
      </c>
      <c r="C43" s="736">
        <v>6.3175623700000001</v>
      </c>
      <c r="D43" s="586">
        <f t="shared" si="0"/>
        <v>7.92169701998513E-3</v>
      </c>
      <c r="E43" s="138"/>
      <c r="F43" s="138"/>
      <c r="G43" s="138"/>
      <c r="H43" s="138"/>
      <c r="I43" s="138"/>
      <c r="J43" s="138"/>
      <c r="K43" s="138"/>
      <c r="M43" s="710" t="s">
        <v>109</v>
      </c>
      <c r="N43" s="711">
        <v>19.73660052</v>
      </c>
      <c r="O43" s="711">
        <v>20.219000432500003</v>
      </c>
    </row>
    <row r="44" spans="1:15" ht="10.5" customHeight="1">
      <c r="A44" s="591" t="s">
        <v>393</v>
      </c>
      <c r="B44" s="737">
        <v>5.7554340500000007</v>
      </c>
      <c r="C44" s="737">
        <v>4.9106999500000006</v>
      </c>
      <c r="D44" s="588">
        <f t="shared" si="0"/>
        <v>0.17201908253425269</v>
      </c>
      <c r="E44" s="138"/>
      <c r="F44" s="138"/>
      <c r="G44" s="138"/>
      <c r="H44" s="138"/>
      <c r="I44" s="138"/>
      <c r="J44" s="138"/>
      <c r="K44" s="138"/>
      <c r="M44" s="710" t="s">
        <v>232</v>
      </c>
      <c r="N44" s="711">
        <v>25.742578590000001</v>
      </c>
      <c r="O44" s="711">
        <v>378.17861547749999</v>
      </c>
    </row>
    <row r="45" spans="1:15" ht="10.5" customHeight="1">
      <c r="A45" s="592" t="s">
        <v>439</v>
      </c>
      <c r="B45" s="736">
        <v>5.5946121450000001</v>
      </c>
      <c r="C45" s="736">
        <v>3.0608849125000002</v>
      </c>
      <c r="D45" s="586">
        <f t="shared" si="0"/>
        <v>0.82777605330824411</v>
      </c>
      <c r="E45" s="138"/>
      <c r="F45" s="138"/>
      <c r="G45" s="138"/>
      <c r="H45" s="138"/>
      <c r="I45" s="138"/>
      <c r="J45" s="138"/>
      <c r="K45" s="138"/>
      <c r="M45" s="710" t="s">
        <v>106</v>
      </c>
      <c r="N45" s="711">
        <v>29.454832130000003</v>
      </c>
      <c r="O45" s="711">
        <v>23.9135478275</v>
      </c>
    </row>
    <row r="46" spans="1:15" ht="10.5" customHeight="1">
      <c r="A46" s="591" t="s">
        <v>101</v>
      </c>
      <c r="B46" s="737">
        <v>5.0964264324999995</v>
      </c>
      <c r="C46" s="737">
        <v>13.888063915</v>
      </c>
      <c r="D46" s="588">
        <f t="shared" si="0"/>
        <v>-0.63303549985858487</v>
      </c>
      <c r="E46" s="138"/>
      <c r="F46" s="138"/>
      <c r="G46" s="138"/>
      <c r="H46" s="138"/>
      <c r="I46" s="138"/>
      <c r="J46" s="138"/>
      <c r="K46" s="138"/>
      <c r="M46" s="711" t="s">
        <v>103</v>
      </c>
      <c r="N46" s="711">
        <v>33.322660999999997</v>
      </c>
      <c r="O46" s="711">
        <v>9.7057670099999989</v>
      </c>
    </row>
    <row r="47" spans="1:15" ht="10.5" customHeight="1">
      <c r="A47" s="594" t="s">
        <v>104</v>
      </c>
      <c r="B47" s="736">
        <v>4.3834259900000001</v>
      </c>
      <c r="C47" s="736">
        <v>0</v>
      </c>
      <c r="D47" s="586" t="str">
        <f t="shared" si="0"/>
        <v/>
      </c>
      <c r="E47" s="138"/>
      <c r="F47" s="138"/>
      <c r="G47" s="138"/>
      <c r="H47" s="138"/>
      <c r="I47" s="138"/>
      <c r="J47" s="138"/>
      <c r="K47" s="138"/>
      <c r="M47" s="713" t="s">
        <v>450</v>
      </c>
      <c r="N47" s="711">
        <v>34.667173464999998</v>
      </c>
      <c r="O47" s="711">
        <v>27.255888474999999</v>
      </c>
    </row>
    <row r="48" spans="1:15" ht="10.5" customHeight="1">
      <c r="A48" s="591" t="s">
        <v>105</v>
      </c>
      <c r="B48" s="737">
        <v>3.8275518525000001</v>
      </c>
      <c r="C48" s="737">
        <v>4.3961172500000005</v>
      </c>
      <c r="D48" s="588">
        <f t="shared" si="0"/>
        <v>-0.12933353802153491</v>
      </c>
      <c r="E48" s="138"/>
      <c r="F48" s="138"/>
      <c r="G48" s="138"/>
      <c r="H48" s="138"/>
      <c r="I48" s="138"/>
      <c r="J48" s="138"/>
      <c r="K48" s="138"/>
      <c r="M48" s="710" t="s">
        <v>95</v>
      </c>
      <c r="N48" s="711">
        <v>36.403247245000003</v>
      </c>
      <c r="O48" s="711">
        <v>52.720985349999999</v>
      </c>
    </row>
    <row r="49" spans="1:15" ht="10.5" customHeight="1">
      <c r="A49" s="592" t="s">
        <v>100</v>
      </c>
      <c r="B49" s="736">
        <v>3.585890735</v>
      </c>
      <c r="C49" s="736">
        <v>0</v>
      </c>
      <c r="D49" s="586" t="str">
        <f t="shared" si="0"/>
        <v/>
      </c>
      <c r="E49" s="138"/>
      <c r="F49" s="138"/>
      <c r="G49" s="138"/>
      <c r="H49" s="138"/>
      <c r="I49" s="138"/>
      <c r="J49" s="138"/>
      <c r="K49" s="138"/>
      <c r="M49" s="710" t="s">
        <v>455</v>
      </c>
      <c r="N49" s="711">
        <v>37.408592499999997</v>
      </c>
      <c r="O49" s="711">
        <v>38.949332497500002</v>
      </c>
    </row>
    <row r="50" spans="1:15" ht="10.5" customHeight="1">
      <c r="A50" s="593" t="s">
        <v>446</v>
      </c>
      <c r="B50" s="737">
        <v>3.5078406725</v>
      </c>
      <c r="C50" s="737">
        <v>3.6931134025000003</v>
      </c>
      <c r="D50" s="588">
        <f t="shared" si="0"/>
        <v>-5.0167083922898925E-2</v>
      </c>
      <c r="E50" s="138"/>
      <c r="F50" s="138"/>
      <c r="G50" s="138"/>
      <c r="H50" s="138"/>
      <c r="I50" s="138"/>
      <c r="J50" s="138"/>
      <c r="K50" s="138"/>
      <c r="M50" s="710" t="s">
        <v>97</v>
      </c>
      <c r="N50" s="711">
        <v>38.773152197499996</v>
      </c>
      <c r="O50" s="711">
        <v>40.466045890000004</v>
      </c>
    </row>
    <row r="51" spans="1:15" ht="10.5" customHeight="1">
      <c r="A51" s="592" t="s">
        <v>445</v>
      </c>
      <c r="B51" s="736">
        <v>3.4053330000000002</v>
      </c>
      <c r="C51" s="736">
        <v>3.8187446</v>
      </c>
      <c r="D51" s="586">
        <f t="shared" si="0"/>
        <v>-0.10825850987782737</v>
      </c>
      <c r="E51" s="138"/>
      <c r="F51" s="138"/>
      <c r="G51" s="138"/>
      <c r="H51" s="138"/>
      <c r="I51" s="138"/>
      <c r="J51" s="138"/>
      <c r="K51" s="138"/>
      <c r="M51" s="710" t="s">
        <v>94</v>
      </c>
      <c r="N51" s="711">
        <v>62.847240499999998</v>
      </c>
      <c r="O51" s="711">
        <v>62.75949</v>
      </c>
    </row>
    <row r="52" spans="1:15" ht="10.5" customHeight="1">
      <c r="A52" s="591" t="s">
        <v>409</v>
      </c>
      <c r="B52" s="737">
        <v>3.2488336025</v>
      </c>
      <c r="C52" s="737">
        <v>4.7678055800000001</v>
      </c>
      <c r="D52" s="588">
        <f t="shared" si="0"/>
        <v>-0.31858932836351106</v>
      </c>
      <c r="E52" s="138"/>
      <c r="F52" s="138"/>
      <c r="G52" s="138"/>
      <c r="H52" s="138"/>
      <c r="I52" s="138"/>
      <c r="J52" s="138"/>
      <c r="K52" s="138"/>
      <c r="M52" s="710" t="s">
        <v>89</v>
      </c>
      <c r="N52" s="711">
        <v>63.423640654999993</v>
      </c>
      <c r="O52" s="711">
        <v>72.3474614</v>
      </c>
    </row>
    <row r="53" spans="1:15" ht="10.5" customHeight="1">
      <c r="A53" s="592" t="s">
        <v>108</v>
      </c>
      <c r="B53" s="736">
        <v>3.1830456525000002</v>
      </c>
      <c r="C53" s="736">
        <v>3.6861812500000002</v>
      </c>
      <c r="D53" s="586">
        <f t="shared" si="0"/>
        <v>-0.13649236523570296</v>
      </c>
      <c r="E53" s="138"/>
      <c r="F53" s="138"/>
      <c r="G53" s="138"/>
      <c r="H53" s="138"/>
      <c r="I53" s="138"/>
      <c r="J53" s="138"/>
      <c r="K53" s="138"/>
      <c r="M53" s="710" t="s">
        <v>408</v>
      </c>
      <c r="N53" s="711">
        <v>64.152565339999995</v>
      </c>
      <c r="O53" s="711">
        <v>65.70272180500001</v>
      </c>
    </row>
    <row r="54" spans="1:15" ht="10.5" customHeight="1">
      <c r="A54" s="591" t="s">
        <v>107</v>
      </c>
      <c r="B54" s="737">
        <v>3.1035376800000001</v>
      </c>
      <c r="C54" s="737">
        <v>3.8505087499999999</v>
      </c>
      <c r="D54" s="588">
        <f t="shared" si="0"/>
        <v>-0.19399282497410242</v>
      </c>
      <c r="E54" s="138"/>
      <c r="F54" s="138"/>
      <c r="G54" s="138"/>
      <c r="H54" s="138"/>
      <c r="I54" s="138"/>
      <c r="J54" s="138"/>
      <c r="K54" s="138"/>
      <c r="M54" s="711" t="s">
        <v>93</v>
      </c>
      <c r="N54" s="711">
        <v>69.069491662499999</v>
      </c>
      <c r="O54" s="711">
        <v>61.9998369475</v>
      </c>
    </row>
    <row r="55" spans="1:15" ht="10.5" customHeight="1">
      <c r="A55" s="594" t="s">
        <v>111</v>
      </c>
      <c r="B55" s="736">
        <v>2.6355838</v>
      </c>
      <c r="C55" s="736">
        <v>2.6795507250000004</v>
      </c>
      <c r="D55" s="586">
        <f t="shared" si="0"/>
        <v>-1.6408319719344089E-2</v>
      </c>
      <c r="E55" s="138"/>
      <c r="F55" s="138"/>
      <c r="G55" s="138"/>
      <c r="H55" s="138"/>
      <c r="I55" s="138"/>
      <c r="J55" s="138"/>
      <c r="K55" s="138"/>
      <c r="M55" s="710" t="s">
        <v>96</v>
      </c>
      <c r="N55" s="711">
        <v>76.881610499999994</v>
      </c>
      <c r="O55" s="711">
        <v>85.550378749999993</v>
      </c>
    </row>
    <row r="56" spans="1:15" ht="10.5" customHeight="1">
      <c r="A56" s="591" t="s">
        <v>113</v>
      </c>
      <c r="B56" s="737">
        <v>2.4358436824999998</v>
      </c>
      <c r="C56" s="737">
        <v>0.88898949999999999</v>
      </c>
      <c r="D56" s="588">
        <f t="shared" si="0"/>
        <v>1.7400140074770287</v>
      </c>
      <c r="E56" s="138"/>
      <c r="F56" s="138"/>
      <c r="G56" s="138"/>
      <c r="H56" s="138"/>
      <c r="I56" s="138"/>
      <c r="J56" s="138"/>
      <c r="K56" s="138"/>
      <c r="M56" s="710" t="s">
        <v>92</v>
      </c>
      <c r="N56" s="711">
        <v>91.395645099999996</v>
      </c>
      <c r="O56" s="711">
        <v>96.643174674999997</v>
      </c>
    </row>
    <row r="57" spans="1:15" ht="10.5" customHeight="1">
      <c r="A57" s="592" t="s">
        <v>115</v>
      </c>
      <c r="B57" s="736">
        <v>2.160896975</v>
      </c>
      <c r="C57" s="736">
        <v>0.93733993999999998</v>
      </c>
      <c r="D57" s="586">
        <f t="shared" si="0"/>
        <v>1.3053503673384492</v>
      </c>
      <c r="E57" s="138"/>
      <c r="F57" s="138"/>
      <c r="G57" s="138"/>
      <c r="H57" s="138"/>
      <c r="I57" s="138"/>
      <c r="J57" s="138"/>
      <c r="K57" s="138"/>
      <c r="M57" s="711" t="s">
        <v>91</v>
      </c>
      <c r="N57" s="711">
        <v>95.517348749999996</v>
      </c>
      <c r="O57" s="711">
        <v>98.50874675</v>
      </c>
    </row>
    <row r="58" spans="1:15" ht="10.5" customHeight="1">
      <c r="A58" s="591" t="s">
        <v>112</v>
      </c>
      <c r="B58" s="737">
        <v>2.1330999999999998</v>
      </c>
      <c r="C58" s="737">
        <v>2.3294999999999999</v>
      </c>
      <c r="D58" s="588">
        <f t="shared" si="0"/>
        <v>-8.4309937754883046E-2</v>
      </c>
      <c r="E58" s="138"/>
      <c r="F58" s="138"/>
      <c r="G58" s="138"/>
      <c r="H58" s="138"/>
      <c r="I58" s="138"/>
      <c r="J58" s="138"/>
      <c r="K58" s="138"/>
      <c r="M58" s="710" t="s">
        <v>90</v>
      </c>
      <c r="N58" s="711">
        <v>119.57049725000002</v>
      </c>
      <c r="O58" s="711">
        <v>119.12282750000001</v>
      </c>
    </row>
    <row r="59" spans="1:15" ht="10.5" customHeight="1">
      <c r="A59" s="592" t="s">
        <v>110</v>
      </c>
      <c r="B59" s="738">
        <v>1.9627023975</v>
      </c>
      <c r="C59" s="738">
        <v>1.9864998225000001</v>
      </c>
      <c r="D59" s="595">
        <f t="shared" si="0"/>
        <v>-1.1979575699156753E-2</v>
      </c>
      <c r="E59" s="138"/>
      <c r="F59" s="138"/>
      <c r="G59" s="138"/>
      <c r="H59" s="138"/>
      <c r="I59" s="138"/>
      <c r="J59" s="138"/>
      <c r="K59" s="138"/>
      <c r="M59" s="710" t="s">
        <v>230</v>
      </c>
      <c r="N59" s="711">
        <v>187.44593858499999</v>
      </c>
      <c r="O59" s="711">
        <v>155.8943597375</v>
      </c>
    </row>
    <row r="60" spans="1:15" ht="10.5" customHeight="1">
      <c r="A60" s="596" t="s">
        <v>521</v>
      </c>
      <c r="B60" s="737">
        <v>1.7169163300000001</v>
      </c>
      <c r="C60" s="737">
        <v>1.9232616025000002</v>
      </c>
      <c r="D60" s="588">
        <f t="shared" si="0"/>
        <v>-0.10728923836038584</v>
      </c>
      <c r="E60" s="138"/>
      <c r="F60" s="138"/>
      <c r="G60" s="138"/>
      <c r="H60" s="138"/>
      <c r="I60" s="138"/>
      <c r="J60" s="138"/>
      <c r="K60" s="138"/>
      <c r="M60" s="710" t="s">
        <v>98</v>
      </c>
      <c r="N60" s="711">
        <v>200.14760925000002</v>
      </c>
      <c r="O60" s="711">
        <v>31.047562005</v>
      </c>
    </row>
    <row r="61" spans="1:15" ht="10.5" customHeight="1">
      <c r="A61" s="592" t="s">
        <v>236</v>
      </c>
      <c r="B61" s="738">
        <v>0.47703449999999997</v>
      </c>
      <c r="C61" s="738">
        <v>2.0167449999999999E-3</v>
      </c>
      <c r="D61" s="595">
        <f t="shared" si="0"/>
        <v>235.53684526303525</v>
      </c>
      <c r="E61" s="138"/>
      <c r="F61" s="138"/>
      <c r="G61" s="138"/>
      <c r="H61" s="138"/>
      <c r="I61" s="138"/>
      <c r="J61" s="138"/>
      <c r="K61" s="138"/>
      <c r="M61" s="710" t="s">
        <v>88</v>
      </c>
      <c r="N61" s="711">
        <v>202.9092936975</v>
      </c>
      <c r="O61" s="711">
        <v>210.44621342500002</v>
      </c>
    </row>
    <row r="62" spans="1:15" ht="10.5" customHeight="1">
      <c r="A62" s="596" t="s">
        <v>449</v>
      </c>
      <c r="B62" s="737">
        <v>0.34859285249999999</v>
      </c>
      <c r="C62" s="737">
        <v>0</v>
      </c>
      <c r="D62" s="588" t="str">
        <f t="shared" si="0"/>
        <v/>
      </c>
      <c r="E62" s="138"/>
      <c r="F62" s="138"/>
      <c r="G62" s="138"/>
      <c r="H62" s="138"/>
      <c r="I62" s="138"/>
      <c r="J62" s="138"/>
      <c r="K62" s="138"/>
      <c r="M62" s="710" t="s">
        <v>234</v>
      </c>
      <c r="N62" s="711">
        <v>210.56191545000001</v>
      </c>
      <c r="O62" s="711">
        <v>211.23782075</v>
      </c>
    </row>
    <row r="63" spans="1:15" ht="10.5" customHeight="1">
      <c r="A63" s="592" t="s">
        <v>114</v>
      </c>
      <c r="B63" s="738">
        <v>0.29337980499999999</v>
      </c>
      <c r="C63" s="738">
        <v>1.0664450000000001E-3</v>
      </c>
      <c r="D63" s="595">
        <f t="shared" si="0"/>
        <v>274.1007365593162</v>
      </c>
      <c r="E63" s="138"/>
      <c r="F63" s="138"/>
      <c r="G63" s="138"/>
      <c r="H63" s="138"/>
      <c r="I63" s="138"/>
      <c r="J63" s="138"/>
      <c r="K63" s="138"/>
      <c r="M63" s="710" t="s">
        <v>87</v>
      </c>
      <c r="N63" s="711">
        <v>535.07461188000002</v>
      </c>
      <c r="O63" s="711">
        <v>624.43300392000003</v>
      </c>
    </row>
    <row r="64" spans="1:15" ht="10.5" customHeight="1">
      <c r="A64" s="596" t="s">
        <v>522</v>
      </c>
      <c r="B64" s="737">
        <v>0.24209149999999999</v>
      </c>
      <c r="C64" s="737">
        <v>0.25438965749999998</v>
      </c>
      <c r="D64" s="588">
        <f t="shared" si="0"/>
        <v>-4.8343779463597025E-2</v>
      </c>
      <c r="E64" s="138"/>
      <c r="F64" s="138"/>
      <c r="G64" s="138"/>
      <c r="H64" s="138"/>
      <c r="I64" s="138"/>
      <c r="J64" s="138"/>
      <c r="K64" s="138"/>
      <c r="M64" s="710" t="s">
        <v>86</v>
      </c>
      <c r="N64" s="711">
        <v>640.19472099999984</v>
      </c>
      <c r="O64" s="711">
        <v>580.23964099999989</v>
      </c>
    </row>
    <row r="65" spans="1:15" ht="10.5" customHeight="1">
      <c r="A65" s="592" t="s">
        <v>117</v>
      </c>
      <c r="B65" s="738">
        <v>0</v>
      </c>
      <c r="C65" s="738">
        <v>8.4372436875000005</v>
      </c>
      <c r="D65" s="595">
        <f>IF(C65=0,"",B65/C65-1)</f>
        <v>-1</v>
      </c>
      <c r="E65" s="138"/>
      <c r="F65" s="138"/>
      <c r="G65" s="138"/>
      <c r="H65" s="138"/>
      <c r="I65" s="138"/>
      <c r="J65" s="138"/>
      <c r="K65" s="138"/>
      <c r="M65" s="710" t="s">
        <v>85</v>
      </c>
      <c r="N65" s="711">
        <v>749.91656310250016</v>
      </c>
      <c r="O65" s="711">
        <v>541.97623009500001</v>
      </c>
    </row>
    <row r="66" spans="1:15" ht="10.5" customHeight="1">
      <c r="A66" s="596" t="s">
        <v>229</v>
      </c>
      <c r="B66" s="737">
        <v>0</v>
      </c>
      <c r="C66" s="737">
        <v>0</v>
      </c>
      <c r="D66" s="588" t="str">
        <f>IF(C66=0,"",B66/C66-1)</f>
        <v/>
      </c>
      <c r="E66" s="138"/>
      <c r="F66" s="138"/>
      <c r="G66" s="138"/>
      <c r="H66" s="138"/>
      <c r="I66" s="138"/>
      <c r="J66" s="138"/>
      <c r="K66" s="138"/>
      <c r="M66" s="710" t="s">
        <v>392</v>
      </c>
      <c r="N66" s="711">
        <v>1025.2554394075</v>
      </c>
      <c r="O66" s="711">
        <v>741.06155749999994</v>
      </c>
    </row>
    <row r="67" spans="1:15" ht="10.5" customHeight="1">
      <c r="A67" s="592" t="s">
        <v>394</v>
      </c>
      <c r="B67" s="738"/>
      <c r="C67" s="738">
        <v>0.19607749999999999</v>
      </c>
      <c r="D67" s="595">
        <f>IF(C67=0,"",B67/C67-1)</f>
        <v>-1</v>
      </c>
      <c r="E67" s="138"/>
      <c r="F67" s="138"/>
      <c r="G67" s="138"/>
      <c r="H67" s="138"/>
      <c r="I67" s="138"/>
      <c r="J67" s="138"/>
      <c r="K67" s="138"/>
      <c r="M67" s="710"/>
      <c r="N67" s="711"/>
      <c r="O67" s="711"/>
    </row>
    <row r="68" spans="1:15" ht="10.5" customHeight="1">
      <c r="A68" s="597" t="s">
        <v>41</v>
      </c>
      <c r="B68" s="739">
        <f>+SUM(B5:B67)</f>
        <v>4894.2162032224987</v>
      </c>
      <c r="C68" s="739">
        <f>+SUM(C5:C67)</f>
        <v>4594.9549443675005</v>
      </c>
      <c r="D68" s="598">
        <f>IF(C68=0,"",B68/C68-1)</f>
        <v>6.5128224863626238E-2</v>
      </c>
      <c r="E68" s="138"/>
      <c r="F68" s="138"/>
      <c r="G68" s="138"/>
      <c r="H68" s="138"/>
      <c r="I68" s="138"/>
      <c r="J68" s="138"/>
      <c r="K68" s="138"/>
    </row>
    <row r="69" spans="1:15" ht="10.5" customHeight="1">
      <c r="E69" s="138"/>
      <c r="F69" s="138"/>
      <c r="G69" s="138"/>
      <c r="H69" s="138"/>
      <c r="I69" s="138"/>
      <c r="J69" s="138"/>
      <c r="K69" s="138"/>
      <c r="M69" s="710"/>
      <c r="N69" s="711"/>
      <c r="O69" s="711"/>
    </row>
    <row r="70" spans="1:15" ht="40.5" customHeight="1">
      <c r="A70" s="887" t="str">
        <f>"Cuadro N° 6: Participación de las empresas generadoras del COES en la producción de energía eléctrica (GWh) en "&amp;'1. Resumen'!Q4</f>
        <v>Cuadro N° 6: Participación de las empresas generadoras del COES en la producción de energía eléctrica (GWh) en mayo</v>
      </c>
      <c r="B70" s="887"/>
      <c r="C70" s="887"/>
      <c r="D70" s="410"/>
      <c r="E70" s="886" t="str">
        <f>"Gráfico N° 10: Comparación de producción energética (GWh) de las empresas generadoras del COES en "&amp;'1. Resumen'!Q4</f>
        <v>Gráfico N° 10: Comparación de producción energética (GWh) de las empresas generadoras del COES en mayo</v>
      </c>
      <c r="F70" s="886"/>
      <c r="G70" s="886"/>
      <c r="H70" s="886"/>
      <c r="I70" s="886"/>
      <c r="J70" s="886"/>
      <c r="K70" s="886"/>
    </row>
    <row r="71" spans="1:15">
      <c r="A71" s="880"/>
      <c r="B71" s="880"/>
      <c r="C71" s="880"/>
      <c r="D71" s="880"/>
      <c r="E71" s="880"/>
      <c r="F71" s="880"/>
      <c r="G71" s="880"/>
      <c r="H71" s="880"/>
      <c r="I71" s="880"/>
      <c r="J71" s="880"/>
      <c r="K71" s="880"/>
    </row>
    <row r="72" spans="1:15">
      <c r="A72" s="881"/>
      <c r="B72" s="881"/>
      <c r="C72" s="881"/>
      <c r="D72" s="881"/>
      <c r="E72" s="881"/>
      <c r="F72" s="881"/>
      <c r="G72" s="881"/>
      <c r="H72" s="881"/>
      <c r="I72" s="881"/>
      <c r="J72" s="881"/>
      <c r="K72" s="881"/>
    </row>
    <row r="73" spans="1:15">
      <c r="A73" s="880"/>
      <c r="B73" s="880"/>
      <c r="C73" s="880"/>
      <c r="D73" s="880"/>
      <c r="E73" s="880"/>
      <c r="F73" s="880"/>
      <c r="G73" s="880"/>
      <c r="H73" s="880"/>
      <c r="I73" s="880"/>
      <c r="J73" s="880"/>
      <c r="K73" s="880"/>
    </row>
    <row r="74" spans="1:15">
      <c r="A74" s="881"/>
      <c r="B74" s="881"/>
      <c r="C74" s="881"/>
      <c r="D74" s="881"/>
      <c r="E74" s="881"/>
      <c r="F74" s="881"/>
      <c r="G74" s="881"/>
      <c r="H74" s="881"/>
      <c r="I74" s="881"/>
      <c r="J74" s="881"/>
      <c r="K74" s="881"/>
    </row>
  </sheetData>
  <autoFilter ref="M3:O66" xr:uid="{00000000-0001-0000-0800-000000000000}"/>
  <mergeCells count="10">
    <mergeCell ref="A71:K71"/>
    <mergeCell ref="A72:K72"/>
    <mergeCell ref="A73:K73"/>
    <mergeCell ref="A74:K74"/>
    <mergeCell ref="A1:J1"/>
    <mergeCell ref="A3:A4"/>
    <mergeCell ref="B3:D3"/>
    <mergeCell ref="G3:J3"/>
    <mergeCell ref="E70:K70"/>
    <mergeCell ref="A70:C7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mayo 2023
INFSGI-MES-05-2023
13/06/2023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2023-06-13T21:19:49Z</cp:lastPrinted>
  <dcterms:created xsi:type="dcterms:W3CDTF">2018-02-13T14:18:17Z</dcterms:created>
  <dcterms:modified xsi:type="dcterms:W3CDTF">2023-06-20T14:35:55Z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