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9. SETIEMBRE\"/>
    </mc:Choice>
  </mc:AlternateContent>
  <xr:revisionPtr revIDLastSave="0" documentId="13_ncr:1_{7E1C8BCE-9814-4EFF-BA39-C0D83E467B64}" xr6:coauthVersionLast="47" xr6:coauthVersionMax="47" xr10:uidLastSave="{00000000-0000-0000-0000-000000000000}"/>
  <bookViews>
    <workbookView xWindow="-120" yWindow="-120" windowWidth="29040" windowHeight="15840"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6"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ANEXOII-1'!$A$1:$F$83</definedName>
    <definedName name="_xlnm.Print_Area" localSheetId="24">'23. ANEXOII-3'!$A$1:$F$70</definedName>
    <definedName name="_xlnm.Print_Area" localSheetId="26">'25.ANEXO III -1'!$A$1:$F$14</definedName>
    <definedName name="_xlnm.Print_Area" localSheetId="27">'26.ANEXO III-2'!$A$1:$F$12</definedName>
    <definedName name="_xlnm.Print_Area" localSheetId="28">'27.ANEXO III-3'!$A$1:$F$10</definedName>
    <definedName name="_xlnm.Print_Area" localSheetId="29">'28.ANEXO III-4'!$A$1:$F$11</definedName>
    <definedName name="_xlnm.Print_Area" localSheetId="7">'5. RER'!$A$1:$K$63</definedName>
    <definedName name="_xlnm.Print_Area" localSheetId="6">'6. FP RER'!$A$1:$L$64</definedName>
    <definedName name="_xlnm.Print_Area" localSheetId="8">'7. Generacion empresa'!$A$1:$K$69</definedName>
    <definedName name="_xlnm.Print_Area" localSheetId="9">'8. Max Potencia'!$A$1:$K$62</definedName>
    <definedName name="_xlnm.Print_Area" localSheetId="10">'9. Pot. Empresa'!$A$1:$K$71</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 i="8" l="1"/>
  <c r="D15" i="21"/>
  <c r="I9" i="22" l="1"/>
  <c r="B69" i="13" l="1"/>
  <c r="B67" i="11"/>
  <c r="J18" i="8"/>
  <c r="H18" i="8"/>
  <c r="G18" i="8"/>
  <c r="E18" i="8"/>
  <c r="D18" i="8"/>
  <c r="C18" i="8"/>
  <c r="B18" i="8"/>
  <c r="K10" i="12" l="1"/>
  <c r="K11" i="12"/>
  <c r="K12" i="12"/>
  <c r="K13" i="12"/>
  <c r="E11" i="9"/>
  <c r="J12" i="7" l="1"/>
  <c r="H12" i="7"/>
  <c r="G12" i="7"/>
  <c r="E12" i="7"/>
  <c r="D12" i="7"/>
  <c r="C12" i="7"/>
  <c r="B12" i="7"/>
  <c r="I19" i="6" l="1"/>
  <c r="H19" i="6"/>
  <c r="C67" i="11" l="1"/>
  <c r="I10" i="22" l="1"/>
  <c r="I8" i="22"/>
  <c r="I7" i="22"/>
  <c r="C11" i="22"/>
  <c r="D11" i="22"/>
  <c r="E11" i="22"/>
  <c r="F11" i="22"/>
  <c r="G11" i="22"/>
  <c r="H11" i="22"/>
  <c r="E15" i="21"/>
  <c r="F15" i="21"/>
  <c r="F82" i="36" l="1"/>
  <c r="C2" i="23" l="1"/>
  <c r="B11" i="22" l="1"/>
  <c r="J11" i="22" l="1"/>
  <c r="I10" i="6" l="1"/>
  <c r="H10" i="6"/>
  <c r="C32" i="16" l="1"/>
  <c r="F31" i="16" l="1"/>
  <c r="B30" i="6" l="1"/>
  <c r="G42" i="38" l="1"/>
  <c r="F42" i="38"/>
  <c r="C69" i="13" l="1"/>
  <c r="D68" i="13"/>
  <c r="D67" i="13"/>
  <c r="D66" i="13"/>
  <c r="F18" i="16" l="1"/>
  <c r="G41" i="38" l="1"/>
  <c r="F71" i="13" l="1"/>
  <c r="A71" i="13"/>
  <c r="A57" i="7"/>
  <c r="F41" i="38" l="1"/>
  <c r="J14"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D29" i="6" l="1"/>
  <c r="A43" i="10" l="1"/>
  <c r="F14" i="7"/>
  <c r="B11" i="9" l="1"/>
  <c r="C11" i="9"/>
  <c r="D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6" i="11" l="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8" i="12" l="1"/>
  <c r="F71" i="45" l="1"/>
  <c r="F70" i="45"/>
  <c r="F69" i="45"/>
  <c r="F67" i="45"/>
  <c r="F66" i="45"/>
  <c r="D24" i="6" l="1"/>
  <c r="F80" i="36" l="1"/>
  <c r="F79" i="36"/>
  <c r="F78"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11" i="22" l="1"/>
  <c r="B16" i="7" l="1"/>
  <c r="C16" i="7"/>
  <c r="E16" i="7"/>
  <c r="E5" i="36" l="1"/>
  <c r="E4" i="36"/>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F58" i="46" l="1"/>
  <c r="E4" i="45" l="1"/>
  <c r="E4" i="46" s="1"/>
  <c r="B14" i="12" l="1"/>
  <c r="F13" i="8"/>
  <c r="N14" i="18" l="1"/>
  <c r="J11" i="9" l="1"/>
  <c r="H11" i="9"/>
  <c r="G11" i="9"/>
  <c r="D6" i="16" l="1"/>
  <c r="C28" i="14" l="1"/>
  <c r="A36" i="22" l="1"/>
  <c r="F6" i="36" l="1"/>
  <c r="A69" i="11" l="1"/>
  <c r="F21" i="8" l="1"/>
  <c r="E12" i="9"/>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49"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8" i="12" l="1"/>
  <c r="B20" i="12" s="1"/>
  <c r="C18" i="12"/>
  <c r="D18" i="12"/>
  <c r="D20" i="12" s="1"/>
  <c r="E18" i="12"/>
  <c r="E20" i="12" s="1"/>
  <c r="G18" i="12"/>
  <c r="G20" i="12" s="1"/>
  <c r="H18" i="12"/>
  <c r="H20" i="12" s="1"/>
  <c r="J20" i="12"/>
  <c r="F26" i="6" l="1"/>
  <c r="F28" i="6"/>
  <c r="F11" i="14" l="1"/>
  <c r="F27" i="6" l="1"/>
  <c r="F25" i="6"/>
  <c r="E24" i="6" l="1"/>
  <c r="E69" i="11" l="1"/>
  <c r="C45" i="10"/>
  <c r="D3" i="36" l="1"/>
  <c r="C3" i="36"/>
  <c r="F2" i="37"/>
  <c r="F3" i="23"/>
  <c r="C1" i="37"/>
  <c r="C1" i="38" s="1"/>
  <c r="E15" i="22"/>
  <c r="A15" i="22"/>
  <c r="A12" i="22"/>
  <c r="A16" i="21"/>
  <c r="F6" i="21"/>
  <c r="E6" i="21"/>
  <c r="D6" i="21"/>
  <c r="B47" i="18"/>
  <c r="B28" i="18"/>
  <c r="B10" i="18"/>
  <c r="E6" i="16"/>
  <c r="B3" i="13"/>
  <c r="B4" i="11"/>
  <c r="C4" i="11" s="1"/>
  <c r="B3" i="11"/>
  <c r="G6" i="7"/>
  <c r="G4" i="8" s="1"/>
  <c r="G4" i="9" s="1"/>
  <c r="D7" i="7"/>
  <c r="E7" i="7" s="1"/>
  <c r="A57"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9"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I13" i="12"/>
  <c r="F13" i="12"/>
  <c r="I12" i="12"/>
  <c r="F12" i="12"/>
  <c r="I11" i="12"/>
  <c r="F11"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I12" i="7"/>
  <c r="E5" i="8"/>
  <c r="I18" i="8" l="1"/>
  <c r="E5" i="9"/>
  <c r="I20" i="12"/>
  <c r="K20" i="12"/>
  <c r="F41" i="9"/>
  <c r="M40" i="9" s="1"/>
  <c r="F20" i="12"/>
  <c r="K18" i="8"/>
  <c r="J12" i="9"/>
  <c r="G12" i="9"/>
  <c r="K12" i="7"/>
  <c r="I11" i="9"/>
  <c r="H12" i="9"/>
  <c r="F11" i="9"/>
  <c r="K11" i="9"/>
  <c r="D67" i="11" l="1"/>
  <c r="D69" i="13"/>
</calcChain>
</file>

<file path=xl/sharedStrings.xml><?xml version="1.0" encoding="utf-8"?>
<sst xmlns="http://schemas.openxmlformats.org/spreadsheetml/2006/main" count="1730" uniqueCount="789">
  <si>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</si>
  <si>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</si>
  <si>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</si>
  <si>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</si>
  <si>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</si>
  <si>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</si>
  <si>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</si>
  <si>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</si>
  <si>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</si>
  <si>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</si>
  <si>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</si>
  <si>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</si>
  <si>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</si>
  <si>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</si>
  <si>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</si>
  <si>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</si>
  <si>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</si>
  <si>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</si>
  <si>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</si>
  <si>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</si>
  <si>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</si>
  <si>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</si>
  <si>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</si>
  <si>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</si>
  <si>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</si>
  <si>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</si>
  <si>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</si>
  <si>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</si>
  <si>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</si>
  <si>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</si>
  <si>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</si>
  <si>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</si>
  <si>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</si>
  <si>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</si>
  <si>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</si>
  <si>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</si>
  <si>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</si>
  <si>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</si>
  <si>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</si>
  <si>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</si>
  <si>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</si>
  <si>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</si>
  <si>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</si>
  <si>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</si>
  <si>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</si>
  <si>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</si>
  <si>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</si>
  <si>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</si>
  <si>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</si>
  <si>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</si>
  <si>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</si>
  <si>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</si>
  <si>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</si>
  <si>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</si>
  <si>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</si>
  <si>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</si>
  <si>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</si>
  <si>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</si>
  <si>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</si>
  <si>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</si>
  <si>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</si>
  <si>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</si>
  <si>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</si>
  <si>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</si>
  <si>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</si>
  <si>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</si>
  <si>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</si>
  <si>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</si>
  <si>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</si>
  <si>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</si>
  <si>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</si>
  <si>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</si>
  <si>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</si>
  <si>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</si>
  <si>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</si>
  <si>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</si>
  <si>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</si>
  <si>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</si>
  <si>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</si>
  <si>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</si>
  <si>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</si>
  <si>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</si>
  <si>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</si>
  <si>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</si>
  <si>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</si>
  <si>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</si>
  <si>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</si>
  <si>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</si>
  <si>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</si>
  <si>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</si>
  <si>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</si>
  <si>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</si>
  <si>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</si>
  <si>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</si>
  <si>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</si>
  <si>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</si>
  <si>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</si>
  <si>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</si>
  <si>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</si>
  <si>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</si>
  <si>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</si>
  <si>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</si>
  <si>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</si>
  <si>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</si>
  <si>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</si>
  <si>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</si>
  <si>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</si>
  <si>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</si>
  <si>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</si>
  <si>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</si>
  <si>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</si>
  <si>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</si>
  <si>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</si>
  <si>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</si>
  <si>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</si>
  <si>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</si>
  <si>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</si>
  <si>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</si>
  <si>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</si>
  <si>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</si>
  <si>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</si>
  <si>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</si>
  <si>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</si>
  <si>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</si>
  <si>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</si>
  <si>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</si>
  <si>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</si>
  <si>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</si>
  <si>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</si>
  <si>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</si>
  <si>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</si>
  <si>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</si>
  <si>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</si>
  <si>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</si>
  <si>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</si>
  <si>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</si>
  <si>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</si>
  <si>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</si>
  <si>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</si>
  <si>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</si>
  <si>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</si>
  <si>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</si>
  <si>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</si>
  <si>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</si>
  <si>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</si>
  <si>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</si>
  <si>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</si>
  <si>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</si>
  <si>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</si>
  <si>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</si>
  <si>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</si>
  <si>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</si>
  <si>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</si>
  <si>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</si>
  <si>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</si>
  <si>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</si>
  <si>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</si>
  <si>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</si>
  <si>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</si>
  <si>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</si>
  <si>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</si>
  <si>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</si>
  <si>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</si>
  <si>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</si>
  <si>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</si>
  <si>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</si>
  <si>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</si>
  <si>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</si>
  <si>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</si>
  <si>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</si>
  <si>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</si>
  <si>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</si>
  <si>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</si>
  <si>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</si>
  <si>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</si>
  <si>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</si>
  <si>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</si>
  <si>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</si>
  <si>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</si>
  <si>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</si>
  <si>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</si>
  <si>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</si>
  <si>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</si>
  <si>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</si>
  <si>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</si>
  <si>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</si>
  <si>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</si>
  <si>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</si>
  <si>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</si>
  <si>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</si>
  <si>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</si>
  <si>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</si>
  <si>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</si>
  <si>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</si>
  <si>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</si>
  <si>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</si>
  <si>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</si>
  <si>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</si>
  <si>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</si>
  <si>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</si>
  <si>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</si>
  <si>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</si>
  <si>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</si>
  <si>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</si>
  <si>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</si>
  <si>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</si>
  <si>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</si>
  <si>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</si>
  <si>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</si>
  <si>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</si>
  <si>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</si>
  <si>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</si>
  <si>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</si>
  <si>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</si>
  <si>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</si>
  <si>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</si>
  <si>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</si>
  <si>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</si>
  <si>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</si>
  <si>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</si>
  <si>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</si>
  <si>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</si>
  <si>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</si>
  <si>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</si>
  <si>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</si>
  <si>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</si>
  <si>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</si>
  <si>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</si>
  <si>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</si>
  <si>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</si>
  <si>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</si>
  <si>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</si>
  <si>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</si>
  <si>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</si>
  <si>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</si>
  <si>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</si>
  <si>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</si>
  <si>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</si>
  <si>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</si>
  <si>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</si>
  <si>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</si>
  <si>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</si>
  <si>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</si>
  <si>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</si>
  <si>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</si>
  <si>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</si>
  <si>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</si>
  <si>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</si>
  <si>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</si>
  <si>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</si>
  <si>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</si>
  <si>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</si>
  <si>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</si>
  <si>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</si>
  <si>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</si>
  <si>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</si>
  <si>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</si>
  <si>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</si>
  <si>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</si>
  <si>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</si>
  <si>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</si>
  <si>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</si>
  <si>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</si>
  <si>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</si>
  <si>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</si>
  <si>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</si>
  <si>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</si>
  <si>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</si>
  <si>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</si>
  <si>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</si>
  <si>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</si>
  <si>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</si>
  <si>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</si>
  <si>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</si>
  <si>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</si>
  <si>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</si>
  <si>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</si>
  <si>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</si>
  <si>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</si>
  <si>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</si>
  <si>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</si>
  <si>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</si>
  <si>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</si>
  <si>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</si>
  <si>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</si>
  <si>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</si>
  <si>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</si>
  <si>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</si>
  <si>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</si>
  <si>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</si>
  <si>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</si>
  <si>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</si>
  <si>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</si>
  <si>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</si>
  <si>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</si>
  <si>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</si>
  <si>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</si>
  <si>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</si>
  <si>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</si>
  <si>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</si>
  <si>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</si>
  <si>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</si>
  <si>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</si>
  <si>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</si>
  <si>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</si>
  <si>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</si>
  <si>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</si>
  <si>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</si>
  <si>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</si>
  <si>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</si>
  <si>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</si>
  <si>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</si>
  <si>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</si>
  <si>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</si>
  <si>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</si>
  <si>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</si>
  <si>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</si>
  <si>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</si>
  <si>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</si>
  <si>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</si>
  <si>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</si>
  <si>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</si>
  <si>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</si>
  <si>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</si>
  <si>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</si>
  <si>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</si>
  <si>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</si>
  <si>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</si>
  <si>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</si>
  <si>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</si>
  <si>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</si>
  <si>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</si>
  <si>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</si>
  <si>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</si>
  <si>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</si>
  <si>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</si>
  <si>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</si>
  <si>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</si>
  <si>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</si>
  <si>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</si>
  <si>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</si>
  <si>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</si>
  <si>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</si>
  <si>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</si>
  <si>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</si>
  <si>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</si>
  <si>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</si>
  <si>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</si>
  <si>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</si>
  <si>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</si>
  <si>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</si>
  <si>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</si>
  <si>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</si>
  <si>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</si>
  <si>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</si>
  <si>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</si>
  <si>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</si>
  <si>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</si>
  <si>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</si>
  <si>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</si>
  <si>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</si>
  <si>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</si>
  <si>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</si>
  <si>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</si>
  <si>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</si>
  <si>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</si>
  <si>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</si>
  <si>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</si>
  <si>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</si>
  <si>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</si>
  <si>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</si>
  <si>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</si>
  <si>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</si>
  <si>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</si>
  <si>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</si>
  <si>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</si>
  <si>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</si>
  <si>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</si>
  <si>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</si>
  <si>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</si>
  <si>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</si>
  <si>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</si>
  <si>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</si>
  <si>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</si>
  <si>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</si>
  <si>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</si>
  <si>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</si>
  <si>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</si>
  <si>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</si>
  <si>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</si>
  <si>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</si>
  <si>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</si>
  <si>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</si>
  <si>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</si>
  <si>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</si>
  <si>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</si>
  <si>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</si>
  <si>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</si>
  <si>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</si>
  <si>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</si>
  <si>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</si>
  <si>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</si>
  <si>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</si>
  <si>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</si>
  <si>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</si>
  <si>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</si>
  <si>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</si>
  <si>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</si>
  <si>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</si>
  <si>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</si>
  <si>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</si>
  <si>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</si>
  <si>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</si>
  <si>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</si>
  <si>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</si>
  <si>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</si>
  <si>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</si>
  <si>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</si>
  <si>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</si>
  <si>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</si>
  <si>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</si>
  <si>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</si>
  <si>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</si>
  <si>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</si>
  <si>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</si>
  <si>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</si>
  <si>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</si>
  <si>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</si>
  <si>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</si>
  <si>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</si>
  <si>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</si>
  <si>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</si>
  <si>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</si>
  <si>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</si>
  <si>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</si>
  <si>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</si>
  <si>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</si>
  <si>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</si>
  <si>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</si>
  <si>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</si>
  <si>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</si>
  <si>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</si>
  <si>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</si>
  <si>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</si>
  <si>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</si>
  <si>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</si>
  <si>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</si>
  <si>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</si>
  <si>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</si>
  <si>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</si>
  <si>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</si>
  <si>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</si>
  <si>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</si>
  <si>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</si>
  <si>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</si>
  <si>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</si>
  <si>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</si>
  <si>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</si>
  <si>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</si>
  <si>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</si>
  <si>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</si>
  <si>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</si>
  <si>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</si>
  <si>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</si>
  <si>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</si>
  <si>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</si>
  <si>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</si>
  <si>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</si>
  <si>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</si>
  <si>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</si>
  <si>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</si>
  <si>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</si>
  <si>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</si>
  <si>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</si>
  <si>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</si>
  <si>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</si>
  <si>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</si>
  <si>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</si>
  <si>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</si>
  <si>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</si>
  <si>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</si>
  <si>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</si>
  <si>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</si>
  <si>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</si>
  <si>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</si>
  <si>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</si>
  <si>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</si>
  <si>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</si>
  <si>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</si>
  <si>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</si>
  <si>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</si>
  <si>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</si>
  <si>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</si>
  <si>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</si>
  <si>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</si>
  <si>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</si>
  <si>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</si>
  <si>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</si>
  <si>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</si>
  <si>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</si>
  <si>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</si>
  <si>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</si>
  <si>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</si>
  <si>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</si>
  <si>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</si>
  <si>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</si>
  <si>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</si>
  <si>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</si>
  <si>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</si>
  <si>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</si>
  <si>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</si>
  <si>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</si>
  <si>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</si>
  <si>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</si>
  <si>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</si>
  <si>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</si>
  <si>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</si>
  <si>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</si>
  <si>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</si>
  <si>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</si>
  <si>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</si>
  <si>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</si>
  <si>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</si>
  <si>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</si>
  <si>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</si>
  <si>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</si>
  <si>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</si>
  <si>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</si>
  <si>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</si>
  <si>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</si>
  <si>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</si>
  <si>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</si>
  <si>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</si>
  <si>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</si>
  <si>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</si>
  <si>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</si>
  <si>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</si>
  <si>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</si>
  <si>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M.C.H. TUPURI</t>
  </si>
  <si>
    <t xml:space="preserve">C.T. ILO 2  </t>
  </si>
  <si>
    <t>C.T. LAS FLORES</t>
  </si>
  <si>
    <t>2023 / 2022</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</si>
  <si>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</si>
  <si>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</si>
  <si>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</si>
  <si>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</si>
  <si>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</si>
  <si>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</si>
  <si>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</si>
  <si>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</si>
  <si>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</si>
  <si>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</si>
  <si>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</si>
  <si>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</si>
  <si>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</si>
  <si>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</si>
  <si>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</si>
  <si>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</si>
  <si>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</si>
  <si>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</si>
  <si>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</si>
  <si>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</si>
  <si>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</si>
  <si>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</si>
  <si>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</si>
  <si>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</si>
  <si>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</si>
  <si>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</si>
  <si>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Nota: La generación de energia de la TV de C.T. Oquendo producto del vapor de agua sumistrado por Sudamericana de Fibras S.A. es considerada en el recurso de Gas Natural de Camisea</t>
  </si>
  <si>
    <t>Fecha de Ingreso</t>
  </si>
  <si>
    <t>Fecha de Retiro</t>
  </si>
  <si>
    <t>TG1</t>
  </si>
  <si>
    <t>SANTA ROSA N. - CHAVARRÍA</t>
  </si>
  <si>
    <t>18:45</t>
  </si>
  <si>
    <t>20:15</t>
  </si>
  <si>
    <t>282.77</t>
  </si>
  <si>
    <t xml:space="preserve">EGESUR </t>
  </si>
  <si>
    <t>C.H. Quitaracsa</t>
  </si>
  <si>
    <t>C.H. Aricota 2</t>
  </si>
  <si>
    <t>G1; G2</t>
  </si>
  <si>
    <t>Viento</t>
  </si>
  <si>
    <t>AEROGENERADOR</t>
  </si>
  <si>
    <t xml:space="preserve">C.E. Punta Lomitas </t>
  </si>
  <si>
    <t>16.06.2023</t>
  </si>
  <si>
    <t>24.05.2023</t>
  </si>
  <si>
    <t>CHILCA - PLANICIE</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</si>
  <si>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</si>
  <si>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</si>
  <si>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</si>
  <si>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</si>
  <si>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</si>
  <si>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</si>
  <si>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</si>
  <si>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</si>
  <si>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</si>
  <si>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</si>
  <si>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</si>
  <si>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</si>
  <si>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</si>
  <si>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</si>
  <si>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C.T. OQUENDO (1) (4) (8)</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</si>
  <si>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</si>
  <si>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</si>
  <si>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</si>
  <si>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</si>
  <si>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</si>
  <si>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</si>
  <si>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11:15</t>
  </si>
  <si>
    <t>CONELSUR LT SAC</t>
  </si>
  <si>
    <t>STATKRAFT S.A</t>
  </si>
  <si>
    <t>C.S. CLEMESI</t>
  </si>
  <si>
    <t>19:15</t>
  </si>
  <si>
    <t>15:30</t>
  </si>
  <si>
    <t>ELECTROCENTRO</t>
  </si>
  <si>
    <t>L. NEPEÑA - CASMA L-1113</t>
  </si>
  <si>
    <t>RED DE ENERGIA DEL PERU S.A.</t>
  </si>
  <si>
    <t>L. TRUJILLO NORTE - CHIMBOTE 1 L-2233</t>
  </si>
  <si>
    <t>ELECTRO SUR ESTE</t>
  </si>
  <si>
    <t>Línea de transmisión</t>
  </si>
  <si>
    <t>Transformador</t>
  </si>
  <si>
    <t>(9) Fusión por absorción de la EMPRESA ENEL GENERACIÓN PERÚ S.A.A. a la empresa ENEL GREEN POWER PERÚ S.A.C. desde el 01/08/1991</t>
  </si>
  <si>
    <t>ENEL GENERACION PERU (9)</t>
  </si>
  <si>
    <t>ENEL GREEN POWER PERU (9)</t>
  </si>
  <si>
    <t>ENEL GENERACION PERU  (9)</t>
  </si>
  <si>
    <t>1.1. Producción de energía eléctrica en setiembre de 2023 en comparación al mismo mes del año anterior</t>
  </si>
  <si>
    <t>setiembre</t>
  </si>
  <si>
    <t>VOLUMEN ÚTIL
30-09-2023</t>
  </si>
  <si>
    <t>VOLUMEN ÚTIL
30-09-2022</t>
  </si>
  <si>
    <t>L-2113; L-2114; L-2115; L-2116; L-2117</t>
  </si>
  <si>
    <t>L-2215</t>
  </si>
  <si>
    <t>PORTILLO-SANTA CLARA</t>
  </si>
  <si>
    <t>L-2216; L-2217</t>
  </si>
  <si>
    <t>L-2218; L-2219</t>
  </si>
  <si>
    <t>OROYA NUEVA</t>
  </si>
  <si>
    <t>L-2220</t>
  </si>
  <si>
    <t>CHILCA - ASIA</t>
  </si>
  <si>
    <t>L-2221; L-2222</t>
  </si>
  <si>
    <t>L-2223</t>
  </si>
  <si>
    <t>L-2224</t>
  </si>
  <si>
    <t>Generador Hidroeléctrico</t>
  </si>
  <si>
    <t>Sub estación</t>
  </si>
  <si>
    <t>L. HUARAZ - HUARAZ OESTE L-6694</t>
  </si>
  <si>
    <t>29/09/2023 16:47</t>
  </si>
  <si>
    <t>Se produjo la desconexión de la línea L-6694 (Huaraz Oeste - Huaraz) de 66 kV por falla trifásica, debido a descargas atmosféricas en la zona de falla, según lo informado por HIDRANDINA, titular de la línea. Como consecuencia se interrumpieron los suministros de las SS.EE. Huaraz y Ticapampa con un total de 17 MW, asimismo desconectó la C.H. Pariac con 1.36 MW. A las 16:50:50 h, se conectó la línea L-6694 y se procedieron a recuperar el suministro interrumpido. A las 17:11 h C.H Pariac sincronizó con el SEIN.</t>
  </si>
  <si>
    <t>L. SAN GABÁN II - MAZUCO L-1014</t>
  </si>
  <si>
    <t>29/09/2023 14:50</t>
  </si>
  <si>
    <t>Desconectó la línea L-1014 (San Gabán – Mazuco) de 138 kV por falla monofásica en la fase "T" a 59.8 km de la S.E. San Gabán, debido a probable contacto de objeto extraño con el conductor de la línea, según lo informado por ELECTRO SUR ESTE, titular de la línea. Como consecuencia se interrumpió el suministro de Mazuco y Puerto Maldonado con un total de 24.572 MW. Asimismo, se produjo la desconexión del generador G1 de la C.H. El Angel III con 4.3 MW. A las 14:59 h se conectó la línea L-1014. A las 15:03 h se conectó la línea L-1015 y se procedió a normalizar los suministros interrumpidos. A las 15:17 h, la unidad G1 de la C.H. Angel III sincronizó con el SEIN.</t>
  </si>
  <si>
    <t>COMPAÑIA TRANSMISORA AUTONOMA S.A.C.</t>
  </si>
  <si>
    <t>L. TRUJILLO NORTE - ALTO CHICAMA L-1136</t>
  </si>
  <si>
    <t>28/09/2023 13:58</t>
  </si>
  <si>
    <t>Desconectó la línea L-1136 (Trujillo Norte - Alto Chicama) de 138 kV por falla trifásica a 68.4 km de la S.E Trujillo Norte, debido a descarga atmosférica en la zona, según lo informado por COMPAÑÍA TRANSMISORA AUTÓNOMA, titular de la línea. Como consecuencia se interrumpió el suministro de la S.E. Alto Chicama con 14.30 MW aproximadamente. La línea quedó fuera de servicio para inspección. 
A las 14:22:37 h, se conectó la línea y restableció el suministro interrumpido.</t>
  </si>
  <si>
    <t>ELECTRO PUNO</t>
  </si>
  <si>
    <t>L. AZÁNGARO - ANTAUTA L-6021</t>
  </si>
  <si>
    <t>28/09/2023 07:10</t>
  </si>
  <si>
    <t>Desconectó la línea L-6021 (Azángaro - Antauta) de 60 kV por falla debido a intensa nevada en la zona, de acuerdo con lo informado por ELECTRO PUNO, titular del equipo. Como consecuencia se interrumpió el suministro de la S.E. Antauta con 1.1 MW.
A las 07:10 h, se conectó la línea y se procedió a recuperar los suministros interrumpidos</t>
  </si>
  <si>
    <t>28/09/2023 07:02</t>
  </si>
  <si>
    <t>Desconectó la línea L-6021 (Azángaro - Antauta) de 60 kV por falla debido a intensa nevada en la zona, de acuerdo con lo informado por ELECTRO PUNO, titular del equipo. Como consecuencia se interrumpió el suministro de la S.E. Antauta con 1.3 MW. A las 07:03 h, se conectó la línea y se procedió a recuperar los suministros interrumpidos.</t>
  </si>
  <si>
    <t>L. AZÁNGARO - SAN RAFAEL L-1009</t>
  </si>
  <si>
    <t>28/09/2023 07:18</t>
  </si>
  <si>
    <t>Desconectó la línea L-1009 (Azangaro - San Rafael) de 138 kV por falla bifásica entre las fases "S" y "T" a 7.96 km de la S.E San Rafael, debido a intensa nevada en la zona, según lo informado por SAN GABÁN, titular de la línea. Al momento del evento, la línea L-1051 (Ángel - San Rafael) y L-1010 (San Gabán - Azángaro) de 138 kV se encontraban fuera de servicio. Como consecuencia se interrumpió la carga de la S.E. San Rafael con un total de 5.2 MW. 
A las 09:53 h, MINSUR conectó la línea L-6021 de 60 kV para normalizar parcialmente el suministro interrumpido. A las 10:11 h, se conectó la línea L-1009 y se procedió a normalizar el suministro interrumpido.</t>
  </si>
  <si>
    <t>28/09/2023 06:19</t>
  </si>
  <si>
    <t>Desconectó la línea L-1009 (Azángaro - San Rafael) de 138 kV por falla bifásica entre las fases "S" y "T" debido a intensa nevada en la zona a 6.9 km de la S.E San Rafael, según lo informado por SAN GABÁN, titular de la línea. Al momento de la falla, la línea L-1051 (Ángel - San Rafael) de 138 kV se encontraba fuera de servicio por falla. Como consecuencia se interrumpió el suministro del usuario libre MINSUR en la S.E. San Rafael con un total de 19 MW. A las 06:35 h, se conectó la línea y se procedió a recuperar el suministro interrumpido</t>
  </si>
  <si>
    <t>28/09/2023 06:39</t>
  </si>
  <si>
    <t>Desconectó la línea L-6021 (Azángaro - Antauta) de 60 kV por falla debido a intensa nevada en la zona, de acuerdo con lo informado por ELECTRO PUNO, titular del equipo. Como consecuencia se interrumpió el suministro de la S.E. Antauta con 1.53 MW.
A las 06:41 h, se conectó la línea y se procedió a recuperar los suministros interrumpidos.</t>
  </si>
  <si>
    <t>28/09/2023 02:43</t>
  </si>
  <si>
    <t>Desconectó la línea L-6021 (Azángaro - Antauta) de 60 kV por falla debido a intensa nevada en la zona, de acuerdo con lo informado por ELECTRO PUNO, titular del equipo. Como consecuencia se interrumpió el suministro de Antauta (1.7 MW). 
A las 02:45 h, se conectó la línea y se procedió a recuperar el suministro interrumpido.</t>
  </si>
  <si>
    <t>ISA PERU</t>
  </si>
  <si>
    <t>L. AGUAYTÍA - TINGO MARÍA L-2251</t>
  </si>
  <si>
    <t>27/09/2023 23:02</t>
  </si>
  <si>
    <t>L. PUNO - POMATA - ILAVE L-6027</t>
  </si>
  <si>
    <t>27/09/2023 04:39</t>
  </si>
  <si>
    <t>Desconectó la línea L-6027 (Puno – Pomata – Ilave) de 60 kV por falla debido a fuertes vientos en la zona, según lo informado por Electropuno, titular de la línea. Como consecuencia se interrumpió el suministro de Pomata e Ilave con un total 3.16 MW. A las 04:40:05 h, se energizó la línea y se procedió a normalizar el suministro interrumpido.</t>
  </si>
  <si>
    <t>L. CHIMBOTE SUR - NEPEÑA L-1112</t>
  </si>
  <si>
    <t>27/09/2023 04:34</t>
  </si>
  <si>
    <t xml:space="preserve">Desconectó la línea L-1112 (Chimbote Sur – Nepeña) de 138 kV por falla monofásica en la fase "R" originado por acto vandálico, según lo informado por Hidrandina, titular de la línea. Como consecuencia, C.T. San Jacinto quedó operando en modo aislado, asimismo, se interrumpió el suministro de Nepeña, Casma y San Jacinto con un total de 7.59 MW. Asimismo, el usuario libre Sider Perú disminuyó su carga en total 4 MW. 
A las 04:50 h, se coordinó Sider Perú normalizar su carga interrumpida.
A las 07:29 h se conectó la línea y se procedió a recuperar suministros interrumpidos.
A las 07:40 h la C.T San Jacinto Sincronizó con el SEIN.
</t>
  </si>
  <si>
    <t>KALLPA GENERACION S.A.</t>
  </si>
  <si>
    <t>L. KALLPA - CHILCA L-2097</t>
  </si>
  <si>
    <t>26/09/2023 13:48</t>
  </si>
  <si>
    <t>L. OXAPAMPA - VILLA RICA L-6080</t>
  </si>
  <si>
    <t>26/09/2023 09:20</t>
  </si>
  <si>
    <t>Desconectó la línea L-6080 (Oxapampa - Villa Rica) de 60 kV por actuación incorrecta de su sistema de protección, según lo informado por Electrocentro, titular de la línea. Como consecuencia se interrumpió la SE. Villa Rica con una carga de 14.78 MW. A las 09:28:27 h, se conectó la línea L-6080 y se procedió a la recuperación del suministro interrumpido.</t>
  </si>
  <si>
    <t>S.E. YAUPI 4TP-912</t>
  </si>
  <si>
    <t>25/09/2023 18:14</t>
  </si>
  <si>
    <t>Desconectó el transformador 4TP-912 de 138/13.8 kV en la S.E. Yaupi por su protección de sobrecorriente de fases, debido a sobrecarga en el transformador, según lo informado por Electrocentro, titular del transformador. Como consecuencia se interrumpió el suministro de la S.E. Oxapampa con 24.16 MW. A las 18:23:22 h, se conectó el transformador y se procedió a recuperar los suministros interrumpidos.</t>
  </si>
  <si>
    <t>ELECTRONOROESTE S.A.</t>
  </si>
  <si>
    <t>L. PIURA OESTE - EJIDOS L-6657</t>
  </si>
  <si>
    <t>24/09/2023 18:46</t>
  </si>
  <si>
    <t>Desconectó la línea L-6657 (Piura Oeste – Los Ejidos) de 60 kV por falla monofásica en la fase "R" ubicada en la estructura N° 50, debido al contacto de un ave de rapiña con el conductor de la línea, según lo informado por Electronoroeste, titular de la línea. Como consecuencia se interrumpió los suministros de Los Ejidos, Chulucanas, Loma Larga y Morropón con un total de 26.47 MW. 
A las 18:55 h, se conectó la línea y se procedió a normalizar el suministro interrumpido.</t>
  </si>
  <si>
    <t>24/09/2023 15:02</t>
  </si>
  <si>
    <t>L. PARAGSHA I - GOYLLAR L-6524</t>
  </si>
  <si>
    <t>22/09/2023 23:08</t>
  </si>
  <si>
    <t>Desconectó la línea L-6024B (Pasco - Huicra) de 50 kV por falla monofásica en la fase "S" en la estructura N° 108, debido al intento de hurto de conductor, según lo informado por ELECTROCENTRO, titular del equipo. Como consecuencia se interrumpió la carga de las SS.EE. Huicra, Antagasha, Goyllarisquizga, con un total de 0.66 MW. La línea quedó fuera de servicio para su inspección. El día 23.09.2023 a las 13:09:41 h se conectó la línea y se procedió a restablecer el suministro interrumpido.</t>
  </si>
  <si>
    <t>22/09/2023 17:51</t>
  </si>
  <si>
    <t>Se produjo la desconexión de línea L-2233 (Chimbote 1 - Trujillo Norte) en 220 kV por falla monofásica en la fase "R" y seguido de una falla bifásica entre las fases "R" y "T", debido a quema de caña, según lo informado por RED DE ENERGÍA DEL PERÚ, titular del equipo. Como consecuencia se produjo una reducción de carga de SIDER PERU en 4 MW. A las 18:04 h se coordinó con SIDER PERÚ recuperar sus suministros interrumpidos.  A las 20:26 h la línea se puso en servicio.</t>
  </si>
  <si>
    <t>S.E. PASCO SS.EE.</t>
  </si>
  <si>
    <t>22/09/2023 15:56</t>
  </si>
  <si>
    <t>Desconectó la línea L-6024B (Pasco - Huicra) de 50 kV por falla trifásica, debido a descargas atmosféricas en la zona, según lo informado por ELECTROCENTRO, titular del equipo. Como consecuencia se interrumpió la carga de las SS.EE. Huicra, Antagasha, Goyllarisquizga, con un total de 0.59 MW. A las 16:09 h se puso en servicio la línea y se procedió a recuperar el suministro interrumpido.</t>
  </si>
  <si>
    <t>18/09/2023 16:38</t>
  </si>
  <si>
    <t>Desconectó la línea L-6080 (Oxapampa - Villa Rica) de 60 kV, por falla monofásica a tierra en la fase "S", debido a descargas atmosféricas en la zona, según lo informado por ELECTROCENTRO, titular del equipo. Como consecuencia se interrumpió la carga de las SS.EE. Villa Rica, Pichanaki, Satipo, Chalhuamayo, Puerto Bermúdez y Ciudad Constitución con un total de 21.08 MW. A las 16:54:34 h se puso en servicio la línea y se procedió a recuperar el suministro interrumpido.</t>
  </si>
  <si>
    <t>L. CHAVARRÍA - CAJAMARQUILLA L-2015</t>
  </si>
  <si>
    <t>13/09/2023 18:20</t>
  </si>
  <si>
    <t>L. TABLAZO-ARENAL L-6663</t>
  </si>
  <si>
    <t>13/09/2023 07:01</t>
  </si>
  <si>
    <t>Desconectaron las líneas de 60 kV L-6662B (Huaca - El Arenal) en la S.E. Huaca y L-6663 (El Arenal - Tablazo) en la S.E. Tablazo, debido a falla monofásica en la fase "S", por impacto de ave en el poste N°113 de la línea L-6663, según lo informado por ENOSA, titular del equipo. Como consecuencia, se interrumpió el suministro en la S.E. El Arenal con 5.6 MW. A las 07:24 h, se conectaron las líneas y se procedió a normalizar el suministro interrumpido.</t>
  </si>
  <si>
    <t xml:space="preserve">SINERSA                                           </t>
  </si>
  <si>
    <t>L. POECHOS - SULLANA L-6668</t>
  </si>
  <si>
    <t>12/09/2023 10:12</t>
  </si>
  <si>
    <t>Se produjo la desconexión de la línea L-6668 (Sullana - Poechos) de 60 kV por falla monofásica en la fase "S" a 5.4 km de la S.E. Sullana, debido a impacto e ave de rapiña en la estructura N° E177, según lo informado por SINERSA, titular de la línea. Como consecuencia se interrumpió el suministro de la S.E. Poechos, con un total de 10.67 MW, y desconectó la C.H. Poechos II. A las 10:25:00 h, se conectó la línea y se inició el restablecimiento del suministro interrumpido. A las 11:04 h, la C.H. Poechos II sincronizó con el SEIN.</t>
  </si>
  <si>
    <t>10/09/2023 18:57</t>
  </si>
  <si>
    <t>Se produjo la desconexión de la línea L-1112 (Chimbote Sur – Nepeña) de 138 kV por falla monofásica en la fase "R" a 6.8 km de la S.E. Nepeña, cuya causa no fue informada por HIDRANDINA, titular de la línea. Como consecuencia se interrumpió el suministro de las SS.EE. Nepeña, Casma y San Jacinto con un total 10.43 MW de carga. A las 19:04 h, se realizó una maniobra de conexión en línea L-1112 sin éxito y quedó indisponible por inspección. A las 00:53:57 h del 11.09.2023, la línea L-1112 se conectó y se restableció el suministro interrumpido.</t>
  </si>
  <si>
    <t>L. PARAMONGA N. - PARAMONGA E. L-1101</t>
  </si>
  <si>
    <t>09/09/2023 11:46</t>
  </si>
  <si>
    <t>Desconectó la C.H. Cahua que se encontraba en sistema aislado con la S.E. Paramonga Existente por falla en la fase "R" de la línea L-1101 (Paramonga Nueva – Paramonga Existente) de 138 kV durante la maniobra de energización, debido a causa no informada por STATKRAFT, titular de la línea. Asimismo, se produjo la desconexión de la línea L-1033. Como consecuencia la C.T. Paramonga quedó operando en sistema aislado con la carga de la Planta de Azúcar y se interrumpió el suministro de PANASA con un total de 14.2 MW.
A las 13:33 h, se energizó nuevamente la L-1101 desde la SE. Paramonga Nueva y desconectó por falla en la fase "R" luego de 15 segundos. A las 16:27 h, la línea L-1101 entró en servicio y se coordinó recuperar la carga interrumpida, después de que STATKRAFT retornará las líneas L-1101 y L-1102 a su configuración original. La línea L-1102 quedo indisponible.</t>
  </si>
  <si>
    <t>C.H. CAHUA                                              G1</t>
  </si>
  <si>
    <t>09/09/2023 08:20</t>
  </si>
  <si>
    <t>Se produjo la actuación del ERACMF (esquema de rechazo automático de carga por mínima frecuencia) en el sistema aislado Cahua debido a problemas en el regulador del generador G1 de la CH Cahua, según lo informado por Statkraft, titular del generador. Se interrumpió el suministro del usuario libre PANASA (1 MW). A las 08:29 h, se coordinó normalizar la carga interrumpida.
A las 08:55 h, nuevamente la frecuencia disminuyó a 58.984 Hz. A las 09:10 h, la frecuencia disminuyó de 59.937 Hz a 59.201 Hz. A las 09:21 h, se coordinó con Kallpa Generación que su cliente PANASA recupere su carga en coordinación con SKP. A las 09:38 h, se coordinó con STATKRAFT suspender los trabajos por problemas de regulación de frecuencia de C.H. Cahua.</t>
  </si>
  <si>
    <t>06/09/2023 04:26</t>
  </si>
  <si>
    <t>Desconectó la línea L-1113 (Nepeña – Casma) de 138 kV por falla a 19.3 km de la S.E. Nepeña por falla bifásica entre las fases "R y S", debido a rotura de aisladores en la estructura E89 de la línea, según lo informador por Hidrandina, titular de la línea. Como consecuencia, se interrumpió el suministro de Casma con 4.5 MW y el usuario libre Sider Perú disminuyó su carga de 51 MW a 44 MW. A las 04:28:49 h, se conectó la línea y se procedió a normalizar el suministro interrumpido.</t>
  </si>
  <si>
    <t>L. PICHANAKI - SATIPO L-6086</t>
  </si>
  <si>
    <t>06/09/2023 14:53</t>
  </si>
  <si>
    <t>Desconectó nuevamente la línea L-6086 (Pichanaki – Satipo) de 60 kV por falla debido a descarga atmosférica en la zona de Satipo, según lo informado por Electrocentro, titular de la línea. Como consecuencia, se interrumpió el suministro de la S.E. Satipo con 4.8 MW. A las 15:10:47 h, se conectó la línea L-6086 y se procedió a normalizar el suministro de Satipo.</t>
  </si>
  <si>
    <t>06/09/2023 14:35</t>
  </si>
  <si>
    <t>Desconectó la línea L-6086 (Pichanaki – Satipo) de 60 kV por falla debido a descargas atmosféricas en la zona de Satipo, según lo informado por Electrocentro, titular de la línea. Como consecuencia, se interrumpió el suministro de la SE. Satipo con 5.7 MW. A las 14:47:29 h, se conectó la línea L-6086 y se procedió a normalizar el suministro de Satipo.</t>
  </si>
  <si>
    <t>TRANSMANTARO</t>
  </si>
  <si>
    <t>L. MANTARO - COTARUSE L-2051</t>
  </si>
  <si>
    <t>06/09/2023 17:35</t>
  </si>
  <si>
    <t>Desconectaron simultáneamente las líneas L-2051/L2052 (Mantaro - Cotaruse) de 220 KV por actuación de sus protecciones de distancia (21), en la línea L-2051 se produjo falla monofásica en la fase "S" de la línea L-2051, y en la línea L-2052 se produjo una falla monofásica en la fase "S" que evolucionó a falla bifásica a tierra "ST". Asimismo, desconectó el  reactor XL12 de la línea L-2052 en la SE. Cotaruse por actuación de su protección diferencial (87T) según lo informado por Transmantaro, titular de los equipos. Como consecuencia, los usuarios libres Mineras Las Bambas y Cerro Verde disminuyeron su carga en 80,58 MW MW y 35,37 MW, respectivamente.
A las 17:36 h y 17:44 h, se coordinó con Minera Las Bambas y Minera Cerro Verde, respectivamente, normalizar su carga interrumpida. A las 19:21:45 h, se conectó la línea L-2051. A las 20:48:19 h, se conectó la línea L-2052. A las 21:24:18 h, se conectó el reactor XL12.</t>
  </si>
  <si>
    <t>L. VILLA RICA - PICHANAKI L-6084</t>
  </si>
  <si>
    <t>06/09/2023 13:49</t>
  </si>
  <si>
    <t>Desconectó la línea L-6084 (Villarica - Pichanaki) de 60 kV, por falla debido a descargas atmosféricas en la zona de Pichanaki, según lo informado por Electrocentro, titular de la línea. Como consecuencia se interrumpió el suministro de Satipo y Pichanaki con un total de 7 MW. A las 14:10:39 h, se conectó la L-6084 y se procedió a normalizar el suministro interrumpido.</t>
  </si>
  <si>
    <t>L. TRUJILLO NORTE - CHIMBOTE 1 L-2232</t>
  </si>
  <si>
    <t>05/09/2023 15:14</t>
  </si>
  <si>
    <t>Desconectó la línea L-2232 (Chimbote 1 – Trujillo Norte) de 220 kV por falla bifásica entre las fases "S" y "T" a 16.4 km desde la S.E. Trujillo Norte, cuya causa no fue identificada durante la inspección, según lo informado por Red de Energía del Perú, titular de la línea. Como consecuencia, los usuarios libres Sider Perú y Cementos Pacasmayo disminuyeron su carga con un total 9,58 MW. A las 15:18 h, se coordinó con los CC-SID y CC-CNP normalizar su carga interrumpida. a las 18:21 h ingresó la línea L-2232.</t>
  </si>
  <si>
    <t>L. SURIRAY - COTARUSE L-2059</t>
  </si>
  <si>
    <t>05/09/2023 04:17</t>
  </si>
  <si>
    <t>Desconectaron las líneas de 220 kV, L-2060 (Cotaruse-Abancay Nueva) por falla bifásica entre las fases "R" y "T" a 50,02 km de la S.E. Cotaruse, debido a descargas atmosféricas en la zona de falla, según lo informado por Transmantaro, titular de la línea. Asimismo, se registró recierre no exitoso en la línea L-2059 (Cotaruse - Suriray), en el extremo de la S.E. Cotaruse por falla monofásica en la fase "R" a 57,77 km de la S.E Cotaruse.  Como consecuencia, el usuario libre Minera Las Bambas redujo su carga en 105.03 MW. A las 04:24 h, se coordinó con Mina Las Bambas recuperar su carga. A las 04:25 h, se conectó la línea L-2059 en la SE. Cotaruse. A las 05:10 h, se conectó la línea L-2060.</t>
  </si>
  <si>
    <t>LUZ DEL SUR</t>
  </si>
  <si>
    <t>L. MANCHAY - PLANICIE L-2123</t>
  </si>
  <si>
    <t>05/09/2023 01:55</t>
  </si>
  <si>
    <t>Desconectaron las líneas L-2123 y L-2124 (Planicie – Manchay) de 220 kV en el momento que se energizó el autotransformador AT134-523 de la S.E. Planicie desde 220 kV, debido a disparo externo proveniente de la protección diferencial de barras 220 kV de la S.E Planicie, según lo informado por LUZ DEL SUR, titular de las líneas. Como consecuencia, desconectaron las líneas L-641 y L-642 en la S.E. Planicie y las SS.EE. Manchay, Pachacútec, Progreso, Planicie, Vertientes y Villa de Salvador quedaron fuera de servicio, interrumpiendo un total de 61.47 MW. A la 01:59 h se conectaron las líneas L-641 y L-642 de 60 kV. A las 02:13 h, se puso en servicio la línea L-2123 (Planicie - Manchay). A las 02:15 h, se pusieron en servicio las líneas L-2134 (Manchay – Pachacútec) y L-2135 (Pachacútec - Progreso) y se procedió con la normalización del suministro interrumpido.</t>
  </si>
  <si>
    <t>L. CHIMBOTE 1 - CHIMBOTE SUR L-1111</t>
  </si>
  <si>
    <t>04/09/2023 03:54</t>
  </si>
  <si>
    <t>Desconectó la línea L-1111 (Chimbote-Chimbote Sur) de 138 kV por falla monofásica a tierra en la fase "S" a 10,2 km de la S.E Chimbote 1, cuya causa se encuentra en investigación, según lo informado por Hidrandina, titular de la línea. Como consecuencia, se interrumpió el suministro de la SE. Chimbote Sur, Trapecio, Nepeña y Casma con un total de 21.35 MW. Asimismo, la C.T San Jacinto quedó operando en sistema aislado. A las 04:03:41 h se conectó la línea y se inició el restablecimiento del suministro interrumpido. A las 4:22 h la C.T San Jacinto sincronizó con el SEIN.</t>
  </si>
  <si>
    <t>L. MACHUPICCHU - QUENCORO L-1002</t>
  </si>
  <si>
    <t>03/09/2023 07:21</t>
  </si>
  <si>
    <t>Desconectó la línea L-1002 (Machupicchu - Quencoro) de 138 kV por falla bifásica entre las fases "R" y "T" a 10 km de la S.E. Machupicchu, debido a descargas atmosféricas, según lo informado por EGEMSA, titular de la línea. Como consecuencia Industrias Cachimayo redujo su carga en 8,10 MW. A las 07:53:04 h, se conectó la línea después de declararse disponible. A las 07:25 h se coordinó recuperar la carga reducida.</t>
  </si>
  <si>
    <t>S.E. YAUPI TR 138/13 B</t>
  </si>
  <si>
    <t>03/09/2023 00:08</t>
  </si>
  <si>
    <t>Se produjo la desconexión del transformador T2 de 138/13.8 kV de la S.E. Yaupi, por falla en el circuito de control del mando remoto que activó una falsa señal de disparo al interruptor 0002 de 138 KV, según lo informado por STATKRAFT, titular del equipo. Como consecuencia se desconectaron los generadores G4 (18.13 MW) y G5 (20.45 MW) de la C.H. Yaupi y se interrumpió el suministro de la S.E. Oxapampa con un total de 15,16 MW. A las 04:16 h, se conectó el transformador por pruebas. A las 04:44 h, se declaró disponible el transformador y se inició el restablecimiento del suministro interrumpido. A las 05:22 h y 06:19 h los generadores G4 y G5 de la C.H Yaupi respectivamente, sincronizaron con el SEIN.</t>
  </si>
  <si>
    <t xml:space="preserve">Se produjo la desconexión de la línea L-1142 (Piedra Blanca - Tingo María) por falla trifásica a 25.8 km de la S.E Tingo María, asimismo, de manera simultánea desconectó la línea L-2251 (Tingo María-Aguaytía) de 220 kV por actuación de su sistema de protección debido a señal de "DTT" de envío y recepción; la falla en la línea L-1142 se debió a descargas atmosféricas en la zona de falla, según lo informado por ISA PERÚ, titular de la línea. Como consecuencia, desconectó el generador TG1 de la C.T. Aguaytía con 77.44 MW y colapsó el sistema eléctrico Aguaytía-Pucallpa, interrumpiéndose los suministros de ambas subestaciones con un total de 51.16 MW aproximadamente. En el instante de la falla, desconectó simultáneamente la C.H. 8 de Agosto con 9 MW. </t>
  </si>
  <si>
    <t>Desconectaron intempestivamente las líneas L-2097/L-2098 (Chilca REP – CT Kallpa) de 220 kV por actuación de su esquema de pérdida de comunicación de la protección diferencial, debido a falla en el módulo de baterías de los servicios auxiliares de la S.E Chilca REP, según lo informado por Red de Energía del Perú, titular de los equipos en la S.E Chilca REP. Como consecuencia desconectaron los generadores TG1 y TG2 de la C.T. Kallpa con 179.7 MW y 195.9 MW respectivamente y por ello la frecuencia descendió a 59.2 Hz, activando el Esquema Automático de Rechazo de Carga por Mínima Frecuencia (ERACMF), interrumpiendo un total de 120.23 MW.</t>
  </si>
  <si>
    <t xml:space="preserve">Desconectó la línea L-1014 (San Gabán - Mazuko) de 138 kV por falla monofásica en la fase "S", debido al contacto de un árbol con el conductor de la línea, según lo informado por ELECTRO SUR ESTE, titular de la línea. Como consecuencia desconectó la C.H. El Ángel con 10.8 MW y se interrumpió el suministro de las SS.EE. Mazuco y Puerto Maldonado con un total de 20.03 MW.
A las 15:10 h, se dio orden de arranque a la C.T.R.F. Puerto Maldonado para que opere en sistema aislado con la carga de Puerto Maldonado. 
</t>
  </si>
  <si>
    <t>Desconectó la S.E. Cajamarquilla de 220 kV cuando se realizaban maniobras de cambio de barras en la celda 220 kV del transformador T3 de 220/30 kV; sin embargo el seccionador de barra "B" se apertura con carga, debido a falla en el mecanismo del seccionador de barra "A" que no había completado el ciclo de cierre correctamente, según lo informado por la empresa NEXA, titular del seccionador. Como consecuencia desconectaron las barras "A" y "B" de 220 kV de la S.E. Cajamarquilla, interrumpiendo la carga del usuario libre Refinería Cajamarquilla con una carga de 70 MW, y el usuario libre Chinalco redujo 33.9 MW de carga. Así mismo, se produjo la desconexión de la unidad TG8 de la C.T. Santa Rosa con 190.5 MW, las líneas L-2708/L-2709 (Cajamarquilla - Carapongo) de 220 kV desconectaron en la S.E. Carapongo por actuación de su proteccción de distancia en zona 2 (señalizando falla a tierra en la fase "T"), la línea L-2015 (Chavarría - Cajamarquilla) de 220 kV desconectó en la S.E. Chavarría y la línea L-2127 (Carapongo - San Miguel) de 220 kV en el extremo de la S.E. San Miguel por actuacion de su protección de distancia en zona 2.</t>
  </si>
  <si>
    <t>28/09/2023</t>
  </si>
  <si>
    <t>01/09/2023</t>
  </si>
  <si>
    <t>02/09/2023</t>
  </si>
  <si>
    <t>03/09/2023</t>
  </si>
  <si>
    <t>23:15</t>
  </si>
  <si>
    <t>04/09/2023</t>
  </si>
  <si>
    <t>05/09/2023</t>
  </si>
  <si>
    <t>06/09/2023</t>
  </si>
  <si>
    <t>07/09/2023</t>
  </si>
  <si>
    <t>08/09/2023</t>
  </si>
  <si>
    <t>09/09/2023</t>
  </si>
  <si>
    <t>10/09/2023</t>
  </si>
  <si>
    <t>11/09/2023</t>
  </si>
  <si>
    <t>12/09/2023</t>
  </si>
  <si>
    <t>13/09/2023</t>
  </si>
  <si>
    <t>14/09/2023</t>
  </si>
  <si>
    <t>15:45</t>
  </si>
  <si>
    <t>15/09/2023</t>
  </si>
  <si>
    <t>16/09/2023</t>
  </si>
  <si>
    <t>17/09/2023</t>
  </si>
  <si>
    <t>18/09/2023</t>
  </si>
  <si>
    <t>19/09/2023</t>
  </si>
  <si>
    <t>20/09/2023</t>
  </si>
  <si>
    <t>21/09/2023</t>
  </si>
  <si>
    <t>22/09/2023</t>
  </si>
  <si>
    <t>23/09/2023</t>
  </si>
  <si>
    <t>24/09/2023</t>
  </si>
  <si>
    <t>25/09/2023</t>
  </si>
  <si>
    <t>26/09/2023</t>
  </si>
  <si>
    <t>27/09/2023</t>
  </si>
  <si>
    <t>29/09/2023</t>
  </si>
  <si>
    <t>30/09/2023</t>
  </si>
  <si>
    <t>El total de la producción de energía eléctrica de la empresas generadoras integrantes del COES en el mes de setiembre 2023 fue de 4 826,36  GWh, lo que representa un incremento de 139,77 GWh (2,98%) en comparación con el año 2022.</t>
  </si>
  <si>
    <t>La producción de electricidad con centrales hidroeléctricas durante el mes de setiembre 2023 fue de 1 511,64 GWh (18,76% menor al registrado durante setiembre del año 2022).</t>
  </si>
  <si>
    <t>La producción de electricidad con centrales termoeléctricas durante el mes de setiembre 2023 fue de 2 964,01 GWh, 16,31% mayor al registrado durante setiembre del año 2022. La participación del gas natural de Camisea fue de 54,76%, mientras que las del gas que proviene de los yacimientos de Aguaytía y Malacas fue del 2,51%, la producción con diesel, residual, carbón, biogás y bagazo tuvieron una intervención del 3,16%, 0,21%, 0,00%, 0,12%, 0,65% respectivamente.</t>
  </si>
  <si>
    <t>La producción de energía eléctrica con centrales eólicas fue de 250,45 GWh y con centrales solares fue de 100,27 GWh, los cuales tuvieron una participación de 5,19% y 2,08%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</si>
</sst>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43" fontId="0" fillId="0" borderId="0" xfId="11" applyFont="1" applyAlignment="1">
      <alignment vertical="center"/>
    </xf>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7" fillId="0" borderId="93" xfId="0" applyFont="1" applyBorder="1"/>
    <xf numFmtId="174" fontId="7" fillId="0" borderId="93" xfId="0" applyNumberFormat="1" applyFont="1" applyBorder="1"/>
    <xf numFmtId="174" fontId="7" fillId="11" borderId="93" xfId="0" applyNumberFormat="1" applyFont="1" applyFill="1"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0" xfId="10" applyFont="1" applyBorder="1" applyAlignment="1">
      <alignment horizontal="center" vertical="center" wrapText="1"/>
    </xf>
    <xf numFmtId="43" fontId="46" fillId="0" borderId="151"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1511.6390969974996</c:v>
                </c:pt>
                <c:pt idx="1">
                  <c:v>2764.0918741500009</c:v>
                </c:pt>
                <c:pt idx="2">
                  <c:v>0</c:v>
                </c:pt>
                <c:pt idx="3">
                  <c:v>162.81346272000002</c:v>
                </c:pt>
                <c:pt idx="4">
                  <c:v>37.100379517499995</c:v>
                </c:pt>
                <c:pt idx="5">
                  <c:v>250.44527581749998</c:v>
                </c:pt>
                <c:pt idx="6">
                  <c:v>100.26839323499999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2764.0918741500009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162.81346272000002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37.100379517499995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250.44527581749998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100.26839323499999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RENOVANDES H1</c:v>
                  </c:pt>
                  <c:pt idx="1">
                    <c:v>C.H. CHANCAY</c:v>
                  </c:pt>
                  <c:pt idx="2">
                    <c:v>C.H. YARUCAYA</c:v>
                  </c:pt>
                  <c:pt idx="3">
                    <c:v>C.H. RUCUY</c:v>
                  </c:pt>
                  <c:pt idx="4">
                    <c:v>C.H. 8 DE AGOSTO</c:v>
                  </c:pt>
                  <c:pt idx="5">
                    <c:v>C.H. POTRERO</c:v>
                  </c:pt>
                  <c:pt idx="6">
                    <c:v>C.H. RUNATULLO III</c:v>
                  </c:pt>
                  <c:pt idx="7">
                    <c:v>C.H. LAS PIZARRAS</c:v>
                  </c:pt>
                  <c:pt idx="8">
                    <c:v>C.H. ÁNGEL II</c:v>
                  </c:pt>
                  <c:pt idx="9">
                    <c:v>C.H. ÁNGEL III</c:v>
                  </c:pt>
                  <c:pt idx="10">
                    <c:v>C.H. CARHUAC</c:v>
                  </c:pt>
                  <c:pt idx="11">
                    <c:v>C.H. RUNATULLO II</c:v>
                  </c:pt>
                  <c:pt idx="12">
                    <c:v>C.H. ÁNGEL I</c:v>
                  </c:pt>
                  <c:pt idx="13">
                    <c:v>C.H. MANTA I</c:v>
                  </c:pt>
                  <c:pt idx="14">
                    <c:v>C.H. CARHUAQUERO IV</c:v>
                  </c:pt>
                  <c:pt idx="15">
                    <c:v>C.H. POECHOS II</c:v>
                  </c:pt>
                  <c:pt idx="16">
                    <c:v>C.H. HUASAHUASI II</c:v>
                  </c:pt>
                  <c:pt idx="17">
                    <c:v>C.H. LA JOYA</c:v>
                  </c:pt>
                  <c:pt idx="18">
                    <c:v>C.H. HUASAHUASI I</c:v>
                  </c:pt>
                  <c:pt idx="19">
                    <c:v>C.H. EL CARMEN</c:v>
                  </c:pt>
                  <c:pt idx="20">
                    <c:v>C.H. CANCHAYLLO</c:v>
                  </c:pt>
                  <c:pt idx="21">
                    <c:v>C.H. SANTA CRUZ II</c:v>
                  </c:pt>
                  <c:pt idx="22">
                    <c:v>C.H. SANTA CRUZ I</c:v>
                  </c:pt>
                  <c:pt idx="23">
                    <c:v>C.H. CAÑA BRAVA</c:v>
                  </c:pt>
                  <c:pt idx="24">
                    <c:v>C.H. IMPERIAL</c:v>
                  </c:pt>
                  <c:pt idx="25">
                    <c:v>C.H. YANAPAMPA</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0.88906749027623699</c:v>
                </c:pt>
                <c:pt idx="1">
                  <c:v>0.84346247385083539</c:v>
                </c:pt>
                <c:pt idx="2">
                  <c:v>0.86797225447887705</c:v>
                </c:pt>
                <c:pt idx="3">
                  <c:v>0.74197067921731852</c:v>
                </c:pt>
                <c:pt idx="4">
                  <c:v>0.61626621538420034</c:v>
                </c:pt>
                <c:pt idx="5">
                  <c:v>0.60802421787655303</c:v>
                </c:pt>
                <c:pt idx="6">
                  <c:v>0.61324488401497446</c:v>
                </c:pt>
                <c:pt idx="7">
                  <c:v>0.63668368562918232</c:v>
                </c:pt>
                <c:pt idx="8">
                  <c:v>0.59315332871659887</c:v>
                </c:pt>
                <c:pt idx="9">
                  <c:v>0.57991874764224316</c:v>
                </c:pt>
                <c:pt idx="10">
                  <c:v>0.5694035359196471</c:v>
                </c:pt>
                <c:pt idx="11">
                  <c:v>0.51595851372484391</c:v>
                </c:pt>
                <c:pt idx="12">
                  <c:v>0.47337848208024674</c:v>
                </c:pt>
                <c:pt idx="13">
                  <c:v>0.39902829995433331</c:v>
                </c:pt>
                <c:pt idx="14">
                  <c:v>0.79271990898721967</c:v>
                </c:pt>
                <c:pt idx="15">
                  <c:v>0.67907149341238826</c:v>
                </c:pt>
                <c:pt idx="16">
                  <c:v>0.53125335150763597</c:v>
                </c:pt>
                <c:pt idx="17">
                  <c:v>0.55310352774148375</c:v>
                </c:pt>
                <c:pt idx="18">
                  <c:v>0.4978323715624477</c:v>
                </c:pt>
                <c:pt idx="19">
                  <c:v>0.56350044022039214</c:v>
                </c:pt>
                <c:pt idx="20">
                  <c:v>0.79086226063822884</c:v>
                </c:pt>
                <c:pt idx="21">
                  <c:v>0.61952833675390206</c:v>
                </c:pt>
                <c:pt idx="22">
                  <c:v>0.52761610948136139</c:v>
                </c:pt>
                <c:pt idx="23">
                  <c:v>0.58295197953746225</c:v>
                </c:pt>
                <c:pt idx="24">
                  <c:v>0.80527151209845327</c:v>
                </c:pt>
                <c:pt idx="25">
                  <c:v>0.70294909808032824</c:v>
                </c:pt>
                <c:pt idx="26">
                  <c:v>0.77126636407171423</c:v>
                </c:pt>
                <c:pt idx="27">
                  <c:v>0.29572065537706438</c:v>
                </c:pt>
                <c:pt idx="28">
                  <c:v>0.69213600596264246</c:v>
                </c:pt>
                <c:pt idx="29">
                  <c:v>0.92303327441313998</c:v>
                </c:pt>
                <c:pt idx="30">
                  <c:v>0.6846576386874772</c:v>
                </c:pt>
                <c:pt idx="31">
                  <c:v>0.77056852122125552</c:v>
                </c:pt>
                <c:pt idx="32">
                  <c:v>0.73042146164021171</c:v>
                </c:pt>
                <c:pt idx="33">
                  <c:v>0.38622690356744249</c:v>
                </c:pt>
                <c:pt idx="34">
                  <c:v>0.3845432637510301</c:v>
                </c:pt>
                <c:pt idx="35">
                  <c:v>0.48740771132495908</c:v>
                </c:pt>
                <c:pt idx="36">
                  <c:v>0.33747555879344809</c:v>
                </c:pt>
                <c:pt idx="37">
                  <c:v>0.49601709332551142</c:v>
                </c:pt>
                <c:pt idx="38">
                  <c:v>0.38091494572657486</c:v>
                </c:pt>
                <c:pt idx="39">
                  <c:v>0.53838470536449579</c:v>
                </c:pt>
                <c:pt idx="40">
                  <c:v>0.44455073853707833</c:v>
                </c:pt>
                <c:pt idx="41">
                  <c:v>0.32525912630382109</c:v>
                </c:pt>
                <c:pt idx="42">
                  <c:v>0.25479005918525166</c:v>
                </c:pt>
                <c:pt idx="43" formatCode="_(* #,##0.00_);_(* \(#,##0.00\);_(* &quot;-&quot;??_);_(@_)">
                  <c:v>0.31622398986950551</c:v>
                </c:pt>
                <c:pt idx="44" formatCode="_(* #,##0.00_);_(* \(#,##0.00\);_(* &quot;-&quot;??_);_(@_)">
                  <c:v>0.28934536555631862</c:v>
                </c:pt>
                <c:pt idx="45" formatCode="_(* #,##0.00_);_(* \(#,##0.00\);_(* &quot;-&quot;??_);_(@_)">
                  <c:v>0.32469339915293038</c:v>
                </c:pt>
                <c:pt idx="46" formatCode="_(* #,##0.00_);_(* \(#,##0.00\);_(* &quot;-&quot;??_);_(@_)">
                  <c:v>0.25565122252747252</c:v>
                </c:pt>
                <c:pt idx="47" formatCode="_(* #,##0.00_);_(* \(#,##0.00\);_(* &quot;-&quot;??_);_(@_)">
                  <c:v>0.24979268339819902</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RENOVANDES H1</c:v>
                  </c:pt>
                  <c:pt idx="1">
                    <c:v>C.H. CHANCAY</c:v>
                  </c:pt>
                  <c:pt idx="2">
                    <c:v>C.H. YARUCAYA</c:v>
                  </c:pt>
                  <c:pt idx="3">
                    <c:v>C.H. RUCUY</c:v>
                  </c:pt>
                  <c:pt idx="4">
                    <c:v>C.H. 8 DE AGOSTO</c:v>
                  </c:pt>
                  <c:pt idx="5">
                    <c:v>C.H. POTRERO</c:v>
                  </c:pt>
                  <c:pt idx="6">
                    <c:v>C.H. RUNATULLO III</c:v>
                  </c:pt>
                  <c:pt idx="7">
                    <c:v>C.H. LAS PIZARRAS</c:v>
                  </c:pt>
                  <c:pt idx="8">
                    <c:v>C.H. ÁNGEL II</c:v>
                  </c:pt>
                  <c:pt idx="9">
                    <c:v>C.H. ÁNGEL III</c:v>
                  </c:pt>
                  <c:pt idx="10">
                    <c:v>C.H. CARHUAC</c:v>
                  </c:pt>
                  <c:pt idx="11">
                    <c:v>C.H. RUNATULLO II</c:v>
                  </c:pt>
                  <c:pt idx="12">
                    <c:v>C.H. ÁNGEL I</c:v>
                  </c:pt>
                  <c:pt idx="13">
                    <c:v>C.H. MANTA I</c:v>
                  </c:pt>
                  <c:pt idx="14">
                    <c:v>C.H. CARHUAQUERO IV</c:v>
                  </c:pt>
                  <c:pt idx="15">
                    <c:v>C.H. POECHOS II</c:v>
                  </c:pt>
                  <c:pt idx="16">
                    <c:v>C.H. HUASAHUASI II</c:v>
                  </c:pt>
                  <c:pt idx="17">
                    <c:v>C.H. LA JOYA</c:v>
                  </c:pt>
                  <c:pt idx="18">
                    <c:v>C.H. HUASAHUASI I</c:v>
                  </c:pt>
                  <c:pt idx="19">
                    <c:v>C.H. EL CARMEN</c:v>
                  </c:pt>
                  <c:pt idx="20">
                    <c:v>C.H. CANCHAYLLO</c:v>
                  </c:pt>
                  <c:pt idx="21">
                    <c:v>C.H. SANTA CRUZ II</c:v>
                  </c:pt>
                  <c:pt idx="22">
                    <c:v>C.H. SANTA CRUZ I</c:v>
                  </c:pt>
                  <c:pt idx="23">
                    <c:v>C.H. CAÑA BRAVA</c:v>
                  </c:pt>
                  <c:pt idx="24">
                    <c:v>C.H. IMPERIAL</c:v>
                  </c:pt>
                  <c:pt idx="25">
                    <c:v>C.H. YANAPAMPA</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0.88145495539895347</c:v>
                </c:pt>
                <c:pt idx="1">
                  <c:v>0.8480124575618454</c:v>
                </c:pt>
                <c:pt idx="2">
                  <c:v>0.82739699379077691</c:v>
                </c:pt>
                <c:pt idx="3">
                  <c:v>0.71617446540160212</c:v>
                </c:pt>
                <c:pt idx="4">
                  <c:v>0.61018222701604641</c:v>
                </c:pt>
                <c:pt idx="5">
                  <c:v>0.61502117188586958</c:v>
                </c:pt>
                <c:pt idx="6">
                  <c:v>0.60734332184539719</c:v>
                </c:pt>
                <c:pt idx="7">
                  <c:v>0.664238604788847</c:v>
                </c:pt>
                <c:pt idx="8">
                  <c:v>0.59906035676175029</c:v>
                </c:pt>
                <c:pt idx="9">
                  <c:v>0.5947147413041729</c:v>
                </c:pt>
                <c:pt idx="10">
                  <c:v>0.62536024269159862</c:v>
                </c:pt>
                <c:pt idx="11">
                  <c:v>0.50900004749900829</c:v>
                </c:pt>
                <c:pt idx="12">
                  <c:v>0.55652632358876764</c:v>
                </c:pt>
                <c:pt idx="13">
                  <c:v>0.41086682100464916</c:v>
                </c:pt>
                <c:pt idx="14">
                  <c:v>0.93298958018772316</c:v>
                </c:pt>
                <c:pt idx="15">
                  <c:v>0.67354940063435642</c:v>
                </c:pt>
                <c:pt idx="16">
                  <c:v>0.584393943797342</c:v>
                </c:pt>
                <c:pt idx="17">
                  <c:v>0.71719958334706813</c:v>
                </c:pt>
                <c:pt idx="18">
                  <c:v>0.56198830899078378</c:v>
                </c:pt>
                <c:pt idx="19">
                  <c:v>0.57611896623675474</c:v>
                </c:pt>
                <c:pt idx="20">
                  <c:v>0.56135085032711007</c:v>
                </c:pt>
                <c:pt idx="21">
                  <c:v>0.5825765568774931</c:v>
                </c:pt>
                <c:pt idx="22">
                  <c:v>0.51027447452190344</c:v>
                </c:pt>
                <c:pt idx="23">
                  <c:v>0.79044264389833196</c:v>
                </c:pt>
                <c:pt idx="24">
                  <c:v>0.82122550660179661</c:v>
                </c:pt>
                <c:pt idx="25">
                  <c:v>0.74263231101570981</c:v>
                </c:pt>
                <c:pt idx="26">
                  <c:v>0.57596680998195005</c:v>
                </c:pt>
                <c:pt idx="27">
                  <c:v>0.1552004016138061</c:v>
                </c:pt>
                <c:pt idx="28">
                  <c:v>0.45346791555770366</c:v>
                </c:pt>
                <c:pt idx="29">
                  <c:v>0.54478154847273319</c:v>
                </c:pt>
                <c:pt idx="30">
                  <c:v>0.64622846226584651</c:v>
                </c:pt>
                <c:pt idx="31">
                  <c:v>0.46837479910014485</c:v>
                </c:pt>
                <c:pt idx="32">
                  <c:v>0.67962934727707192</c:v>
                </c:pt>
                <c:pt idx="33">
                  <c:v>0.50676169919273861</c:v>
                </c:pt>
                <c:pt idx="34">
                  <c:v>0.4295951973633485</c:v>
                </c:pt>
                <c:pt idx="35">
                  <c:v>0.32143653566576463</c:v>
                </c:pt>
                <c:pt idx="36">
                  <c:v>0.33707833657091341</c:v>
                </c:pt>
                <c:pt idx="37">
                  <c:v>0.26917211090249377</c:v>
                </c:pt>
                <c:pt idx="38">
                  <c:v>0.31869691552197804</c:v>
                </c:pt>
                <c:pt idx="39">
                  <c:v>0.30008198239087303</c:v>
                </c:pt>
                <c:pt idx="40">
                  <c:v>0.33116480449671859</c:v>
                </c:pt>
                <c:pt idx="41">
                  <c:v>0.25675520718864475</c:v>
                </c:pt>
                <c:pt idx="42">
                  <c:v>0.24503495228556163</c:v>
                </c:pt>
                <c:pt idx="43">
                  <c:v>0.8643294286244142</c:v>
                </c:pt>
                <c:pt idx="44">
                  <c:v>0.74781778159116885</c:v>
                </c:pt>
                <c:pt idx="45">
                  <c:v>0.68891301399699834</c:v>
                </c:pt>
                <c:pt idx="46">
                  <c:v>0.66049323679792427</c:v>
                </c:pt>
                <c:pt idx="47">
                  <c:v>0.76990921224276843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1720.2077802739948</c:v>
                </c:pt>
                <c:pt idx="1">
                  <c:v>1322.2768018225001</c:v>
                </c:pt>
                <c:pt idx="2">
                  <c:v>571.17249222250007</c:v>
                </c:pt>
                <c:pt idx="3">
                  <c:v>194.04777303</c:v>
                </c:pt>
                <c:pt idx="4">
                  <c:v>61.040111782500013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1594.1083920550002</c:v>
                </c:pt>
                <c:pt idx="1">
                  <c:v>1474.0972423825001</c:v>
                </c:pt>
                <c:pt idx="2">
                  <c:v>581.2404993350001</c:v>
                </c:pt>
                <c:pt idx="3">
                  <c:v>194.4180491425</c:v>
                </c:pt>
                <c:pt idx="4">
                  <c:v>57.003901299999995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1559.1891163125006</c:v>
                </c:pt>
                <c:pt idx="1">
                  <c:v>1606.47250523</c:v>
                </c:pt>
                <c:pt idx="2">
                  <c:v>625.77223493250006</c:v>
                </c:pt>
                <c:pt idx="3">
                  <c:v>188.64806197250002</c:v>
                </c:pt>
                <c:pt idx="4">
                  <c:v>50.198328500000002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6.147573194255148E-2"/>
                  <c:y val="-0.1412859198014324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16678028041698"/>
                  <c:y val="2.7671765243040075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9,95</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4346.1184824375005</c:v>
                </c:pt>
                <c:pt idx="1">
                  <c:v>92.430438045000002</c:v>
                </c:pt>
                <c:pt idx="2">
                  <c:v>250.44527581749998</c:v>
                </c:pt>
                <c:pt idx="3">
                  <c:v>100.26839323499999</c:v>
                </c:pt>
                <c:pt idx="4">
                  <c:v>31.370282867499999</c:v>
                </c:pt>
                <c:pt idx="5">
                  <c:v>5.7300966500000001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ENEL GREEN POWER PERU</c:v>
                </c:pt>
                <c:pt idx="1">
                  <c:v>PLANTA  ETEN</c:v>
                </c:pt>
                <c:pt idx="2">
                  <c:v>IYEPSA</c:v>
                </c:pt>
                <c:pt idx="3">
                  <c:v>ATRIA</c:v>
                </c:pt>
                <c:pt idx="4">
                  <c:v>COLCA SOLAR</c:v>
                </c:pt>
                <c:pt idx="5">
                  <c:v>AGUA AZUL</c:v>
                </c:pt>
                <c:pt idx="6">
                  <c:v>MAJA ENERGIA</c:v>
                </c:pt>
                <c:pt idx="7">
                  <c:v>CENTRALES SANTA ROSA</c:v>
                </c:pt>
                <c:pt idx="8">
                  <c:v>ELECTRICA YANAPAMPA</c:v>
                </c:pt>
                <c:pt idx="9">
                  <c:v>CERRO VERDE</c:v>
                </c:pt>
                <c:pt idx="10">
                  <c:v>RIO DOBLE</c:v>
                </c:pt>
                <c:pt idx="11">
                  <c:v>INVERSION DE ENERGÍA RENOVABLES</c:v>
                </c:pt>
                <c:pt idx="12">
                  <c:v>HIDROCAÑETE</c:v>
                </c:pt>
                <c:pt idx="13">
                  <c:v>EGECSAC</c:v>
                </c:pt>
                <c:pt idx="14">
                  <c:v>TACNA SOLAR</c:v>
                </c:pt>
                <c:pt idx="15">
                  <c:v>REPARTICION</c:v>
                </c:pt>
                <c:pt idx="16">
                  <c:v>MAJES</c:v>
                </c:pt>
                <c:pt idx="17">
                  <c:v>MOQUEGUA FV</c:v>
                </c:pt>
                <c:pt idx="18">
                  <c:v>EMGE HUALLAGA</c:v>
                </c:pt>
                <c:pt idx="19">
                  <c:v>PANAMERICANA SOLAR</c:v>
                </c:pt>
                <c:pt idx="20">
                  <c:v>SAN JACINTO</c:v>
                </c:pt>
                <c:pt idx="21">
                  <c:v>GENERACIÓN ANDINA</c:v>
                </c:pt>
                <c:pt idx="22">
                  <c:v>PETRAMAS</c:v>
                </c:pt>
                <c:pt idx="23">
                  <c:v>BIOENERGIA</c:v>
                </c:pt>
                <c:pt idx="24">
                  <c:v>RIO BAÑOS</c:v>
                </c:pt>
                <c:pt idx="25">
                  <c:v>CELEPSA RENOVABLES</c:v>
                </c:pt>
                <c:pt idx="26">
                  <c:v>ANDEAN POWER</c:v>
                </c:pt>
                <c:pt idx="27">
                  <c:v>GR PAINO</c:v>
                </c:pt>
                <c:pt idx="28">
                  <c:v>SANTA ANA</c:v>
                </c:pt>
                <c:pt idx="29">
                  <c:v>GR TARUCA</c:v>
                </c:pt>
                <c:pt idx="30">
                  <c:v>AGROAURORA</c:v>
                </c:pt>
                <c:pt idx="31">
                  <c:v>AIPSA</c:v>
                </c:pt>
                <c:pt idx="32">
                  <c:v>HUAURA POWER</c:v>
                </c:pt>
                <c:pt idx="33">
                  <c:v>SHOUGESA</c:v>
                </c:pt>
                <c:pt idx="34">
                  <c:v>EMGE JUNÍN</c:v>
                </c:pt>
                <c:pt idx="35">
                  <c:v>GEPSA</c:v>
                </c:pt>
                <c:pt idx="36">
                  <c:v>HIDROELECTRICA HUANCHOR</c:v>
                </c:pt>
                <c:pt idx="37">
                  <c:v>LA VIRGEN</c:v>
                </c:pt>
                <c:pt idx="38">
                  <c:v>SINERSA</c:v>
                </c:pt>
                <c:pt idx="39">
                  <c:v>P.E. MARCONA</c:v>
                </c:pt>
                <c:pt idx="40">
                  <c:v>EGESUR</c:v>
                </c:pt>
                <c:pt idx="41">
                  <c:v>SDF ENERGIA</c:v>
                </c:pt>
                <c:pt idx="42">
                  <c:v>EMGE HUANZA</c:v>
                </c:pt>
                <c:pt idx="43">
                  <c:v>INLAND</c:v>
                </c:pt>
                <c:pt idx="44">
                  <c:v>SAN GABAN</c:v>
                </c:pt>
                <c:pt idx="45">
                  <c:v>CELEPSA</c:v>
                </c:pt>
                <c:pt idx="46">
                  <c:v>CHINANGO</c:v>
                </c:pt>
                <c:pt idx="47">
                  <c:v>ENERGÍA EÓLICA</c:v>
                </c:pt>
                <c:pt idx="48">
                  <c:v>P.E. TRES HERMANAS</c:v>
                </c:pt>
                <c:pt idx="49">
                  <c:v>TERMOSELVA</c:v>
                </c:pt>
                <c:pt idx="50">
                  <c:v>ENEL GENERACION PIURA</c:v>
                </c:pt>
                <c:pt idx="51">
                  <c:v>EGASA</c:v>
                </c:pt>
                <c:pt idx="52">
                  <c:v>EGEMSA</c:v>
                </c:pt>
                <c:pt idx="53">
                  <c:v>SAMAY I</c:v>
                </c:pt>
                <c:pt idx="54">
                  <c:v>ORAZUL ENERGY PERÚ</c:v>
                </c:pt>
                <c:pt idx="55">
                  <c:v>STATKRAFT</c:v>
                </c:pt>
                <c:pt idx="56">
                  <c:v>TERMOCHILCA</c:v>
                </c:pt>
                <c:pt idx="57">
                  <c:v>FENIX POWER</c:v>
                </c:pt>
                <c:pt idx="58">
                  <c:v>ELECTROPERU</c:v>
                </c:pt>
                <c:pt idx="59">
                  <c:v>ENGIE</c:v>
                </c:pt>
                <c:pt idx="60">
                  <c:v>ENEL GENERACION PERU</c:v>
                </c:pt>
                <c:pt idx="61">
                  <c:v>KALLPA</c:v>
                </c:pt>
              </c:strCache>
            </c:strRef>
          </c:cat>
          <c:val>
            <c:numRef>
              <c:f>'7. Generacion empresa'!$N$4:$N$65</c:f>
              <c:numCache>
                <c:formatCode>General</c:formatCode>
                <c:ptCount val="62"/>
                <c:pt idx="1">
                  <c:v>0</c:v>
                </c:pt>
                <c:pt idx="2">
                  <c:v>2.8031975000000001E-2</c:v>
                </c:pt>
                <c:pt idx="3">
                  <c:v>0.22091166999999998</c:v>
                </c:pt>
                <c:pt idx="4">
                  <c:v>0.26052405000000001</c:v>
                </c:pt>
                <c:pt idx="5">
                  <c:v>0.87052809750000004</c:v>
                </c:pt>
                <c:pt idx="6">
                  <c:v>0.88280822999999997</c:v>
                </c:pt>
                <c:pt idx="7">
                  <c:v>0.94071642999999994</c:v>
                </c:pt>
                <c:pt idx="8">
                  <c:v>1.1583418000000001</c:v>
                </c:pt>
                <c:pt idx="9">
                  <c:v>1.1608021025000002</c:v>
                </c:pt>
                <c:pt idx="10">
                  <c:v>1.729740115</c:v>
                </c:pt>
                <c:pt idx="11">
                  <c:v>1.83143024</c:v>
                </c:pt>
                <c:pt idx="12">
                  <c:v>2.1720999999999999</c:v>
                </c:pt>
                <c:pt idx="13">
                  <c:v>2.8839537399999999</c:v>
                </c:pt>
                <c:pt idx="14">
                  <c:v>3.73867474</c:v>
                </c:pt>
                <c:pt idx="15">
                  <c:v>4.0078735000000005</c:v>
                </c:pt>
                <c:pt idx="16">
                  <c:v>4.0944099999999999</c:v>
                </c:pt>
                <c:pt idx="17">
                  <c:v>4.2076391774999999</c:v>
                </c:pt>
                <c:pt idx="18">
                  <c:v>4.5880560324999999</c:v>
                </c:pt>
                <c:pt idx="19">
                  <c:v>5.0573886249999997</c:v>
                </c:pt>
                <c:pt idx="20">
                  <c:v>5.4897718825000004</c:v>
                </c:pt>
                <c:pt idx="21">
                  <c:v>5.5622627649999998</c:v>
                </c:pt>
                <c:pt idx="22">
                  <c:v>5.730096650000001</c:v>
                </c:pt>
                <c:pt idx="23">
                  <c:v>6.1755750000000003</c:v>
                </c:pt>
                <c:pt idx="24">
                  <c:v>6.8851207749999999</c:v>
                </c:pt>
                <c:pt idx="25">
                  <c:v>7.6756467650000006</c:v>
                </c:pt>
                <c:pt idx="26">
                  <c:v>7.7319830475</c:v>
                </c:pt>
                <c:pt idx="27">
                  <c:v>7.7355354424999998</c:v>
                </c:pt>
                <c:pt idx="28">
                  <c:v>9.0539346574999993</c:v>
                </c:pt>
                <c:pt idx="29">
                  <c:v>9.1080067299999996</c:v>
                </c:pt>
                <c:pt idx="30">
                  <c:v>9.8323643049999987</c:v>
                </c:pt>
                <c:pt idx="31">
                  <c:v>9.8725716799999983</c:v>
                </c:pt>
                <c:pt idx="32">
                  <c:v>10.090709777499999</c:v>
                </c:pt>
                <c:pt idx="33">
                  <c:v>10.142815882499999</c:v>
                </c:pt>
                <c:pt idx="34">
                  <c:v>10.21342924</c:v>
                </c:pt>
                <c:pt idx="35">
                  <c:v>11.1122490025</c:v>
                </c:pt>
                <c:pt idx="36">
                  <c:v>12.1130003725</c:v>
                </c:pt>
                <c:pt idx="37">
                  <c:v>12.377784999999999</c:v>
                </c:pt>
                <c:pt idx="38">
                  <c:v>14.281495645</c:v>
                </c:pt>
                <c:pt idx="39">
                  <c:v>14.909885792499999</c:v>
                </c:pt>
                <c:pt idx="40">
                  <c:v>19.543344497500001</c:v>
                </c:pt>
                <c:pt idx="41">
                  <c:v>22.144131529999999</c:v>
                </c:pt>
                <c:pt idx="42">
                  <c:v>31.01171119</c:v>
                </c:pt>
                <c:pt idx="43">
                  <c:v>35.540032759999995</c:v>
                </c:pt>
                <c:pt idx="44">
                  <c:v>35.9461605925</c:v>
                </c:pt>
                <c:pt idx="45">
                  <c:v>36.077453074999994</c:v>
                </c:pt>
                <c:pt idx="46">
                  <c:v>37.441067000000004</c:v>
                </c:pt>
                <c:pt idx="47">
                  <c:v>41.307495000000003</c:v>
                </c:pt>
                <c:pt idx="48">
                  <c:v>45.001129165000002</c:v>
                </c:pt>
                <c:pt idx="49">
                  <c:v>56.5691946325</c:v>
                </c:pt>
                <c:pt idx="50">
                  <c:v>65.310528250000004</c:v>
                </c:pt>
                <c:pt idx="51">
                  <c:v>67.446096454999989</c:v>
                </c:pt>
                <c:pt idx="52">
                  <c:v>67.752224250000012</c:v>
                </c:pt>
                <c:pt idx="53">
                  <c:v>76.499341622499998</c:v>
                </c:pt>
                <c:pt idx="54">
                  <c:v>83.0567803</c:v>
                </c:pt>
                <c:pt idx="55">
                  <c:v>117.3652005725</c:v>
                </c:pt>
                <c:pt idx="56">
                  <c:v>205.73270099999996</c:v>
                </c:pt>
                <c:pt idx="57">
                  <c:v>406.82220158500002</c:v>
                </c:pt>
                <c:pt idx="58">
                  <c:v>459.19292172000007</c:v>
                </c:pt>
                <c:pt idx="59">
                  <c:v>833.69971275749981</c:v>
                </c:pt>
                <c:pt idx="60">
                  <c:v>895.26787300000024</c:v>
                </c:pt>
                <c:pt idx="61">
                  <c:v>961.70301054499998</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ENEL GREEN POWER PERU</c:v>
                </c:pt>
                <c:pt idx="1">
                  <c:v>PLANTA  ETEN</c:v>
                </c:pt>
                <c:pt idx="2">
                  <c:v>IYEPSA</c:v>
                </c:pt>
                <c:pt idx="3">
                  <c:v>ATRIA</c:v>
                </c:pt>
                <c:pt idx="4">
                  <c:v>COLCA SOLAR</c:v>
                </c:pt>
                <c:pt idx="5">
                  <c:v>AGUA AZUL</c:v>
                </c:pt>
                <c:pt idx="6">
                  <c:v>MAJA ENERGIA</c:v>
                </c:pt>
                <c:pt idx="7">
                  <c:v>CENTRALES SANTA ROSA</c:v>
                </c:pt>
                <c:pt idx="8">
                  <c:v>ELECTRICA YANAPAMPA</c:v>
                </c:pt>
                <c:pt idx="9">
                  <c:v>CERRO VERDE</c:v>
                </c:pt>
                <c:pt idx="10">
                  <c:v>RIO DOBLE</c:v>
                </c:pt>
                <c:pt idx="11">
                  <c:v>INVERSION DE ENERGÍA RENOVABLES</c:v>
                </c:pt>
                <c:pt idx="12">
                  <c:v>HIDROCAÑETE</c:v>
                </c:pt>
                <c:pt idx="13">
                  <c:v>EGECSAC</c:v>
                </c:pt>
                <c:pt idx="14">
                  <c:v>TACNA SOLAR</c:v>
                </c:pt>
                <c:pt idx="15">
                  <c:v>REPARTICION</c:v>
                </c:pt>
                <c:pt idx="16">
                  <c:v>MAJES</c:v>
                </c:pt>
                <c:pt idx="17">
                  <c:v>MOQUEGUA FV</c:v>
                </c:pt>
                <c:pt idx="18">
                  <c:v>EMGE HUALLAGA</c:v>
                </c:pt>
                <c:pt idx="19">
                  <c:v>PANAMERICANA SOLAR</c:v>
                </c:pt>
                <c:pt idx="20">
                  <c:v>SAN JACINTO</c:v>
                </c:pt>
                <c:pt idx="21">
                  <c:v>GENERACIÓN ANDINA</c:v>
                </c:pt>
                <c:pt idx="22">
                  <c:v>PETRAMAS</c:v>
                </c:pt>
                <c:pt idx="23">
                  <c:v>BIOENERGIA</c:v>
                </c:pt>
                <c:pt idx="24">
                  <c:v>RIO BAÑOS</c:v>
                </c:pt>
                <c:pt idx="25">
                  <c:v>CELEPSA RENOVABLES</c:v>
                </c:pt>
                <c:pt idx="26">
                  <c:v>ANDEAN POWER</c:v>
                </c:pt>
                <c:pt idx="27">
                  <c:v>GR PAINO</c:v>
                </c:pt>
                <c:pt idx="28">
                  <c:v>SANTA ANA</c:v>
                </c:pt>
                <c:pt idx="29">
                  <c:v>GR TARUCA</c:v>
                </c:pt>
                <c:pt idx="30">
                  <c:v>AGROAURORA</c:v>
                </c:pt>
                <c:pt idx="31">
                  <c:v>AIPSA</c:v>
                </c:pt>
                <c:pt idx="32">
                  <c:v>HUAURA POWER</c:v>
                </c:pt>
                <c:pt idx="33">
                  <c:v>SHOUGESA</c:v>
                </c:pt>
                <c:pt idx="34">
                  <c:v>EMGE JUNÍN</c:v>
                </c:pt>
                <c:pt idx="35">
                  <c:v>GEPSA</c:v>
                </c:pt>
                <c:pt idx="36">
                  <c:v>HIDROELECTRICA HUANCHOR</c:v>
                </c:pt>
                <c:pt idx="37">
                  <c:v>LA VIRGEN</c:v>
                </c:pt>
                <c:pt idx="38">
                  <c:v>SINERSA</c:v>
                </c:pt>
                <c:pt idx="39">
                  <c:v>P.E. MARCONA</c:v>
                </c:pt>
                <c:pt idx="40">
                  <c:v>EGESUR</c:v>
                </c:pt>
                <c:pt idx="41">
                  <c:v>SDF ENERGIA</c:v>
                </c:pt>
                <c:pt idx="42">
                  <c:v>EMGE HUANZA</c:v>
                </c:pt>
                <c:pt idx="43">
                  <c:v>INLAND</c:v>
                </c:pt>
                <c:pt idx="44">
                  <c:v>SAN GABAN</c:v>
                </c:pt>
                <c:pt idx="45">
                  <c:v>CELEPSA</c:v>
                </c:pt>
                <c:pt idx="46">
                  <c:v>CHINANGO</c:v>
                </c:pt>
                <c:pt idx="47">
                  <c:v>ENERGÍA EÓLICA</c:v>
                </c:pt>
                <c:pt idx="48">
                  <c:v>P.E. TRES HERMANAS</c:v>
                </c:pt>
                <c:pt idx="49">
                  <c:v>TERMOSELVA</c:v>
                </c:pt>
                <c:pt idx="50">
                  <c:v>ENEL GENERACION PIURA</c:v>
                </c:pt>
                <c:pt idx="51">
                  <c:v>EGASA</c:v>
                </c:pt>
                <c:pt idx="52">
                  <c:v>EGEMSA</c:v>
                </c:pt>
                <c:pt idx="53">
                  <c:v>SAMAY I</c:v>
                </c:pt>
                <c:pt idx="54">
                  <c:v>ORAZUL ENERGY PERÚ</c:v>
                </c:pt>
                <c:pt idx="55">
                  <c:v>STATKRAFT</c:v>
                </c:pt>
                <c:pt idx="56">
                  <c:v>TERMOCHILCA</c:v>
                </c:pt>
                <c:pt idx="57">
                  <c:v>FENIX POWER</c:v>
                </c:pt>
                <c:pt idx="58">
                  <c:v>ELECTROPERU</c:v>
                </c:pt>
                <c:pt idx="59">
                  <c:v>ENGIE</c:v>
                </c:pt>
                <c:pt idx="60">
                  <c:v>ENEL GENERACION PERU</c:v>
                </c:pt>
                <c:pt idx="61">
                  <c:v>KALLPA</c:v>
                </c:pt>
              </c:strCache>
            </c:strRef>
          </c:cat>
          <c:val>
            <c:numRef>
              <c:f>'7. Generacion empresa'!$O$4:$O$65</c:f>
              <c:numCache>
                <c:formatCode>General</c:formatCode>
                <c:ptCount val="62"/>
                <c:pt idx="0">
                  <c:v>108.78785724999999</c:v>
                </c:pt>
                <c:pt idx="1">
                  <c:v>0</c:v>
                </c:pt>
                <c:pt idx="2">
                  <c:v>0.17726348750000001</c:v>
                </c:pt>
                <c:pt idx="3">
                  <c:v>0.33088889249999998</c:v>
                </c:pt>
                <c:pt idx="4">
                  <c:v>0.26329651999999998</c:v>
                </c:pt>
                <c:pt idx="5">
                  <c:v>3.3266396500000002</c:v>
                </c:pt>
                <c:pt idx="6">
                  <c:v>1.34565275</c:v>
                </c:pt>
                <c:pt idx="7">
                  <c:v>1.1341358375000001</c:v>
                </c:pt>
                <c:pt idx="8">
                  <c:v>1.5370052250000001</c:v>
                </c:pt>
                <c:pt idx="9">
                  <c:v>0.43082889749999997</c:v>
                </c:pt>
                <c:pt idx="10">
                  <c:v>3.9255816824999998</c:v>
                </c:pt>
                <c:pt idx="11">
                  <c:v>3.5522643125000002</c:v>
                </c:pt>
                <c:pt idx="12">
                  <c:v>2.2746999999999997</c:v>
                </c:pt>
                <c:pt idx="13">
                  <c:v>1.8244124174999998</c:v>
                </c:pt>
                <c:pt idx="14">
                  <c:v>4.3936759499999996</c:v>
                </c:pt>
                <c:pt idx="15">
                  <c:v>3.9791716275</c:v>
                </c:pt>
                <c:pt idx="16">
                  <c:v>4.042351</c:v>
                </c:pt>
                <c:pt idx="17">
                  <c:v>4.45519467</c:v>
                </c:pt>
                <c:pt idx="18">
                  <c:v>45.402496552499997</c:v>
                </c:pt>
                <c:pt idx="19">
                  <c:v>5.3450408850000004</c:v>
                </c:pt>
                <c:pt idx="20">
                  <c:v>3.7835683025</c:v>
                </c:pt>
                <c:pt idx="21">
                  <c:v>4.8732327575000003</c:v>
                </c:pt>
                <c:pt idx="22">
                  <c:v>7.1538755499999995</c:v>
                </c:pt>
                <c:pt idx="23">
                  <c:v>5.500669845</c:v>
                </c:pt>
                <c:pt idx="24">
                  <c:v>6.8319208299999996</c:v>
                </c:pt>
                <c:pt idx="25">
                  <c:v>8.1272543374999984</c:v>
                </c:pt>
                <c:pt idx="26">
                  <c:v>9.4913914525000003</c:v>
                </c:pt>
                <c:pt idx="27">
                  <c:v>4.8656187424999997</c:v>
                </c:pt>
                <c:pt idx="28">
                  <c:v>12.354921969999999</c:v>
                </c:pt>
                <c:pt idx="29">
                  <c:v>6.0321876825</c:v>
                </c:pt>
                <c:pt idx="30">
                  <c:v>9.2376218899999998</c:v>
                </c:pt>
                <c:pt idx="31">
                  <c:v>10.4377842075</c:v>
                </c:pt>
                <c:pt idx="32">
                  <c:v>10.336675594999999</c:v>
                </c:pt>
                <c:pt idx="33">
                  <c:v>1.2575046025000003</c:v>
                </c:pt>
                <c:pt idx="34">
                  <c:v>10.291051124999999</c:v>
                </c:pt>
                <c:pt idx="35">
                  <c:v>13.9886371175</c:v>
                </c:pt>
                <c:pt idx="36">
                  <c:v>11.2162641875</c:v>
                </c:pt>
                <c:pt idx="37">
                  <c:v>15.878939425</c:v>
                </c:pt>
                <c:pt idx="38">
                  <c:v>15.446935289999999</c:v>
                </c:pt>
                <c:pt idx="39">
                  <c:v>19.259467040000001</c:v>
                </c:pt>
                <c:pt idx="40">
                  <c:v>22.3126743125</c:v>
                </c:pt>
                <c:pt idx="41">
                  <c:v>20.458332267500001</c:v>
                </c:pt>
                <c:pt idx="42">
                  <c:v>33.925130732500001</c:v>
                </c:pt>
                <c:pt idx="43">
                  <c:v>44.021163774999998</c:v>
                </c:pt>
                <c:pt idx="44">
                  <c:v>56.119326152500008</c:v>
                </c:pt>
                <c:pt idx="45">
                  <c:v>60.038337075000001</c:v>
                </c:pt>
                <c:pt idx="46">
                  <c:v>42.28803525</c:v>
                </c:pt>
                <c:pt idx="47">
                  <c:v>48.955121024999997</c:v>
                </c:pt>
                <c:pt idx="48">
                  <c:v>56.684076425000001</c:v>
                </c:pt>
                <c:pt idx="49">
                  <c:v>46.905791722499998</c:v>
                </c:pt>
                <c:pt idx="50">
                  <c:v>65.371778750000004</c:v>
                </c:pt>
                <c:pt idx="51">
                  <c:v>80.013880867500006</c:v>
                </c:pt>
                <c:pt idx="52">
                  <c:v>85.686941250000004</c:v>
                </c:pt>
                <c:pt idx="53">
                  <c:v>0.39804674999999995</c:v>
                </c:pt>
                <c:pt idx="54">
                  <c:v>108.2747775</c:v>
                </c:pt>
                <c:pt idx="55">
                  <c:v>146.82310203499998</c:v>
                </c:pt>
                <c:pt idx="56">
                  <c:v>199.60011030749999</c:v>
                </c:pt>
                <c:pt idx="57">
                  <c:v>390.43313621750002</c:v>
                </c:pt>
                <c:pt idx="58">
                  <c:v>536.77286196</c:v>
                </c:pt>
                <c:pt idx="59">
                  <c:v>708.68248098499998</c:v>
                </c:pt>
                <c:pt idx="60">
                  <c:v>598.5217080000001</c:v>
                </c:pt>
                <c:pt idx="61">
                  <c:v>951.40427125000019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3321.0818199999994</c:v>
                </c:pt>
                <c:pt idx="2">
                  <c:v>3273.73542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3635.451219999999</c:v>
                </c:pt>
                <c:pt idx="2">
                  <c:v>3479.0482800000009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359.26836000000003</c:v>
                </c:pt>
                <c:pt idx="2">
                  <c:v>175.20775</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Empresa'!$M$7:$M$68</c:f>
              <c:strCache>
                <c:ptCount val="62"/>
                <c:pt idx="0">
                  <c:v>ENEL GREEN POWER PERU</c:v>
                </c:pt>
                <c:pt idx="1">
                  <c:v>COLCA SOLAR</c:v>
                </c:pt>
                <c:pt idx="2">
                  <c:v>ATRIA</c:v>
                </c:pt>
                <c:pt idx="3">
                  <c:v>REPARTICION</c:v>
                </c:pt>
                <c:pt idx="4">
                  <c:v>MAJES</c:v>
                </c:pt>
                <c:pt idx="5">
                  <c:v>TACNA SOLAR</c:v>
                </c:pt>
                <c:pt idx="6">
                  <c:v>SAMAY I</c:v>
                </c:pt>
                <c:pt idx="7">
                  <c:v>PLANTA  ETEN</c:v>
                </c:pt>
                <c:pt idx="8">
                  <c:v>PANAMERICANA SOLAR</c:v>
                </c:pt>
                <c:pt idx="9">
                  <c:v>MOQUEGUA FV</c:v>
                </c:pt>
                <c:pt idx="10">
                  <c:v>IYEPSA</c:v>
                </c:pt>
                <c:pt idx="11">
                  <c:v>CERRO VERDE</c:v>
                </c:pt>
                <c:pt idx="12">
                  <c:v>GR TARUCA</c:v>
                </c:pt>
                <c:pt idx="13">
                  <c:v>MAJA ENERGIA</c:v>
                </c:pt>
                <c:pt idx="14">
                  <c:v>GR PAINO</c:v>
                </c:pt>
                <c:pt idx="15">
                  <c:v>CENTRALES SANTA ROSA</c:v>
                </c:pt>
                <c:pt idx="16">
                  <c:v>ELECTRICA YANAPAMPA</c:v>
                </c:pt>
                <c:pt idx="17">
                  <c:v>INVERSION DE ENERGÍA RENOVABLES</c:v>
                </c:pt>
                <c:pt idx="18">
                  <c:v>RIO DOBLE</c:v>
                </c:pt>
                <c:pt idx="19">
                  <c:v>EGECSAC</c:v>
                </c:pt>
                <c:pt idx="20">
                  <c:v>AGUA AZUL</c:v>
                </c:pt>
                <c:pt idx="21">
                  <c:v>HIDROCAÑETE</c:v>
                </c:pt>
                <c:pt idx="22">
                  <c:v>EMGE HUALLAGA</c:v>
                </c:pt>
                <c:pt idx="23">
                  <c:v>GENERACIÓN ANDINA</c:v>
                </c:pt>
                <c:pt idx="24">
                  <c:v>SAN JACINTO</c:v>
                </c:pt>
                <c:pt idx="25">
                  <c:v>PETRAMAS</c:v>
                </c:pt>
                <c:pt idx="26">
                  <c:v>BIOENERGIA</c:v>
                </c:pt>
                <c:pt idx="27">
                  <c:v>RIO BAÑOS</c:v>
                </c:pt>
                <c:pt idx="28">
                  <c:v>CELEPSA RENOVABLES</c:v>
                </c:pt>
                <c:pt idx="29">
                  <c:v>ANDEAN POWER</c:v>
                </c:pt>
                <c:pt idx="30">
                  <c:v>AGROAURORA</c:v>
                </c:pt>
                <c:pt idx="31">
                  <c:v>EMGE JUNÍN</c:v>
                </c:pt>
                <c:pt idx="32">
                  <c:v>GEPSA</c:v>
                </c:pt>
                <c:pt idx="33">
                  <c:v>SANTA ANA</c:v>
                </c:pt>
                <c:pt idx="34">
                  <c:v>AIPSA</c:v>
                </c:pt>
                <c:pt idx="35">
                  <c:v>HUAURA POWER</c:v>
                </c:pt>
                <c:pt idx="36">
                  <c:v>LA VIRGEN</c:v>
                </c:pt>
                <c:pt idx="37">
                  <c:v>SHOUGESA</c:v>
                </c:pt>
                <c:pt idx="38">
                  <c:v>HIDROELECTRICA HUANCHOR</c:v>
                </c:pt>
                <c:pt idx="39">
                  <c:v>EGESUR</c:v>
                </c:pt>
                <c:pt idx="40">
                  <c:v>SINERSA</c:v>
                </c:pt>
                <c:pt idx="41">
                  <c:v>SDF ENERGIA</c:v>
                </c:pt>
                <c:pt idx="42">
                  <c:v>P.E. MARCONA</c:v>
                </c:pt>
                <c:pt idx="43">
                  <c:v>EMGE HUANZA</c:v>
                </c:pt>
                <c:pt idx="44">
                  <c:v>INLAND</c:v>
                </c:pt>
                <c:pt idx="45">
                  <c:v>SAN GABAN</c:v>
                </c:pt>
                <c:pt idx="46">
                  <c:v>CHINANGO</c:v>
                </c:pt>
                <c:pt idx="47">
                  <c:v>TERMOSELVA</c:v>
                </c:pt>
                <c:pt idx="48">
                  <c:v>ENEL GENERACION PIURA</c:v>
                </c:pt>
                <c:pt idx="49">
                  <c:v>P.E. TRES HERMANAS</c:v>
                </c:pt>
                <c:pt idx="50">
                  <c:v>EGEMSA</c:v>
                </c:pt>
                <c:pt idx="51">
                  <c:v>ENERGÍA EÓLICA</c:v>
                </c:pt>
                <c:pt idx="52">
                  <c:v>EGASA</c:v>
                </c:pt>
                <c:pt idx="53">
                  <c:v>ORAZUL ENERGY PERÚ</c:v>
                </c:pt>
                <c:pt idx="54">
                  <c:v>CELEPSA</c:v>
                </c:pt>
                <c:pt idx="55">
                  <c:v>STATKRAFT</c:v>
                </c:pt>
                <c:pt idx="56">
                  <c:v>TERMOCHILCA</c:v>
                </c:pt>
                <c:pt idx="57">
                  <c:v>FENIX POWER</c:v>
                </c:pt>
                <c:pt idx="58">
                  <c:v>ELECTROPERU</c:v>
                </c:pt>
                <c:pt idx="59">
                  <c:v>ENEL GENERACION PERU</c:v>
                </c:pt>
                <c:pt idx="60">
                  <c:v>KALLPA</c:v>
                </c:pt>
                <c:pt idx="61">
                  <c:v>ENGIE</c:v>
                </c:pt>
              </c:strCache>
            </c:strRef>
          </c:cat>
          <c:val>
            <c:numRef>
              <c:f>'9. Pot. Empresa'!$N$7:$N$68</c:f>
              <c:numCache>
                <c:formatCode>0</c:formatCode>
                <c:ptCount val="62"/>
                <c:pt idx="1">
                  <c:v>0</c:v>
                </c:pt>
                <c:pt idx="2">
                  <c:v>0</c:v>
                </c:pt>
                <c:pt idx="3">
                  <c:v>0</c:v>
                </c:pt>
                <c:pt idx="4">
                  <c:v>0</c:v>
                </c:pt>
                <c:pt idx="5">
                  <c:v>0</c:v>
                </c:pt>
                <c:pt idx="6">
                  <c:v>0</c:v>
                </c:pt>
                <c:pt idx="7">
                  <c:v>0</c:v>
                </c:pt>
                <c:pt idx="8">
                  <c:v>0</c:v>
                </c:pt>
                <c:pt idx="9">
                  <c:v>0</c:v>
                </c:pt>
                <c:pt idx="10">
                  <c:v>0</c:v>
                </c:pt>
                <c:pt idx="11">
                  <c:v>0</c:v>
                </c:pt>
                <c:pt idx="12">
                  <c:v>0.74224999999999997</c:v>
                </c:pt>
                <c:pt idx="13">
                  <c:v>1.03301</c:v>
                </c:pt>
                <c:pt idx="14">
                  <c:v>1.3099799999999999</c:v>
                </c:pt>
                <c:pt idx="15">
                  <c:v>1.34267</c:v>
                </c:pt>
                <c:pt idx="16">
                  <c:v>2.0380000000000003</c:v>
                </c:pt>
                <c:pt idx="17">
                  <c:v>2.5465</c:v>
                </c:pt>
                <c:pt idx="18">
                  <c:v>2.9828100000000002</c:v>
                </c:pt>
                <c:pt idx="19">
                  <c:v>3.0058100000000003</c:v>
                </c:pt>
                <c:pt idx="20">
                  <c:v>3.1089799999999999</c:v>
                </c:pt>
                <c:pt idx="21">
                  <c:v>3.6</c:v>
                </c:pt>
                <c:pt idx="22">
                  <c:v>6.3911499999999997</c:v>
                </c:pt>
                <c:pt idx="23">
                  <c:v>6.5499500000000008</c:v>
                </c:pt>
                <c:pt idx="24">
                  <c:v>8.1644000000000005</c:v>
                </c:pt>
                <c:pt idx="25">
                  <c:v>8.8038999999999987</c:v>
                </c:pt>
                <c:pt idx="26">
                  <c:v>9</c:v>
                </c:pt>
                <c:pt idx="27">
                  <c:v>9.3169399999999989</c:v>
                </c:pt>
                <c:pt idx="28">
                  <c:v>10.001799999999999</c:v>
                </c:pt>
                <c:pt idx="29">
                  <c:v>10.3626</c:v>
                </c:pt>
                <c:pt idx="30">
                  <c:v>11.13508</c:v>
                </c:pt>
                <c:pt idx="31">
                  <c:v>12.553009999999999</c:v>
                </c:pt>
                <c:pt idx="32">
                  <c:v>14.493780000000001</c:v>
                </c:pt>
                <c:pt idx="33">
                  <c:v>14.711</c:v>
                </c:pt>
                <c:pt idx="34">
                  <c:v>15.27605</c:v>
                </c:pt>
                <c:pt idx="35">
                  <c:v>15.644169999999999</c:v>
                </c:pt>
                <c:pt idx="36">
                  <c:v>15.917</c:v>
                </c:pt>
                <c:pt idx="37">
                  <c:v>17.21463</c:v>
                </c:pt>
                <c:pt idx="38">
                  <c:v>17.394780000000001</c:v>
                </c:pt>
                <c:pt idx="39">
                  <c:v>22.275549999999999</c:v>
                </c:pt>
                <c:pt idx="40">
                  <c:v>23.440629999999999</c:v>
                </c:pt>
                <c:pt idx="41">
                  <c:v>29.614000000000001</c:v>
                </c:pt>
                <c:pt idx="42">
                  <c:v>30.733989999999999</c:v>
                </c:pt>
                <c:pt idx="43">
                  <c:v>39.820909999999998</c:v>
                </c:pt>
                <c:pt idx="44">
                  <c:v>48.819859999999998</c:v>
                </c:pt>
                <c:pt idx="45">
                  <c:v>64.177880000000002</c:v>
                </c:pt>
                <c:pt idx="46">
                  <c:v>78.753</c:v>
                </c:pt>
                <c:pt idx="47">
                  <c:v>81.633979999999994</c:v>
                </c:pt>
                <c:pt idx="48">
                  <c:v>89.515000000000001</c:v>
                </c:pt>
                <c:pt idx="49">
                  <c:v>90.062060000000002</c:v>
                </c:pt>
                <c:pt idx="50">
                  <c:v>91.475999999999999</c:v>
                </c:pt>
                <c:pt idx="51">
                  <c:v>93.4</c:v>
                </c:pt>
                <c:pt idx="52">
                  <c:v>119.21449</c:v>
                </c:pt>
                <c:pt idx="53">
                  <c:v>136.06300999999999</c:v>
                </c:pt>
                <c:pt idx="54">
                  <c:v>202.071</c:v>
                </c:pt>
                <c:pt idx="55">
                  <c:v>233.85016000000005</c:v>
                </c:pt>
                <c:pt idx="56">
                  <c:v>297.69799999999998</c:v>
                </c:pt>
                <c:pt idx="57">
                  <c:v>567.51242999999999</c:v>
                </c:pt>
                <c:pt idx="58">
                  <c:v>795.22223999999983</c:v>
                </c:pt>
                <c:pt idx="59">
                  <c:v>1238.8439999999998</c:v>
                </c:pt>
                <c:pt idx="60">
                  <c:v>1348.8356899999999</c:v>
                </c:pt>
                <c:pt idx="61">
                  <c:v>1426.4844799999998</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Empresa'!$M$7:$M$68</c:f>
              <c:strCache>
                <c:ptCount val="62"/>
                <c:pt idx="0">
                  <c:v>ENEL GREEN POWER PERU</c:v>
                </c:pt>
                <c:pt idx="1">
                  <c:v>COLCA SOLAR</c:v>
                </c:pt>
                <c:pt idx="2">
                  <c:v>ATRIA</c:v>
                </c:pt>
                <c:pt idx="3">
                  <c:v>REPARTICION</c:v>
                </c:pt>
                <c:pt idx="4">
                  <c:v>MAJES</c:v>
                </c:pt>
                <c:pt idx="5">
                  <c:v>TACNA SOLAR</c:v>
                </c:pt>
                <c:pt idx="6">
                  <c:v>SAMAY I</c:v>
                </c:pt>
                <c:pt idx="7">
                  <c:v>PLANTA  ETEN</c:v>
                </c:pt>
                <c:pt idx="8">
                  <c:v>PANAMERICANA SOLAR</c:v>
                </c:pt>
                <c:pt idx="9">
                  <c:v>MOQUEGUA FV</c:v>
                </c:pt>
                <c:pt idx="10">
                  <c:v>IYEPSA</c:v>
                </c:pt>
                <c:pt idx="11">
                  <c:v>CERRO VERDE</c:v>
                </c:pt>
                <c:pt idx="12">
                  <c:v>GR TARUCA</c:v>
                </c:pt>
                <c:pt idx="13">
                  <c:v>MAJA ENERGIA</c:v>
                </c:pt>
                <c:pt idx="14">
                  <c:v>GR PAINO</c:v>
                </c:pt>
                <c:pt idx="15">
                  <c:v>CENTRALES SANTA ROSA</c:v>
                </c:pt>
                <c:pt idx="16">
                  <c:v>ELECTRICA YANAPAMPA</c:v>
                </c:pt>
                <c:pt idx="17">
                  <c:v>INVERSION DE ENERGÍA RENOVABLES</c:v>
                </c:pt>
                <c:pt idx="18">
                  <c:v>RIO DOBLE</c:v>
                </c:pt>
                <c:pt idx="19">
                  <c:v>EGECSAC</c:v>
                </c:pt>
                <c:pt idx="20">
                  <c:v>AGUA AZUL</c:v>
                </c:pt>
                <c:pt idx="21">
                  <c:v>HIDROCAÑETE</c:v>
                </c:pt>
                <c:pt idx="22">
                  <c:v>EMGE HUALLAGA</c:v>
                </c:pt>
                <c:pt idx="23">
                  <c:v>GENERACIÓN ANDINA</c:v>
                </c:pt>
                <c:pt idx="24">
                  <c:v>SAN JACINTO</c:v>
                </c:pt>
                <c:pt idx="25">
                  <c:v>PETRAMAS</c:v>
                </c:pt>
                <c:pt idx="26">
                  <c:v>BIOENERGIA</c:v>
                </c:pt>
                <c:pt idx="27">
                  <c:v>RIO BAÑOS</c:v>
                </c:pt>
                <c:pt idx="28">
                  <c:v>CELEPSA RENOVABLES</c:v>
                </c:pt>
                <c:pt idx="29">
                  <c:v>ANDEAN POWER</c:v>
                </c:pt>
                <c:pt idx="30">
                  <c:v>AGROAURORA</c:v>
                </c:pt>
                <c:pt idx="31">
                  <c:v>EMGE JUNÍN</c:v>
                </c:pt>
                <c:pt idx="32">
                  <c:v>GEPSA</c:v>
                </c:pt>
                <c:pt idx="33">
                  <c:v>SANTA ANA</c:v>
                </c:pt>
                <c:pt idx="34">
                  <c:v>AIPSA</c:v>
                </c:pt>
                <c:pt idx="35">
                  <c:v>HUAURA POWER</c:v>
                </c:pt>
                <c:pt idx="36">
                  <c:v>LA VIRGEN</c:v>
                </c:pt>
                <c:pt idx="37">
                  <c:v>SHOUGESA</c:v>
                </c:pt>
                <c:pt idx="38">
                  <c:v>HIDROELECTRICA HUANCHOR</c:v>
                </c:pt>
                <c:pt idx="39">
                  <c:v>EGESUR</c:v>
                </c:pt>
                <c:pt idx="40">
                  <c:v>SINERSA</c:v>
                </c:pt>
                <c:pt idx="41">
                  <c:v>SDF ENERGIA</c:v>
                </c:pt>
                <c:pt idx="42">
                  <c:v>P.E. MARCONA</c:v>
                </c:pt>
                <c:pt idx="43">
                  <c:v>EMGE HUANZA</c:v>
                </c:pt>
                <c:pt idx="44">
                  <c:v>INLAND</c:v>
                </c:pt>
                <c:pt idx="45">
                  <c:v>SAN GABAN</c:v>
                </c:pt>
                <c:pt idx="46">
                  <c:v>CHINANGO</c:v>
                </c:pt>
                <c:pt idx="47">
                  <c:v>TERMOSELVA</c:v>
                </c:pt>
                <c:pt idx="48">
                  <c:v>ENEL GENERACION PIURA</c:v>
                </c:pt>
                <c:pt idx="49">
                  <c:v>P.E. TRES HERMANAS</c:v>
                </c:pt>
                <c:pt idx="50">
                  <c:v>EGEMSA</c:v>
                </c:pt>
                <c:pt idx="51">
                  <c:v>ENERGÍA EÓLICA</c:v>
                </c:pt>
                <c:pt idx="52">
                  <c:v>EGASA</c:v>
                </c:pt>
                <c:pt idx="53">
                  <c:v>ORAZUL ENERGY PERÚ</c:v>
                </c:pt>
                <c:pt idx="54">
                  <c:v>CELEPSA</c:v>
                </c:pt>
                <c:pt idx="55">
                  <c:v>STATKRAFT</c:v>
                </c:pt>
                <c:pt idx="56">
                  <c:v>TERMOCHILCA</c:v>
                </c:pt>
                <c:pt idx="57">
                  <c:v>FENIX POWER</c:v>
                </c:pt>
                <c:pt idx="58">
                  <c:v>ELECTROPERU</c:v>
                </c:pt>
                <c:pt idx="59">
                  <c:v>ENEL GENERACION PERU</c:v>
                </c:pt>
                <c:pt idx="60">
                  <c:v>KALLPA</c:v>
                </c:pt>
                <c:pt idx="61">
                  <c:v>ENGIE</c:v>
                </c:pt>
              </c:strCache>
            </c:strRef>
          </c:cat>
          <c:val>
            <c:numRef>
              <c:f>'9. Pot. Empresa'!$O$7:$O$68</c:f>
              <c:numCache>
                <c:formatCode>0</c:formatCode>
                <c:ptCount val="62"/>
                <c:pt idx="0">
                  <c:v>127.214</c:v>
                </c:pt>
                <c:pt idx="1">
                  <c:v>0</c:v>
                </c:pt>
                <c:pt idx="2">
                  <c:v>0.47893000000000002</c:v>
                </c:pt>
                <c:pt idx="3">
                  <c:v>0</c:v>
                </c:pt>
                <c:pt idx="4">
                  <c:v>0</c:v>
                </c:pt>
                <c:pt idx="5">
                  <c:v>0</c:v>
                </c:pt>
                <c:pt idx="6">
                  <c:v>0</c:v>
                </c:pt>
                <c:pt idx="7">
                  <c:v>0</c:v>
                </c:pt>
                <c:pt idx="8">
                  <c:v>0</c:v>
                </c:pt>
                <c:pt idx="9">
                  <c:v>0</c:v>
                </c:pt>
                <c:pt idx="10">
                  <c:v>0</c:v>
                </c:pt>
                <c:pt idx="11">
                  <c:v>0</c:v>
                </c:pt>
                <c:pt idx="12">
                  <c:v>0.67049999999999998</c:v>
                </c:pt>
                <c:pt idx="13">
                  <c:v>2.694</c:v>
                </c:pt>
                <c:pt idx="14">
                  <c:v>2.1732</c:v>
                </c:pt>
                <c:pt idx="15">
                  <c:v>1.4540199999999999</c:v>
                </c:pt>
                <c:pt idx="16">
                  <c:v>2.556</c:v>
                </c:pt>
                <c:pt idx="17">
                  <c:v>6.3909000000000002</c:v>
                </c:pt>
                <c:pt idx="18">
                  <c:v>8.4023299999999992</c:v>
                </c:pt>
                <c:pt idx="19">
                  <c:v>2.5162499999999999</c:v>
                </c:pt>
                <c:pt idx="20">
                  <c:v>8.2047899999999991</c:v>
                </c:pt>
                <c:pt idx="21">
                  <c:v>3.2</c:v>
                </c:pt>
                <c:pt idx="22">
                  <c:v>236.59046000000001</c:v>
                </c:pt>
                <c:pt idx="23">
                  <c:v>8.9388100000000001</c:v>
                </c:pt>
                <c:pt idx="24">
                  <c:v>0</c:v>
                </c:pt>
                <c:pt idx="25">
                  <c:v>9.2055000000000007</c:v>
                </c:pt>
                <c:pt idx="26">
                  <c:v>8.4614399999999996</c:v>
                </c:pt>
                <c:pt idx="27">
                  <c:v>10.14997</c:v>
                </c:pt>
                <c:pt idx="28">
                  <c:v>19.339220000000001</c:v>
                </c:pt>
                <c:pt idx="29">
                  <c:v>10.515359999999999</c:v>
                </c:pt>
                <c:pt idx="30">
                  <c:v>20.072620000000001</c:v>
                </c:pt>
                <c:pt idx="31">
                  <c:v>21.815940000000001</c:v>
                </c:pt>
                <c:pt idx="32">
                  <c:v>23.827719999999999</c:v>
                </c:pt>
                <c:pt idx="33">
                  <c:v>18.613389999999999</c:v>
                </c:pt>
                <c:pt idx="34">
                  <c:v>16.839759999999998</c:v>
                </c:pt>
                <c:pt idx="35">
                  <c:v>15.43956</c:v>
                </c:pt>
                <c:pt idx="36">
                  <c:v>24.119669999999999</c:v>
                </c:pt>
                <c:pt idx="37">
                  <c:v>0</c:v>
                </c:pt>
                <c:pt idx="38">
                  <c:v>15.659739999999999</c:v>
                </c:pt>
                <c:pt idx="39">
                  <c:v>49.191359999999996</c:v>
                </c:pt>
                <c:pt idx="40">
                  <c:v>21.922789999999999</c:v>
                </c:pt>
                <c:pt idx="41">
                  <c:v>29.71406</c:v>
                </c:pt>
                <c:pt idx="42">
                  <c:v>32.039969999999997</c:v>
                </c:pt>
                <c:pt idx="43">
                  <c:v>48.743989999999997</c:v>
                </c:pt>
                <c:pt idx="44">
                  <c:v>60.992469999999997</c:v>
                </c:pt>
                <c:pt idx="45">
                  <c:v>107.86469</c:v>
                </c:pt>
                <c:pt idx="46">
                  <c:v>86.316000000000003</c:v>
                </c:pt>
                <c:pt idx="47">
                  <c:v>82.828530000000001</c:v>
                </c:pt>
                <c:pt idx="48">
                  <c:v>92.340999999999994</c:v>
                </c:pt>
                <c:pt idx="49">
                  <c:v>93.749089999999995</c:v>
                </c:pt>
                <c:pt idx="50">
                  <c:v>119.32000000000001</c:v>
                </c:pt>
                <c:pt idx="51">
                  <c:v>103.4216</c:v>
                </c:pt>
                <c:pt idx="52">
                  <c:v>151.86117999999999</c:v>
                </c:pt>
                <c:pt idx="53">
                  <c:v>193.71</c:v>
                </c:pt>
                <c:pt idx="54">
                  <c:v>155.4486</c:v>
                </c:pt>
                <c:pt idx="55">
                  <c:v>210.56957000000006</c:v>
                </c:pt>
                <c:pt idx="56">
                  <c:v>292.51580000000001</c:v>
                </c:pt>
                <c:pt idx="57">
                  <c:v>556.02593000000002</c:v>
                </c:pt>
                <c:pt idx="58">
                  <c:v>800.75328000000002</c:v>
                </c:pt>
                <c:pt idx="59">
                  <c:v>883.9079999999999</c:v>
                </c:pt>
                <c:pt idx="60">
                  <c:v>1535.415</c:v>
                </c:pt>
                <c:pt idx="61">
                  <c:v>981.60440999999992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pt idx="31">
                  <c:v>156.34300229999999</c:v>
                </c:pt>
                <c:pt idx="32">
                  <c:v>155.00500489999999</c:v>
                </c:pt>
                <c:pt idx="33">
                  <c:v>153.73800659179599</c:v>
                </c:pt>
                <c:pt idx="34">
                  <c:v>147.04299929999999</c:v>
                </c:pt>
                <c:pt idx="35" formatCode="General">
                  <c:v>145.4250031</c:v>
                </c:pt>
                <c:pt idx="36" formatCode="General">
                  <c:v>142.58999633789</c:v>
                </c:pt>
                <c:pt idx="37" formatCode="General">
                  <c:v>141.07</c:v>
                </c:pt>
                <c:pt idx="38" formatCode="General">
                  <c:v>136.2400055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pt idx="31" formatCode="General">
                  <c:v>181.29200130000001</c:v>
                </c:pt>
                <c:pt idx="32" formatCode="General">
                  <c:v>164.99800110000001</c:v>
                </c:pt>
                <c:pt idx="33" formatCode="General">
                  <c:v>164.02999877929599</c:v>
                </c:pt>
                <c:pt idx="34" formatCode="General">
                  <c:v>164.02999879999999</c:v>
                </c:pt>
                <c:pt idx="35" formatCode="General">
                  <c:v>132.05799870000001</c:v>
                </c:pt>
                <c:pt idx="36" formatCode="General">
                  <c:v>127.508003234863</c:v>
                </c:pt>
                <c:pt idx="37" formatCode="General">
                  <c:v>123.45</c:v>
                </c:pt>
                <c:pt idx="38" formatCode="General">
                  <c:v>107.52100369999999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pt idx="31" formatCode="General">
                  <c:v>236.58100317999998</c:v>
                </c:pt>
                <c:pt idx="32" formatCode="General">
                  <c:v>230.95400238000002</c:v>
                </c:pt>
                <c:pt idx="33" formatCode="General">
                  <c:v>225.3020019531248</c:v>
                </c:pt>
                <c:pt idx="34" formatCode="General">
                  <c:v>219.57399749755839</c:v>
                </c:pt>
                <c:pt idx="35" formatCode="General">
                  <c:v>213.58899879455549</c:v>
                </c:pt>
                <c:pt idx="36" formatCode="General">
                  <c:v>206.92099761962874</c:v>
                </c:pt>
                <c:pt idx="37" formatCode="General">
                  <c:v>199.94</c:v>
                </c:pt>
                <c:pt idx="38" formatCode="General">
                  <c:v>193.40499971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'12.Caudales'!$J$4:$K$198</c:f>
              <c:multiLvlStrCache>
                <c:ptCount val="19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4">
                    <c:v>39</c:v>
                  </c:pt>
                </c:lvl>
                <c:lvl>
                  <c:pt idx="0">
                    <c:v>2020</c:v>
                  </c:pt>
                  <c:pt idx="52">
                    <c:v>2021</c:v>
                  </c:pt>
                  <c:pt idx="104">
                    <c:v>2022</c:v>
                  </c:pt>
                  <c:pt idx="156">
                    <c:v>2023</c:v>
                  </c:pt>
                </c:lvl>
              </c:multiLvlStrCache>
            </c:multiLvlStrRef>
          </c:cat>
          <c:val>
            <c:numRef>
              <c:f>'12.Caudales'!$N$4:$N$198</c:f>
              <c:numCache>
                <c:formatCode>0.0</c:formatCode>
                <c:ptCount val="195"/>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pt idx="187">
                  <c:v>30.209428512857141</c:v>
                </c:pt>
                <c:pt idx="188">
                  <c:v>29.829428808571432</c:v>
                </c:pt>
                <c:pt idx="189">
                  <c:v>28.740714209420283</c:v>
                </c:pt>
                <c:pt idx="190">
                  <c:v>29.784285681428571</c:v>
                </c:pt>
                <c:pt idx="191">
                  <c:v>30.866000311715215</c:v>
                </c:pt>
                <c:pt idx="192">
                  <c:v>25.917571476527559</c:v>
                </c:pt>
                <c:pt idx="193">
                  <c:v>30.215714285714284</c:v>
                </c:pt>
                <c:pt idx="194">
                  <c:v>28.675000052857143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'12.Caudales'!$J$4:$K$198</c:f>
              <c:multiLvlStrCache>
                <c:ptCount val="19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4">
                    <c:v>39</c:v>
                  </c:pt>
                </c:lvl>
                <c:lvl>
                  <c:pt idx="0">
                    <c:v>2020</c:v>
                  </c:pt>
                  <c:pt idx="52">
                    <c:v>2021</c:v>
                  </c:pt>
                  <c:pt idx="104">
                    <c:v>2022</c:v>
                  </c:pt>
                  <c:pt idx="156">
                    <c:v>2023</c:v>
                  </c:pt>
                </c:lvl>
              </c:multiLvlStrCache>
            </c:multiLvlStrRef>
          </c:cat>
          <c:val>
            <c:numRef>
              <c:f>'12.Caudales'!$O$4:$O$198</c:f>
              <c:numCache>
                <c:formatCode>0.0</c:formatCode>
                <c:ptCount val="195"/>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pt idx="187">
                  <c:v>6.1820000239999997</c:v>
                </c:pt>
                <c:pt idx="188">
                  <c:v>8.6735714501428571</c:v>
                </c:pt>
                <c:pt idx="189">
                  <c:v>5.9792857851300871</c:v>
                </c:pt>
                <c:pt idx="190">
                  <c:v>4.6742856842857146</c:v>
                </c:pt>
                <c:pt idx="191">
                  <c:v>5.4714285305568096</c:v>
                </c:pt>
                <c:pt idx="192">
                  <c:v>4.4325713770730113</c:v>
                </c:pt>
                <c:pt idx="193">
                  <c:v>3.0385714285714287</c:v>
                </c:pt>
                <c:pt idx="194">
                  <c:v>4.6024285725714282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'12.Caudales'!$J$4:$K$198</c:f>
              <c:multiLvlStrCache>
                <c:ptCount val="19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4">
                    <c:v>39</c:v>
                  </c:pt>
                </c:lvl>
                <c:lvl>
                  <c:pt idx="0">
                    <c:v>2020</c:v>
                  </c:pt>
                  <c:pt idx="52">
                    <c:v>2021</c:v>
                  </c:pt>
                  <c:pt idx="104">
                    <c:v>2022</c:v>
                  </c:pt>
                  <c:pt idx="156">
                    <c:v>2023</c:v>
                  </c:pt>
                </c:lvl>
              </c:multiLvlStrCache>
            </c:multiLvlStrRef>
          </c:cat>
          <c:val>
            <c:numRef>
              <c:f>'12.Caudales'!$M$4:$M$198</c:f>
              <c:numCache>
                <c:formatCode>0.0</c:formatCode>
                <c:ptCount val="195"/>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pt idx="187">
                  <c:v>11.355571609999998</c:v>
                </c:pt>
                <c:pt idx="188">
                  <c:v>11.000428605714287</c:v>
                </c:pt>
                <c:pt idx="189">
                  <c:v>11.649428640093072</c:v>
                </c:pt>
                <c:pt idx="190">
                  <c:v>11.377143044285715</c:v>
                </c:pt>
                <c:pt idx="191">
                  <c:v>11.169571604047485</c:v>
                </c:pt>
                <c:pt idx="192">
                  <c:v>10.781999996730237</c:v>
                </c:pt>
                <c:pt idx="193">
                  <c:v>13.442857142857141</c:v>
                </c:pt>
                <c:pt idx="194">
                  <c:v>12.920285634285715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1860.6528517199995</c:v>
                </c:pt>
                <c:pt idx="1">
                  <c:v>2509.1940003674999</c:v>
                </c:pt>
                <c:pt idx="2">
                  <c:v>0</c:v>
                </c:pt>
                <c:pt idx="3">
                  <c:v>3.1290560924999999</c:v>
                </c:pt>
                <c:pt idx="4">
                  <c:v>36.113519795000002</c:v>
                </c:pt>
                <c:pt idx="5">
                  <c:v>202.45501991499998</c:v>
                </c:pt>
                <c:pt idx="6">
                  <c:v>75.040616277499993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2764.0918741500009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162.81346272000002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37.100379517499995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250.44527581749998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100.26839323499999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'13.Caudales'!$Q$4:$Q$198</c:f>
              <c:numCache>
                <c:formatCode>_(* #,##0.00_);_(* \(#,##0.00\);_(* "-"??_);_(@_)</c:formatCode>
                <c:ptCount val="195"/>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pt idx="187">
                  <c:v>10.410142898142855</c:v>
                </c:pt>
                <c:pt idx="188">
                  <c:v>10.199999999999999</c:v>
                </c:pt>
                <c:pt idx="189">
                  <c:v>9.1905714443751698</c:v>
                </c:pt>
                <c:pt idx="190">
                  <c:v>10.158285617428572</c:v>
                </c:pt>
                <c:pt idx="191">
                  <c:v>9.3601428440638905</c:v>
                </c:pt>
                <c:pt idx="192">
                  <c:v>8.5821428980146095</c:v>
                </c:pt>
                <c:pt idx="193">
                  <c:v>9.3485714285714288</c:v>
                </c:pt>
                <c:pt idx="194">
                  <c:v>9.5744284901428589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'13.Caudales'!$R$4:$R$198</c:f>
              <c:numCache>
                <c:formatCode>_(* #,##0.00_);_(* \(#,##0.00\);_(* "-"??_);_(@_)</c:formatCode>
                <c:ptCount val="195"/>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pt idx="187">
                  <c:v>8.706571510571429</c:v>
                </c:pt>
                <c:pt idx="188">
                  <c:v>8.41</c:v>
                </c:pt>
                <c:pt idx="189">
                  <c:v>8.1155714307512543</c:v>
                </c:pt>
                <c:pt idx="190">
                  <c:v>6.5357143197142857</c:v>
                </c:pt>
                <c:pt idx="191">
                  <c:v>8.0917142459324314</c:v>
                </c:pt>
                <c:pt idx="192">
                  <c:v>6.6917142868041966</c:v>
                </c:pt>
                <c:pt idx="193">
                  <c:v>7.9328571428571424</c:v>
                </c:pt>
                <c:pt idx="194">
                  <c:v>9.1379999428571423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'13.Caudales'!$S$4:$S$198</c:f>
              <c:numCache>
                <c:formatCode>_(* #,##0.00_);_(* \(#,##0.00\);_(* "-"??_);_(@_)</c:formatCode>
                <c:ptCount val="195"/>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pt idx="187">
                  <c:v>55.236999511428571</c:v>
                </c:pt>
                <c:pt idx="188">
                  <c:v>53.810428074285717</c:v>
                </c:pt>
                <c:pt idx="189">
                  <c:v>40.789714540754005</c:v>
                </c:pt>
                <c:pt idx="190">
                  <c:v>48.304999762857143</c:v>
                </c:pt>
                <c:pt idx="191">
                  <c:v>53.258429391043485</c:v>
                </c:pt>
                <c:pt idx="192">
                  <c:v>53.451428549630251</c:v>
                </c:pt>
                <c:pt idx="193">
                  <c:v>54.767142857142858</c:v>
                </c:pt>
                <c:pt idx="194">
                  <c:v>47.86300059714285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'13.Caudales'!$T$4:$T$198</c:f>
              <c:numCache>
                <c:formatCode>_(* #,##0.00_);_(* \(#,##0.00\);_(* "-"??_);_(@_)</c:formatCode>
                <c:ptCount val="195"/>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pt idx="187">
                  <c:v>23.392857142857142</c:v>
                </c:pt>
                <c:pt idx="188">
                  <c:v>24.42</c:v>
                </c:pt>
                <c:pt idx="189">
                  <c:v>21.785714285714285</c:v>
                </c:pt>
                <c:pt idx="190">
                  <c:v>20.910714285714285</c:v>
                </c:pt>
                <c:pt idx="191">
                  <c:v>24.636999947684114</c:v>
                </c:pt>
                <c:pt idx="192">
                  <c:v>22.750142778669073</c:v>
                </c:pt>
                <c:pt idx="193">
                  <c:v>28.702857142857145</c:v>
                </c:pt>
                <c:pt idx="194">
                  <c:v>24.255999974285714</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'13.Caudales'!$U$4:$U$198</c:f>
              <c:numCache>
                <c:formatCode>_(* #,##0.00_);_(* \(#,##0.00\);_(* "-"??_);_(@_)</c:formatCode>
                <c:ptCount val="195"/>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pt idx="187">
                  <c:v>5.9088572092857135</c:v>
                </c:pt>
                <c:pt idx="188">
                  <c:v>5.98</c:v>
                </c:pt>
                <c:pt idx="189">
                  <c:v>5.2142857142857082</c:v>
                </c:pt>
                <c:pt idx="190">
                  <c:v>5.0938570840000006</c:v>
                </c:pt>
                <c:pt idx="191">
                  <c:v>5.3142857551574654</c:v>
                </c:pt>
                <c:pt idx="192">
                  <c:v>5.3054285730634376</c:v>
                </c:pt>
                <c:pt idx="193">
                  <c:v>5.7485714285714282</c:v>
                </c:pt>
                <c:pt idx="194">
                  <c:v>5.1301428250000001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'13.Caudales'!$V$4:$V$198</c:f>
              <c:numCache>
                <c:formatCode>_(* #,##0.00_);_(* \(#,##0.00\);_(* "-"??_);_(@_)</c:formatCode>
                <c:ptCount val="195"/>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pt idx="187">
                  <c:v>10.808095795714285</c:v>
                </c:pt>
                <c:pt idx="188">
                  <c:v>10.5</c:v>
                </c:pt>
                <c:pt idx="189">
                  <c:v>10.503272874014685</c:v>
                </c:pt>
                <c:pt idx="190">
                  <c:v>10.503272872857142</c:v>
                </c:pt>
                <c:pt idx="191">
                  <c:v>11.495652879987402</c:v>
                </c:pt>
                <c:pt idx="192">
                  <c:v>11.481129918779585</c:v>
                </c:pt>
                <c:pt idx="193">
                  <c:v>11.507142857142854</c:v>
                </c:pt>
                <c:pt idx="194">
                  <c:v>11.565774237142858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'13.Caudales'!$N$4:$O$198</c:f>
              <c:multiLvlStrCache>
                <c:ptCount val="19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4">
                    <c:v>39</c:v>
                  </c:pt>
                </c:lvl>
                <c:lvl>
                  <c:pt idx="0">
                    <c:v>2020</c:v>
                  </c:pt>
                  <c:pt idx="52">
                    <c:v>2021</c:v>
                  </c:pt>
                  <c:pt idx="104">
                    <c:v>2022</c:v>
                  </c:pt>
                  <c:pt idx="156">
                    <c:v>2023</c:v>
                  </c:pt>
                </c:lvl>
              </c:multiLvlStrCache>
            </c:multiLvlStrRef>
          </c:cat>
          <c:val>
            <c:numRef>
              <c:f>'13.Caudales'!$W$4:$W$198</c:f>
              <c:numCache>
                <c:formatCode>_(* #,##0.00_);_(* \(#,##0.00\);_(* "-"??_);_(@_)</c:formatCode>
                <c:ptCount val="195"/>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pt idx="187">
                  <c:v>2.3351428848571425</c:v>
                </c:pt>
                <c:pt idx="188">
                  <c:v>1.73</c:v>
                </c:pt>
                <c:pt idx="189">
                  <c:v>1.816857167652671</c:v>
                </c:pt>
                <c:pt idx="190">
                  <c:v>1.8871428627142859</c:v>
                </c:pt>
                <c:pt idx="191">
                  <c:v>1.7399999925068426</c:v>
                </c:pt>
                <c:pt idx="192">
                  <c:v>1.696142843791413</c:v>
                </c:pt>
                <c:pt idx="193">
                  <c:v>1.5471428571428572</c:v>
                </c:pt>
                <c:pt idx="194">
                  <c:v>1.4987142768571426</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'13.Caudales'!$Y$4:$Y$198</c:f>
              <c:numCache>
                <c:formatCode>_(* #,##0.00_);_(* \(#,##0.00\);_(* "-"??_);_(@_)</c:formatCode>
                <c:ptCount val="195"/>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pt idx="187">
                  <c:v>4.508571420428571</c:v>
                </c:pt>
                <c:pt idx="188">
                  <c:v>3.9767142705714287</c:v>
                </c:pt>
                <c:pt idx="189">
                  <c:v>4.4771428108215305</c:v>
                </c:pt>
                <c:pt idx="190">
                  <c:v>4.497571468285714</c:v>
                </c:pt>
                <c:pt idx="191">
                  <c:v>5.5058571270533934</c:v>
                </c:pt>
                <c:pt idx="192">
                  <c:v>5.4837142399379157</c:v>
                </c:pt>
                <c:pt idx="193">
                  <c:v>5.3471428571428579</c:v>
                </c:pt>
                <c:pt idx="194">
                  <c:v>5.3</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'13.Caudales'!$X$4:$X$198</c:f>
              <c:numCache>
                <c:formatCode>_(* #,##0.00_);_(* \(#,##0.00\);_(* "-"??_);_(@_)</c:formatCode>
                <c:ptCount val="195"/>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pt idx="187">
                  <c:v>31.390000479999998</c:v>
                </c:pt>
                <c:pt idx="188">
                  <c:v>31.28</c:v>
                </c:pt>
                <c:pt idx="189">
                  <c:v>28.420714514596082</c:v>
                </c:pt>
                <c:pt idx="190">
                  <c:v>28.787142890000002</c:v>
                </c:pt>
                <c:pt idx="191">
                  <c:v>30.971428734915527</c:v>
                </c:pt>
                <c:pt idx="192">
                  <c:v>30.611428669520759</c:v>
                </c:pt>
                <c:pt idx="193">
                  <c:v>31.034285714285716</c:v>
                </c:pt>
                <c:pt idx="194">
                  <c:v>32.111428942857138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198.58090977142069</c:v>
                </c:pt>
                <c:pt idx="1">
                  <c:v>196.90426633544706</c:v>
                </c:pt>
                <c:pt idx="2">
                  <c:v>192.51935919585591</c:v>
                </c:pt>
                <c:pt idx="3">
                  <c:v>190.65306149774679</c:v>
                </c:pt>
                <c:pt idx="4">
                  <c:v>195.43341855787079</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174.39365413557445</c:v>
                </c:pt>
                <c:pt idx="1">
                  <c:v>179.1296956047174</c:v>
                </c:pt>
                <c:pt idx="2">
                  <c:v>181.3565630186842</c:v>
                </c:pt>
                <c:pt idx="3">
                  <c:v>177.39034191174335</c:v>
                </c:pt>
                <c:pt idx="4">
                  <c:v>179.60233153439796</c:v>
                </c:pt>
                <c:pt idx="5">
                  <c:v>180.35495872819928</c:v>
                </c:pt>
                <c:pt idx="6">
                  <c:v>180.21675594273989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204.9817299787118</c:v>
                </c:pt>
                <c:pt idx="1">
                  <c:v>197.45435657938944</c:v>
                </c:pt>
                <c:pt idx="2">
                  <c:v>197.61354937340874</c:v>
                </c:pt>
                <c:pt idx="3">
                  <c:v>202.95245768753799</c:v>
                </c:pt>
                <c:pt idx="4">
                  <c:v>196.36399401263407</c:v>
                </c:pt>
                <c:pt idx="5">
                  <c:v>191.12080486714711</c:v>
                </c:pt>
                <c:pt idx="6">
                  <c:v>200.39035852024983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72841302302820288"/>
        </c:manualLayout>
      </c:layout>
      <c:barChart>
        <c:barDir val="col"/>
        <c:grouping val="clustered"/>
        <c:varyColors val="0"/>
        <c:ser>
          <c:idx val="0"/>
          <c:order val="0"/>
          <c:tx>
            <c:strRef>
              <c:f>'16. Congestiones'!$D$6</c:f>
              <c:strCache>
                <c:ptCount val="1"/>
                <c:pt idx="0">
                  <c:v>SETIEMBRE
 2023</c:v>
                </c:pt>
              </c:strCache>
            </c:strRef>
          </c:tx>
          <c:spPr>
            <a:solidFill>
              <a:schemeClr val="accent1"/>
            </a:solidFill>
            <a:ln>
              <a:noFill/>
            </a:ln>
            <a:effectLst/>
          </c:spPr>
          <c:invertIfNegative val="0"/>
          <c:cat>
            <c:strRef>
              <c:f>'16. Congestiones'!$C$7:$C$14</c:f>
              <c:strCache>
                <c:ptCount val="8"/>
                <c:pt idx="0">
                  <c:v>CHILCA - PLANICIE</c:v>
                </c:pt>
                <c:pt idx="1">
                  <c:v>PORTILLO-SANTA CLARA</c:v>
                </c:pt>
                <c:pt idx="2">
                  <c:v>SANTA ROSA N. - CHAVARRÍA</c:v>
                </c:pt>
                <c:pt idx="3">
                  <c:v>OROYA NUEVA</c:v>
                </c:pt>
                <c:pt idx="4">
                  <c:v>CHILCA - ASIA</c:v>
                </c:pt>
                <c:pt idx="5">
                  <c:v>OROYA NUEVA</c:v>
                </c:pt>
                <c:pt idx="6">
                  <c:v>SANTA ROSA N. - CHAVARRÍA</c:v>
                </c:pt>
                <c:pt idx="7">
                  <c:v>SANTA ROSA N. - CHAVARRÍA</c:v>
                </c:pt>
              </c:strCache>
            </c:strRef>
          </c:cat>
          <c:val>
            <c:numRef>
              <c:f>'16. Congestiones'!$D$7:$D$14</c:f>
              <c:numCache>
                <c:formatCode>#,##0.00</c:formatCode>
                <c:ptCount val="8"/>
                <c:pt idx="1">
                  <c:v>1.3666666666666671</c:v>
                </c:pt>
                <c:pt idx="2">
                  <c:v>0.43333333333333179</c:v>
                </c:pt>
                <c:pt idx="3">
                  <c:v>1.8166666666666669</c:v>
                </c:pt>
                <c:pt idx="4">
                  <c:v>6.6999999999999993</c:v>
                </c:pt>
                <c:pt idx="5">
                  <c:v>4.4333333333333353</c:v>
                </c:pt>
                <c:pt idx="6">
                  <c:v>8.3333333333333037E-2</c:v>
                </c:pt>
                <c:pt idx="7">
                  <c:v>0.44999999999999996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SETIEMBRE
 2022</c:v>
                </c:pt>
              </c:strCache>
            </c:strRef>
          </c:tx>
          <c:spPr>
            <a:solidFill>
              <a:schemeClr val="accent2"/>
            </a:solidFill>
            <a:ln>
              <a:noFill/>
            </a:ln>
            <a:effectLst/>
          </c:spPr>
          <c:invertIfNegative val="0"/>
          <c:cat>
            <c:strRef>
              <c:f>'16. Congestiones'!$C$7:$C$14</c:f>
              <c:strCache>
                <c:ptCount val="8"/>
                <c:pt idx="0">
                  <c:v>CHILCA - PLANICIE</c:v>
                </c:pt>
                <c:pt idx="1">
                  <c:v>PORTILLO-SANTA CLARA</c:v>
                </c:pt>
                <c:pt idx="2">
                  <c:v>SANTA ROSA N. - CHAVARRÍA</c:v>
                </c:pt>
                <c:pt idx="3">
                  <c:v>OROYA NUEVA</c:v>
                </c:pt>
                <c:pt idx="4">
                  <c:v>CHILCA - ASIA</c:v>
                </c:pt>
                <c:pt idx="5">
                  <c:v>OROYA NUEVA</c:v>
                </c:pt>
                <c:pt idx="6">
                  <c:v>SANTA ROSA N. - CHAVARRÍA</c:v>
                </c:pt>
                <c:pt idx="7">
                  <c:v>SANTA ROSA N. - CHAVARRÍA</c:v>
                </c:pt>
              </c:strCache>
            </c:strRef>
          </c:cat>
          <c:val>
            <c:numRef>
              <c:f>'16. Congestiones'!$E$7:$E$14</c:f>
              <c:numCache>
                <c:formatCode>#,##0.00</c:formatCode>
                <c:ptCount val="8"/>
                <c:pt idx="0">
                  <c:v>20.18333333333333</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SETIEMBRE
 2021</c:v>
                </c:pt>
              </c:strCache>
            </c:strRef>
          </c:tx>
          <c:spPr>
            <a:solidFill>
              <a:schemeClr val="accent6"/>
            </a:solidFill>
            <a:ln>
              <a:noFill/>
            </a:ln>
            <a:effectLst/>
          </c:spPr>
          <c:invertIfNegative val="0"/>
          <c:val>
            <c:numRef>
              <c:f>'16. Congestiones'!$F$7:$F$14</c:f>
              <c:numCache>
                <c:formatCode>#,##0.00</c:formatCode>
                <c:ptCount val="8"/>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9.5334806784866569E-2"/>
                  <c:y val="5.723041870632127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6064157584793487"/>
                  <c:y val="-7.0617896707261069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2.4151217139319801E-2"/>
                  <c:y val="-3.0197843463246457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33983191243164979"/>
                  <c:y val="0.5584146558166367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17</c:v>
                </c:pt>
                <c:pt idx="1">
                  <c:v>6</c:v>
                </c:pt>
                <c:pt idx="2">
                  <c:v>0</c:v>
                </c:pt>
                <c:pt idx="3">
                  <c:v>9</c:v>
                </c:pt>
                <c:pt idx="4">
                  <c:v>3</c:v>
                </c:pt>
                <c:pt idx="5">
                  <c:v>3</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Línea de transmisión</c:v>
                </c:pt>
                <c:pt idx="1">
                  <c:v>Transformador</c:v>
                </c:pt>
                <c:pt idx="2">
                  <c:v>Generador Hidroeléctrico</c:v>
                </c:pt>
                <c:pt idx="3">
                  <c:v>Sub estación</c:v>
                </c:pt>
              </c:strCache>
            </c:strRef>
          </c:cat>
          <c:val>
            <c:numRef>
              <c:f>'17. Eventos'!$J$7:$J$10</c:f>
              <c:numCache>
                <c:formatCode>#,##0.00</c:formatCode>
                <c:ptCount val="4"/>
                <c:pt idx="0">
                  <c:v>431.88</c:v>
                </c:pt>
                <c:pt idx="1">
                  <c:v>84.73</c:v>
                </c:pt>
                <c:pt idx="2">
                  <c:v>0.32</c:v>
                </c:pt>
                <c:pt idx="3">
                  <c:v>0.13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Eventos'!$B$7:$B$10</c:f>
              <c:numCache>
                <c:formatCode>General</c:formatCode>
                <c:ptCount val="4"/>
                <c:pt idx="0">
                  <c:v>16</c:v>
                </c:pt>
                <c:pt idx="3">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Eventos'!$C$7:$C$10</c:f>
              <c:numCache>
                <c:formatCode>General</c:formatCode>
                <c:ptCount val="4"/>
                <c:pt idx="0">
                  <c:v>5</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Eventos'!$D$7:$D$10</c:f>
              <c:numCache>
                <c:formatCode>General</c:formatCode>
                <c:ptCount val="4"/>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Eventos'!$E$7:$E$10</c:f>
              <c:numCache>
                <c:formatCode>General</c:formatCode>
                <c:ptCount val="4"/>
                <c:pt idx="0">
                  <c:v>8</c:v>
                </c:pt>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Eventos'!$F$7:$F$10</c:f>
              <c:numCache>
                <c:formatCode>General</c:formatCode>
                <c:ptCount val="4"/>
                <c:pt idx="0">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Eventos'!$G$7:$G$10</c:f>
              <c:numCache>
                <c:formatCode>General</c:formatCode>
                <c:ptCount val="4"/>
                <c:pt idx="0">
                  <c:v>2</c:v>
                </c:pt>
                <c:pt idx="1">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Línea de transmisión</c:v>
                </c:pt>
                <c:pt idx="1">
                  <c:v>Transformador</c:v>
                </c:pt>
                <c:pt idx="2">
                  <c:v>Generador Hidroeléctrico</c:v>
                </c:pt>
                <c:pt idx="3">
                  <c:v>Sub estación</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generación'!$B$25:$C$25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generación'!$D$24:$E$24</c:f>
              <c:strCache>
                <c:ptCount val="2"/>
                <c:pt idx="0">
                  <c:v>SETIEMBRE 2023</c:v>
                </c:pt>
                <c:pt idx="1">
                  <c:v>SETIEMBRE 2022</c:v>
                </c:pt>
              </c:strCache>
            </c:strRef>
          </c:cat>
          <c:val>
            <c:numRef>
              <c:f>'2. Oferta de generación'!$D$25:$E$25</c:f>
              <c:numCache>
                <c:formatCode>#,##0.0</c:formatCode>
                <c:ptCount val="2"/>
                <c:pt idx="0">
                  <c:v>5134.2882475000006</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generación'!$B$26:$C$26</c:f>
              <c:strCache>
                <c:ptCount val="2"/>
                <c:pt idx="0">
                  <c:v>TERMOELÉCTRICA</c:v>
                </c:pt>
              </c:strCache>
            </c:strRef>
          </c:tx>
          <c:spPr>
            <a:solidFill>
              <a:schemeClr val="accent2"/>
            </a:solidFill>
          </c:spPr>
          <c:invertIfNegative val="0"/>
          <c:cat>
            <c:strRef>
              <c:f>'2. Oferta de generación'!$D$24:$E$24</c:f>
              <c:strCache>
                <c:ptCount val="2"/>
                <c:pt idx="0">
                  <c:v>SETIEMBRE 2023</c:v>
                </c:pt>
                <c:pt idx="1">
                  <c:v>SETIEMBRE 2022</c:v>
                </c:pt>
              </c:strCache>
            </c:strRef>
          </c:cat>
          <c:val>
            <c:numRef>
              <c:f>'2. Oferta de generación'!$D$26:$E$26</c:f>
              <c:numCache>
                <c:formatCode>#,##0.0</c:formatCode>
                <c:ptCount val="2"/>
                <c:pt idx="0">
                  <c:v>7528.9944999999998</c:v>
                </c:pt>
                <c:pt idx="1">
                  <c:v>7605.0945000000002</c:v>
                </c:pt>
              </c:numCache>
            </c:numRef>
          </c:val>
          <c:extLst>
            <c:ext xmlns:c16="http://schemas.microsoft.com/office/drawing/2014/chart" uri="{C3380CC4-5D6E-409C-BE32-E72D297353CC}">
              <c16:uniqueId val="{00000005-54B0-402D-913D-0304413B844F}"/>
            </c:ext>
          </c:extLst>
        </c:ser>
        <c:ser>
          <c:idx val="2"/>
          <c:order val="2"/>
          <c:tx>
            <c:strRef>
              <c:f>'2. Oferta de generación'!$B$27:$C$27</c:f>
              <c:strCache>
                <c:ptCount val="2"/>
                <c:pt idx="0">
                  <c:v>EÓLICA</c:v>
                </c:pt>
              </c:strCache>
            </c:strRef>
          </c:tx>
          <c:spPr>
            <a:solidFill>
              <a:srgbClr val="6DA6D9"/>
            </a:solidFill>
          </c:spPr>
          <c:invertIfNegative val="0"/>
          <c:cat>
            <c:strRef>
              <c:f>'2. Oferta de generación'!$D$24:$E$24</c:f>
              <c:strCache>
                <c:ptCount val="2"/>
                <c:pt idx="0">
                  <c:v>SETIEMBRE 2023</c:v>
                </c:pt>
                <c:pt idx="1">
                  <c:v>SETIEMBRE 2022</c:v>
                </c:pt>
              </c:strCache>
            </c:strRef>
          </c:cat>
          <c:val>
            <c:numRef>
              <c:f>'2. Oferta de generación'!$D$27:$E$27</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generación'!$B$28:$C$28</c:f>
              <c:strCache>
                <c:ptCount val="2"/>
                <c:pt idx="0">
                  <c:v>SOLAR</c:v>
                </c:pt>
              </c:strCache>
            </c:strRef>
          </c:tx>
          <c:invertIfNegative val="0"/>
          <c:cat>
            <c:strRef>
              <c:f>'2. Oferta de generación'!$D$24:$E$24</c:f>
              <c:strCache>
                <c:ptCount val="2"/>
                <c:pt idx="0">
                  <c:v>SETIEMBRE 2023</c:v>
                </c:pt>
                <c:pt idx="1">
                  <c:v>SETIEMBRE 2022</c:v>
                </c:pt>
              </c:strCache>
            </c:strRef>
          </c:cat>
          <c:val>
            <c:numRef>
              <c:f>'2. Oferta de generación'!$D$28:$E$28</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23074.110056099002</c:v>
                </c:pt>
                <c:pt idx="1">
                  <c:v>15180.075255562502</c:v>
                </c:pt>
                <c:pt idx="2">
                  <c:v>1322.2768018225001</c:v>
                </c:pt>
                <c:pt idx="3">
                  <c:v>571.17249222250007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22673.959776664997</c:v>
                </c:pt>
                <c:pt idx="1">
                  <c:v>16662.790447722502</c:v>
                </c:pt>
                <c:pt idx="2">
                  <c:v>1474.0972423825001</c:v>
                </c:pt>
                <c:pt idx="3">
                  <c:v>581.2404993350001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20497.643968002503</c:v>
                </c:pt>
                <c:pt idx="1">
                  <c:v>20826.659479740003</c:v>
                </c:pt>
                <c:pt idx="2">
                  <c:v>1606.47250523</c:v>
                </c:pt>
                <c:pt idx="3">
                  <c:v>625.77223493250006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20497.643968002503</c:v>
                </c:pt>
                <c:pt idx="1">
                  <c:v>18886.350226032504</c:v>
                </c:pt>
                <c:pt idx="2">
                  <c:v>553.40236525</c:v>
                </c:pt>
                <c:pt idx="3">
                  <c:v>288.44143312</c:v>
                </c:pt>
                <c:pt idx="4">
                  <c:v>0</c:v>
                </c:pt>
                <c:pt idx="5">
                  <c:v>25.28455615</c:v>
                </c:pt>
                <c:pt idx="6">
                  <c:v>0</c:v>
                </c:pt>
                <c:pt idx="7">
                  <c:v>834.33450871499986</c:v>
                </c:pt>
                <c:pt idx="8">
                  <c:v>188.64806197250002</c:v>
                </c:pt>
                <c:pt idx="9">
                  <c:v>50.198328500000002</c:v>
                </c:pt>
                <c:pt idx="10">
                  <c:v>625.77223493250006</c:v>
                </c:pt>
                <c:pt idx="11">
                  <c:v>1606.47250523</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22673.959776664997</c:v>
                </c:pt>
                <c:pt idx="1">
                  <c:v>15686.830184052498</c:v>
                </c:pt>
                <c:pt idx="2">
                  <c:v>479.98428700000005</c:v>
                </c:pt>
                <c:pt idx="3">
                  <c:v>196.87027196749997</c:v>
                </c:pt>
                <c:pt idx="4">
                  <c:v>17.829347852500003</c:v>
                </c:pt>
                <c:pt idx="5">
                  <c:v>8.6910664824999984</c:v>
                </c:pt>
                <c:pt idx="6">
                  <c:v>0</c:v>
                </c:pt>
                <c:pt idx="7">
                  <c:v>21.163339925000002</c:v>
                </c:pt>
                <c:pt idx="8">
                  <c:v>194.4180491425</c:v>
                </c:pt>
                <c:pt idx="9">
                  <c:v>57.003901299999995</c:v>
                </c:pt>
                <c:pt idx="10">
                  <c:v>581.2404993350001</c:v>
                </c:pt>
                <c:pt idx="11">
                  <c:v>1474.0972423825001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23074.110056099002</c:v>
                </c:pt>
                <c:pt idx="1">
                  <c:v>14160.591499210001</c:v>
                </c:pt>
                <c:pt idx="2">
                  <c:v>532.60915400249996</c:v>
                </c:pt>
                <c:pt idx="3">
                  <c:v>189.31229674999997</c:v>
                </c:pt>
                <c:pt idx="4">
                  <c:v>21.4586413675</c:v>
                </c:pt>
                <c:pt idx="5">
                  <c:v>5.2761084799999995</c:v>
                </c:pt>
                <c:pt idx="6">
                  <c:v>0</c:v>
                </c:pt>
                <c:pt idx="7">
                  <c:v>15.73967094</c:v>
                </c:pt>
                <c:pt idx="8">
                  <c:v>194.04777303</c:v>
                </c:pt>
                <c:pt idx="9">
                  <c:v>61.040111782500013</c:v>
                </c:pt>
                <c:pt idx="10">
                  <c:v>571.17249222250007</c:v>
                </c:pt>
                <c:pt idx="11">
                  <c:v>1322.2768018225001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YARUCAYA</c:v>
                </c:pt>
                <c:pt idx="1">
                  <c:v>C.H. CHANCAY</c:v>
                </c:pt>
                <c:pt idx="2">
                  <c:v>C.H. RENOVANDES H1</c:v>
                </c:pt>
                <c:pt idx="3">
                  <c:v>C.H. CARHUAC</c:v>
                </c:pt>
                <c:pt idx="4">
                  <c:v>C.H. RUCUY</c:v>
                </c:pt>
                <c:pt idx="5">
                  <c:v>C.H. POECHOS II</c:v>
                </c:pt>
                <c:pt idx="6">
                  <c:v>C.H. CARHUAQUERO IV</c:v>
                </c:pt>
                <c:pt idx="7">
                  <c:v>C.H. 8 DE AGOSTO</c:v>
                </c:pt>
                <c:pt idx="8">
                  <c:v>C.H. LA JOYA</c:v>
                </c:pt>
                <c:pt idx="9">
                  <c:v>C.H. RUNATULLO III</c:v>
                </c:pt>
                <c:pt idx="10">
                  <c:v>C.H. ÁNGEL III</c:v>
                </c:pt>
                <c:pt idx="11">
                  <c:v>C.H. CANCHAYLLO</c:v>
                </c:pt>
                <c:pt idx="12">
                  <c:v>C.H. ÁNGEL II</c:v>
                </c:pt>
                <c:pt idx="13">
                  <c:v>C.H. IMPERIAL</c:v>
                </c:pt>
                <c:pt idx="14">
                  <c:v>C.H. ÁNGEL I</c:v>
                </c:pt>
                <c:pt idx="15">
                  <c:v>C.H. RUNATULLO II</c:v>
                </c:pt>
                <c:pt idx="16">
                  <c:v>C.H. MANTA I</c:v>
                </c:pt>
                <c:pt idx="17">
                  <c:v>C.H. LAS PIZARRAS</c:v>
                </c:pt>
                <c:pt idx="18">
                  <c:v>C.H. EL CARMEN</c:v>
                </c:pt>
                <c:pt idx="19">
                  <c:v>C.H. SANTA CRUZ II</c:v>
                </c:pt>
                <c:pt idx="20">
                  <c:v>C.H. HUASAHUASI II</c:v>
                </c:pt>
                <c:pt idx="21">
                  <c:v>C.H. SANTA CRUZ I</c:v>
                </c:pt>
                <c:pt idx="22">
                  <c:v>C.H. YANAPAMPA</c:v>
                </c:pt>
                <c:pt idx="23">
                  <c:v>C.H. HUASAHUASI I</c:v>
                </c:pt>
                <c:pt idx="24">
                  <c:v>C.H. RONCADOR</c:v>
                </c:pt>
                <c:pt idx="25">
                  <c:v>C.H. POTRERO</c:v>
                </c:pt>
                <c:pt idx="26">
                  <c:v>C.H. CAÑA BRAVA</c:v>
                </c:pt>
                <c:pt idx="27">
                  <c:v>C.H. HER 1</c:v>
                </c:pt>
                <c:pt idx="28">
                  <c:v>C.H. PURMACANA</c:v>
                </c:pt>
              </c:strCache>
            </c:strRef>
          </c:cat>
          <c:val>
            <c:numRef>
              <c:f>'6. FP RER'!$P$6:$P$34</c:f>
              <c:numCache>
                <c:formatCode>0.00</c:formatCode>
                <c:ptCount val="29"/>
                <c:pt idx="0">
                  <c:v>10.090709777499999</c:v>
                </c:pt>
                <c:pt idx="1">
                  <c:v>9.3683643725000003</c:v>
                </c:pt>
                <c:pt idx="2">
                  <c:v>9.0539346574999993</c:v>
                </c:pt>
                <c:pt idx="3">
                  <c:v>7.7319830475</c:v>
                </c:pt>
                <c:pt idx="4">
                  <c:v>6.8851207749999999</c:v>
                </c:pt>
                <c:pt idx="5">
                  <c:v>4.9131312724999994</c:v>
                </c:pt>
                <c:pt idx="6">
                  <c:v>4.5540491400000001</c:v>
                </c:pt>
                <c:pt idx="7">
                  <c:v>3.925174395</c:v>
                </c:pt>
                <c:pt idx="8">
                  <c:v>3.3686590725000003</c:v>
                </c:pt>
                <c:pt idx="9">
                  <c:v>2.9409661274999999</c:v>
                </c:pt>
                <c:pt idx="10">
                  <c:v>2.9035017574999999</c:v>
                </c:pt>
                <c:pt idx="11">
                  <c:v>2.8839537399999999</c:v>
                </c:pt>
                <c:pt idx="12">
                  <c:v>2.8260836524999999</c:v>
                </c:pt>
                <c:pt idx="13">
                  <c:v>2.1720999999999999</c:v>
                </c:pt>
                <c:pt idx="14">
                  <c:v>2.0140045200000003</c:v>
                </c:pt>
                <c:pt idx="15">
                  <c:v>2.0103674300000001</c:v>
                </c:pt>
                <c:pt idx="16">
                  <c:v>1.83143024</c:v>
                </c:pt>
                <c:pt idx="17">
                  <c:v>1.729740115</c:v>
                </c:pt>
                <c:pt idx="18">
                  <c:v>1.6370883699999998</c:v>
                </c:pt>
                <c:pt idx="19">
                  <c:v>1.5158488400000001</c:v>
                </c:pt>
                <c:pt idx="20">
                  <c:v>1.3964752550000001</c:v>
                </c:pt>
                <c:pt idx="21">
                  <c:v>1.3069729649999999</c:v>
                </c:pt>
                <c:pt idx="22">
                  <c:v>1.1583418000000001</c:v>
                </c:pt>
                <c:pt idx="23">
                  <c:v>1.0427986224999999</c:v>
                </c:pt>
                <c:pt idx="24">
                  <c:v>0.88280822999999997</c:v>
                </c:pt>
                <c:pt idx="25">
                  <c:v>0.87052809750000004</c:v>
                </c:pt>
                <c:pt idx="26">
                  <c:v>0.84567810249999997</c:v>
                </c:pt>
                <c:pt idx="27">
                  <c:v>0.34971199999999997</c:v>
                </c:pt>
                <c:pt idx="28">
                  <c:v>0.22091166999999998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YARUCAYA</c:v>
                </c:pt>
                <c:pt idx="1">
                  <c:v>C.H. CHANCAY</c:v>
                </c:pt>
                <c:pt idx="2">
                  <c:v>C.H. RENOVANDES H1</c:v>
                </c:pt>
                <c:pt idx="3">
                  <c:v>C.H. CARHUAC</c:v>
                </c:pt>
                <c:pt idx="4">
                  <c:v>C.H. RUCUY</c:v>
                </c:pt>
                <c:pt idx="5">
                  <c:v>C.H. POECHOS II</c:v>
                </c:pt>
                <c:pt idx="6">
                  <c:v>C.H. CARHUAQUERO IV</c:v>
                </c:pt>
                <c:pt idx="7">
                  <c:v>C.H. 8 DE AGOSTO</c:v>
                </c:pt>
                <c:pt idx="8">
                  <c:v>C.H. LA JOYA</c:v>
                </c:pt>
                <c:pt idx="9">
                  <c:v>C.H. RUNATULLO III</c:v>
                </c:pt>
                <c:pt idx="10">
                  <c:v>C.H. ÁNGEL III</c:v>
                </c:pt>
                <c:pt idx="11">
                  <c:v>C.H. CANCHAYLLO</c:v>
                </c:pt>
                <c:pt idx="12">
                  <c:v>C.H. ÁNGEL II</c:v>
                </c:pt>
                <c:pt idx="13">
                  <c:v>C.H. IMPERIAL</c:v>
                </c:pt>
                <c:pt idx="14">
                  <c:v>C.H. ÁNGEL I</c:v>
                </c:pt>
                <c:pt idx="15">
                  <c:v>C.H. RUNATULLO II</c:v>
                </c:pt>
                <c:pt idx="16">
                  <c:v>C.H. MANTA I</c:v>
                </c:pt>
                <c:pt idx="17">
                  <c:v>C.H. LAS PIZARRAS</c:v>
                </c:pt>
                <c:pt idx="18">
                  <c:v>C.H. EL CARMEN</c:v>
                </c:pt>
                <c:pt idx="19">
                  <c:v>C.H. SANTA CRUZ II</c:v>
                </c:pt>
                <c:pt idx="20">
                  <c:v>C.H. HUASAHUASI II</c:v>
                </c:pt>
                <c:pt idx="21">
                  <c:v>C.H. SANTA CRUZ I</c:v>
                </c:pt>
                <c:pt idx="22">
                  <c:v>C.H. YANAPAMPA</c:v>
                </c:pt>
                <c:pt idx="23">
                  <c:v>C.H. HUASAHUASI I</c:v>
                </c:pt>
                <c:pt idx="24">
                  <c:v>C.H. RONCADOR</c:v>
                </c:pt>
                <c:pt idx="25">
                  <c:v>C.H. POTRERO</c:v>
                </c:pt>
                <c:pt idx="26">
                  <c:v>C.H. CAÑA BRAVA</c:v>
                </c:pt>
                <c:pt idx="27">
                  <c:v>C.H. HER 1</c:v>
                </c:pt>
                <c:pt idx="28">
                  <c:v>C.H. PURMACANA</c:v>
                </c:pt>
              </c:strCache>
            </c:strRef>
          </c:cat>
          <c:val>
            <c:numRef>
              <c:f>'6. FP RER'!$Q$6:$Q$34</c:f>
              <c:numCache>
                <c:formatCode>0.00</c:formatCode>
                <c:ptCount val="29"/>
                <c:pt idx="0">
                  <c:v>0.77225450137603147</c:v>
                </c:pt>
                <c:pt idx="1">
                  <c:v>0.6410926874274625</c:v>
                </c:pt>
                <c:pt idx="2">
                  <c:v>0.60276623749054636</c:v>
                </c:pt>
                <c:pt idx="3">
                  <c:v>0.52729456754330872</c:v>
                </c:pt>
                <c:pt idx="4">
                  <c:v>0.47176456551828089</c:v>
                </c:pt>
                <c:pt idx="5">
                  <c:v>0.71333822224835641</c:v>
                </c:pt>
                <c:pt idx="6">
                  <c:v>0.63358391766002198</c:v>
                </c:pt>
                <c:pt idx="7">
                  <c:v>0.26489947056203439</c:v>
                </c:pt>
                <c:pt idx="8">
                  <c:v>0.51528195406432031</c:v>
                </c:pt>
                <c:pt idx="9">
                  <c:v>0.20458154748489096</c:v>
                </c:pt>
                <c:pt idx="10">
                  <c:v>0.20078815388228829</c:v>
                </c:pt>
                <c:pt idx="11">
                  <c:v>0.77191969658037296</c:v>
                </c:pt>
                <c:pt idx="12">
                  <c:v>0.19638178811846688</c:v>
                </c:pt>
                <c:pt idx="13">
                  <c:v>0.75932684509326842</c:v>
                </c:pt>
                <c:pt idx="14">
                  <c:v>0.1395064508358482</c:v>
                </c:pt>
                <c:pt idx="15">
                  <c:v>0.13983958462017884</c:v>
                </c:pt>
                <c:pt idx="16">
                  <c:v>0.1225068154244357</c:v>
                </c:pt>
                <c:pt idx="17">
                  <c:v>0.12512913494564384</c:v>
                </c:pt>
                <c:pt idx="18">
                  <c:v>0.26500394489769485</c:v>
                </c:pt>
                <c:pt idx="19">
                  <c:v>0.32379969411121362</c:v>
                </c:pt>
                <c:pt idx="20">
                  <c:v>0.19464921026077797</c:v>
                </c:pt>
                <c:pt idx="21">
                  <c:v>0.27354433833132408</c:v>
                </c:pt>
                <c:pt idx="22">
                  <c:v>0.41080740194104903</c:v>
                </c:pt>
                <c:pt idx="23">
                  <c:v>0.14703872285674</c:v>
                </c:pt>
                <c:pt idx="24">
                  <c:v>0.37034585567217904</c:v>
                </c:pt>
                <c:pt idx="25">
                  <c:v>5.9848866551991543E-2</c:v>
                </c:pt>
                <c:pt idx="26">
                  <c:v>0.2071521905006859</c:v>
                </c:pt>
                <c:pt idx="27">
                  <c:v>0.71570930682422296</c:v>
                </c:pt>
                <c:pt idx="28">
                  <c:v>0.17344362006155392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54.619843000000003</c:v>
                </c:pt>
                <c:pt idx="1">
                  <c:v>45.001129165000002</c:v>
                </c:pt>
                <c:pt idx="2">
                  <c:v>27.341725</c:v>
                </c:pt>
                <c:pt idx="3">
                  <c:v>14.909885792499999</c:v>
                </c:pt>
                <c:pt idx="4">
                  <c:v>13.965770000000001</c:v>
                </c:pt>
                <c:pt idx="5">
                  <c:v>9.1080067299999996</c:v>
                </c:pt>
                <c:pt idx="6">
                  <c:v>7.7355354424999998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RER'!$Q$35:$Q$41</c:f>
              <c:numCache>
                <c:formatCode>0.00</c:formatCode>
                <c:ptCount val="7"/>
                <c:pt idx="0">
                  <c:v>0.57340055219618702</c:v>
                </c:pt>
                <c:pt idx="1">
                  <c:v>0.64335119181391875</c:v>
                </c:pt>
                <c:pt idx="2">
                  <c:v>0.45670015701209321</c:v>
                </c:pt>
                <c:pt idx="3">
                  <c:v>0.64713045974392358</c:v>
                </c:pt>
                <c:pt idx="4">
                  <c:v>0.62854513213797081</c:v>
                </c:pt>
                <c:pt idx="5">
                  <c:v>0.68862326332184109</c:v>
                </c:pt>
                <c:pt idx="6">
                  <c:v>0.58485570090878847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RER'!$P$42:$P$48</c:f>
              <c:numCache>
                <c:formatCode>0.00</c:formatCode>
                <c:ptCount val="7"/>
                <c:pt idx="0">
                  <c:v>40.519474500000001</c:v>
                </c:pt>
                <c:pt idx="1">
                  <c:v>10.126011892500001</c:v>
                </c:pt>
                <c:pt idx="2">
                  <c:v>5.0573886249999997</c:v>
                </c:pt>
                <c:pt idx="3">
                  <c:v>4.2076391774999999</c:v>
                </c:pt>
                <c:pt idx="4">
                  <c:v>4.0944099999999999</c:v>
                </c:pt>
                <c:pt idx="5">
                  <c:v>4.0078735000000005</c:v>
                </c:pt>
                <c:pt idx="6">
                  <c:v>3.73867474</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RER'!$Q$42:$Q$48</c:f>
              <c:numCache>
                <c:formatCode>0.00</c:formatCode>
                <c:ptCount val="7"/>
                <c:pt idx="0">
                  <c:v>0.38951445125046147</c:v>
                </c:pt>
                <c:pt idx="1">
                  <c:v>0.31575898981252803</c:v>
                </c:pt>
                <c:pt idx="2">
                  <c:v>0.35120754340277777</c:v>
                </c:pt>
                <c:pt idx="3">
                  <c:v>0.36524645638020836</c:v>
                </c:pt>
                <c:pt idx="4">
                  <c:v>0.28433402777777778</c:v>
                </c:pt>
                <c:pt idx="5">
                  <c:v>0.27832454861111117</c:v>
                </c:pt>
                <c:pt idx="6">
                  <c:v>0.25963019027777778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DOÑA CATALINA</c:v>
                </c:pt>
                <c:pt idx="3">
                  <c:v>C.T. CALLAO</c:v>
                </c:pt>
                <c:pt idx="4">
                  <c:v>C.T. LA GRINGA</c:v>
                </c:pt>
              </c:strCache>
            </c:strRef>
          </c:cat>
          <c:val>
            <c:numRef>
              <c:f>'6. FP RER'!$P$49:$P$53</c:f>
              <c:numCache>
                <c:formatCode>0.00</c:formatCode>
                <c:ptCount val="5"/>
                <c:pt idx="0">
                  <c:v>9.8725716799999983</c:v>
                </c:pt>
                <c:pt idx="1">
                  <c:v>1.9893136</c:v>
                </c:pt>
                <c:pt idx="2">
                  <c:v>1.6281840249999999</c:v>
                </c:pt>
                <c:pt idx="3">
                  <c:v>1.1900684500000001</c:v>
                </c:pt>
                <c:pt idx="4">
                  <c:v>0.92253057500000002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DOÑA CATALINA</c:v>
                </c:pt>
                <c:pt idx="3">
                  <c:v>C.T. CALLAO</c:v>
                </c:pt>
                <c:pt idx="4">
                  <c:v>C.T. LA GRINGA</c:v>
                </c:pt>
              </c:strCache>
            </c:strRef>
          </c:cat>
          <c:val>
            <c:numRef>
              <c:f>'6. FP RER'!$Q$49:$Q$53</c:f>
              <c:numCache>
                <c:formatCode>0.00</c:formatCode>
                <c:ptCount val="5"/>
                <c:pt idx="0">
                  <c:v>1</c:v>
                </c:pt>
                <c:pt idx="1">
                  <c:v>0.64819602476376659</c:v>
                </c:pt>
                <c:pt idx="2">
                  <c:v>0.94223612557870384</c:v>
                </c:pt>
                <c:pt idx="3">
                  <c:v>0.688697019675926</c:v>
                </c:pt>
                <c:pt idx="4">
                  <c:v>0.43379235036658348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0</xdr:rowOff>
    </xdr:from>
    <xdr:to>
      <xdr:col>9</xdr:col>
      <xdr:colOff>76200</xdr:colOff>
      <xdr:row>64</xdr:row>
      <xdr:rowOff>39757</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65" y="0"/>
          <a:ext cx="6288157" cy="9051235"/>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09 de octubre 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INFSGI-MES-09-2023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setiembre</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68</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(195,43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(196,9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(190,65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(198,58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(191,12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(196,36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(192,52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(202,95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(181,36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(197,45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(200,39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(174,39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(179,6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(180,22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(204,98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(180,35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(177,39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(179,13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(197,61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17</xdr:row>
      <xdr:rowOff>19878</xdr:rowOff>
    </xdr:from>
    <xdr:to>
      <xdr:col>7</xdr:col>
      <xdr:colOff>557419</xdr:colOff>
      <xdr:row>46</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38627</xdr:colOff>
      <xdr:row>15</xdr:row>
      <xdr:rowOff>66954</xdr:rowOff>
    </xdr:from>
    <xdr:to>
      <xdr:col>3</xdr:col>
      <xdr:colOff>325008</xdr:colOff>
      <xdr:row>32</xdr:row>
      <xdr:rowOff>40678</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78442</xdr:rowOff>
    </xdr:from>
    <xdr:to>
      <xdr:col>9</xdr:col>
      <xdr:colOff>581525</xdr:colOff>
      <xdr:row>56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68</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M19" sqref="M19"/>
    </sheetView>
  </sheetViews>
  <sheetFormatPr baseColWidth="10" defaultColWidth="11.5" defaultRowHeight="11.25"/>
  <cols>
    <col min="9" max="9" width="17.332031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zoomScalePageLayoutView="115" workbookViewId="0">
      <selection activeCell="F10" sqref="F10"/>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7" width="10.83203125" customWidth="1"/>
    <col min="8" max="8" width="10" customWidth="1"/>
    <col min="9" max="9" width="9.6640625" customWidth="1"/>
    <col min="10" max="10" width="10.33203125" customWidth="1"/>
    <col min="11" max="11" width="8.5" customWidth="1"/>
  </cols>
  <sheetData>
    <row r="1" spans="1:12" ht="11.25" customHeight="1"/>
    <row r="2" spans="1:12" ht="18.75" customHeight="1">
      <c r="A2" s="881" t="s">
        <v>239</v>
      </c>
      <c r="B2" s="881"/>
      <c r="C2" s="881"/>
      <c r="D2" s="881"/>
      <c r="E2" s="881"/>
      <c r="F2" s="881"/>
      <c r="G2" s="881"/>
      <c r="H2" s="881"/>
      <c r="I2" s="881"/>
      <c r="J2" s="881"/>
      <c r="K2" s="881"/>
    </row>
    <row r="3" spans="1:12" ht="11.25" customHeight="1">
      <c r="A3" s="17"/>
      <c r="B3" s="17"/>
      <c r="C3" s="17"/>
      <c r="D3" s="17"/>
      <c r="E3" s="17"/>
      <c r="F3" s="17"/>
      <c r="G3" s="17"/>
      <c r="H3" s="17"/>
      <c r="I3" s="17"/>
      <c r="J3" s="17"/>
      <c r="K3" s="17"/>
      <c r="L3" s="36"/>
    </row>
    <row r="4" spans="1:12" ht="11.25" customHeight="1">
      <c r="A4" s="882" t="s">
        <v>363</v>
      </c>
      <c r="B4" s="882"/>
      <c r="C4" s="882"/>
      <c r="D4" s="882"/>
      <c r="E4" s="882"/>
      <c r="F4" s="882"/>
      <c r="G4" s="882"/>
      <c r="H4" s="882"/>
      <c r="I4" s="882"/>
      <c r="J4" s="882"/>
      <c r="K4" s="882"/>
      <c r="L4" s="36"/>
    </row>
    <row r="5" spans="1:12" ht="11.25" customHeight="1">
      <c r="A5" s="17"/>
      <c r="B5" s="67"/>
      <c r="C5" s="68"/>
      <c r="D5" s="69"/>
      <c r="E5" s="69"/>
      <c r="F5" s="69"/>
      <c r="G5" s="69"/>
      <c r="H5" s="70"/>
      <c r="I5" s="66"/>
      <c r="J5" s="66"/>
      <c r="K5" s="71"/>
      <c r="L5" s="8"/>
    </row>
    <row r="6" spans="1:12" ht="12.75" customHeight="1">
      <c r="A6" s="888" t="s">
        <v>207</v>
      </c>
      <c r="B6" s="883" t="s">
        <v>242</v>
      </c>
      <c r="C6" s="884"/>
      <c r="D6" s="884"/>
      <c r="E6" s="884" t="s">
        <v>33</v>
      </c>
      <c r="F6" s="884"/>
      <c r="G6" s="885" t="s">
        <v>241</v>
      </c>
      <c r="H6" s="885"/>
      <c r="I6" s="885"/>
      <c r="J6" s="885"/>
      <c r="K6" s="885"/>
      <c r="L6" s="15"/>
    </row>
    <row r="7" spans="1:12" ht="12.75" customHeight="1">
      <c r="A7" s="888"/>
      <c r="B7" s="440">
        <v>45118.84375</v>
      </c>
      <c r="C7" s="440">
        <v>45162.791666666664</v>
      </c>
      <c r="D7" s="440">
        <v>45197.791666666664</v>
      </c>
      <c r="E7" s="440">
        <v>44831.791666666664</v>
      </c>
      <c r="F7" s="886" t="s">
        <v>118</v>
      </c>
      <c r="G7" s="576">
        <v>2023</v>
      </c>
      <c r="H7" s="576">
        <v>2022</v>
      </c>
      <c r="I7" s="886" t="s">
        <v>537</v>
      </c>
      <c r="J7" s="576">
        <v>2021</v>
      </c>
      <c r="K7" s="886" t="s">
        <v>520</v>
      </c>
      <c r="L7" s="13"/>
    </row>
    <row r="8" spans="1:12" ht="12.75" customHeight="1">
      <c r="A8" s="888"/>
      <c r="B8" s="441">
        <v>45118.84375</v>
      </c>
      <c r="C8" s="441">
        <v>45162.791666666664</v>
      </c>
      <c r="D8" s="441">
        <v>45197.791666666664</v>
      </c>
      <c r="E8" s="441">
        <v>44831.791666666664</v>
      </c>
      <c r="F8" s="887"/>
      <c r="G8" s="442">
        <v>45027.791666666664</v>
      </c>
      <c r="H8" s="442">
        <v>44831.791666666664</v>
      </c>
      <c r="I8" s="887"/>
      <c r="J8" s="442">
        <v>44435.90625</v>
      </c>
      <c r="K8" s="887"/>
      <c r="L8" s="14"/>
    </row>
    <row r="9" spans="1:12" ht="12.75" customHeight="1">
      <c r="A9" s="888"/>
      <c r="B9" s="443">
        <v>45118.84375</v>
      </c>
      <c r="C9" s="443">
        <v>45162.791666666664</v>
      </c>
      <c r="D9" s="443">
        <v>45197.791666666664</v>
      </c>
      <c r="E9" s="443">
        <v>44831.791666666664</v>
      </c>
      <c r="F9" s="887"/>
      <c r="G9" s="444">
        <v>45027.791666666664</v>
      </c>
      <c r="H9" s="444">
        <v>44831.791666666664</v>
      </c>
      <c r="I9" s="887"/>
      <c r="J9" s="444">
        <v>44435.90625</v>
      </c>
      <c r="K9" s="887"/>
      <c r="L9" s="14"/>
    </row>
    <row r="10" spans="1:12" ht="12.75" customHeight="1">
      <c r="A10" s="445" t="s">
        <v>35</v>
      </c>
      <c r="B10" s="446">
        <v>2316.2952700000005</v>
      </c>
      <c r="C10" s="447">
        <v>2632.00731</v>
      </c>
      <c r="D10" s="448">
        <v>2654.9456300000002</v>
      </c>
      <c r="E10" s="446">
        <v>3321.0818199999994</v>
      </c>
      <c r="F10" s="449">
        <f>+IF(E10=0,"",D10/E10-1)</f>
        <v>-0.20057807247880433</v>
      </c>
      <c r="G10" s="446">
        <v>4362.1793299999999</v>
      </c>
      <c r="H10" s="447">
        <v>3321.0818199999994</v>
      </c>
      <c r="I10" s="449">
        <f>+IF(H10=0,"",G10/H10-1)</f>
        <v>0.31348143961114472</v>
      </c>
      <c r="J10" s="446">
        <v>3273.73542</v>
      </c>
      <c r="K10" s="449">
        <f t="shared" ref="K10:K18" si="0">+IF(J10=0,"",H10/J10-1)</f>
        <v>1.4462500454602845E-2</v>
      </c>
      <c r="L10" s="14"/>
    </row>
    <row r="11" spans="1:12" ht="12.75" customHeight="1">
      <c r="A11" s="450" t="s">
        <v>36</v>
      </c>
      <c r="B11" s="451">
        <v>4477.8661700000002</v>
      </c>
      <c r="C11" s="452">
        <v>4177.7760199999993</v>
      </c>
      <c r="D11" s="453">
        <v>4218.1404700000003</v>
      </c>
      <c r="E11" s="451">
        <v>3635.451219999999</v>
      </c>
      <c r="F11" s="454">
        <f>+IF(E11=0,"",D11/E11-1)</f>
        <v>0.16027976026590762</v>
      </c>
      <c r="G11" s="451">
        <v>2953.9779799999992</v>
      </c>
      <c r="H11" s="452">
        <v>3635.451219999999</v>
      </c>
      <c r="I11" s="454">
        <f>+IF(H11=0,"",G11/H11-1)</f>
        <v>-0.18745217546888171</v>
      </c>
      <c r="J11" s="451">
        <v>3479.0482800000009</v>
      </c>
      <c r="K11" s="454">
        <f>+IF(J11=0,"",H11/J11-1)</f>
        <v>4.4955668163362716E-2</v>
      </c>
      <c r="L11" s="14"/>
    </row>
    <row r="12" spans="1:12" ht="12.75" customHeight="1">
      <c r="A12" s="455" t="s">
        <v>37</v>
      </c>
      <c r="B12" s="456">
        <v>486.05047999999999</v>
      </c>
      <c r="C12" s="457">
        <v>480.25540000000001</v>
      </c>
      <c r="D12" s="458">
        <v>501.07251000000002</v>
      </c>
      <c r="E12" s="456">
        <v>359.26836000000003</v>
      </c>
      <c r="F12" s="459">
        <f>+IF(E12=0,"",D12/E12-1)</f>
        <v>0.39470258388464807</v>
      </c>
      <c r="G12" s="456">
        <v>289.34881000000001</v>
      </c>
      <c r="H12" s="457">
        <v>359.26836000000003</v>
      </c>
      <c r="I12" s="459">
        <f>+IF(H12=0,"",G12/H12-1)</f>
        <v>-0.19461649781795431</v>
      </c>
      <c r="J12" s="456">
        <v>175.20775</v>
      </c>
      <c r="K12" s="459">
        <f>+IF(J12=0,"",H12/J12-1)</f>
        <v>1.0505277877262849</v>
      </c>
      <c r="L12" s="13"/>
    </row>
    <row r="13" spans="1:12" ht="12.75" customHeight="1">
      <c r="A13" s="460" t="s">
        <v>29</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7280.2119200000006</v>
      </c>
      <c r="C14" s="437">
        <f t="shared" ref="C14:J14" si="1">+SUM(C10:C13)</f>
        <v>7290.0387299999993</v>
      </c>
      <c r="D14" s="438">
        <f t="shared" si="1"/>
        <v>7374.1586100000004</v>
      </c>
      <c r="E14" s="436">
        <f t="shared" si="1"/>
        <v>7315.8013999999985</v>
      </c>
      <c r="F14" s="492">
        <f>+IF(E14=0,"",D14/E14-1)</f>
        <v>7.9768718161215002E-3</v>
      </c>
      <c r="G14" s="489">
        <f t="shared" si="1"/>
        <v>7605.5061199999991</v>
      </c>
      <c r="H14" s="437">
        <f t="shared" si="1"/>
        <v>7315.8013999999985</v>
      </c>
      <c r="I14" s="492">
        <f>+IF(H14=0,"",G14/H14-1)</f>
        <v>3.9599861199075326E-2</v>
      </c>
      <c r="J14" s="437">
        <f t="shared" si="1"/>
        <v>6927.9914500000004</v>
      </c>
      <c r="K14" s="492">
        <f>+IF(J14=0,"",H14/J14-1)</f>
        <v>5.5977255861076047E-2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7280.2119200000006</v>
      </c>
      <c r="C20" s="487">
        <f t="shared" ref="C20" si="3">+C14-C18</f>
        <v>7290.0387299999993</v>
      </c>
      <c r="D20" s="488">
        <f>+D14-D18</f>
        <v>7374.1586100000004</v>
      </c>
      <c r="E20" s="486">
        <f>+E14-E18</f>
        <v>7315.8013999999985</v>
      </c>
      <c r="F20" s="439">
        <f>+IF(E20=0,"",D20/E20-1)</f>
        <v>7.9768718161215002E-3</v>
      </c>
      <c r="G20" s="486">
        <f>+G14-G18</f>
        <v>7605.5061199999991</v>
      </c>
      <c r="H20" s="486">
        <f>+H14-H18</f>
        <v>7315.8013999999985</v>
      </c>
      <c r="I20" s="439">
        <f>+IF(H20=0,"",G20/H20-1)</f>
        <v>3.9599861199075326E-2</v>
      </c>
      <c r="J20" s="486">
        <f>+J14-J18</f>
        <v>6927.9914500000004</v>
      </c>
      <c r="K20" s="439">
        <f>+IF(J20=0,"",H20/J20-1)</f>
        <v>5.5977255861076047E-2</v>
      </c>
      <c r="L20" s="15"/>
    </row>
    <row r="21" spans="1:12" ht="11.25" customHeight="1">
      <c r="A21" s="260" t="s">
        <v>385</v>
      </c>
      <c r="B21" s="138"/>
      <c r="C21" s="138"/>
      <c r="D21" s="138"/>
      <c r="E21" s="138"/>
      <c r="F21" s="138"/>
      <c r="G21" s="138"/>
      <c r="H21" s="138"/>
      <c r="I21" s="138"/>
      <c r="J21" s="138"/>
      <c r="K21" s="138"/>
      <c r="L21" s="16"/>
    </row>
    <row r="22" spans="1:12" ht="17.25" customHeight="1">
      <c r="A22" s="879"/>
      <c r="B22" s="879"/>
      <c r="C22" s="879"/>
      <c r="D22" s="879"/>
      <c r="E22" s="879"/>
      <c r="F22" s="879"/>
      <c r="G22" s="879"/>
      <c r="H22" s="879"/>
      <c r="I22" s="879"/>
      <c r="J22" s="879"/>
      <c r="K22" s="87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880" t="str">
        <f>"Gráfico N° 11: Comparación de la máxima potencia coincidente (MW) anual por tipo de generación en el SEIN."</f>
        <v>Gráfico N° 11: Comparación de la máxima potencia coincidente (MW) anual por tipo de generación en el SEIN.</v>
      </c>
      <c r="B58" s="880"/>
      <c r="C58" s="880"/>
      <c r="D58" s="880"/>
      <c r="E58" s="880"/>
      <c r="F58" s="880"/>
      <c r="G58" s="880"/>
      <c r="H58" s="880"/>
      <c r="I58" s="880"/>
      <c r="J58" s="880"/>
      <c r="K58" s="880"/>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3"/>
  <sheetViews>
    <sheetView showGridLines="0" view="pageBreakPreview" zoomScale="115" zoomScaleNormal="100" zoomScaleSheetLayoutView="115" zoomScalePageLayoutView="115" workbookViewId="0">
      <selection activeCell="M25" sqref="M25"/>
    </sheetView>
  </sheetViews>
  <sheetFormatPr baseColWidth="10" defaultColWidth="9.33203125" defaultRowHeight="11.25"/>
  <cols>
    <col min="1" max="1" width="28.6640625" customWidth="1"/>
    <col min="2" max="2" width="11.33203125" customWidth="1"/>
    <col min="3" max="3" width="10.83203125" customWidth="1"/>
    <col min="4" max="4" width="9.1640625" customWidth="1"/>
    <col min="7" max="7" width="7.83203125" customWidth="1"/>
    <col min="9" max="9" width="9" customWidth="1"/>
    <col min="10" max="10" width="7.6640625" customWidth="1"/>
    <col min="11" max="11" width="11.83203125" customWidth="1"/>
    <col min="12" max="12" width="9.33203125" customWidth="1"/>
    <col min="13" max="13" width="27.83203125" style="548" customWidth="1"/>
    <col min="14" max="15" width="9.33203125" style="277"/>
    <col min="16" max="18" width="9.33203125" style="662"/>
  </cols>
  <sheetData>
    <row r="1" spans="1:16" ht="25.5" customHeight="1">
      <c r="A1" s="891" t="s">
        <v>244</v>
      </c>
      <c r="B1" s="891"/>
      <c r="C1" s="891"/>
      <c r="D1" s="891"/>
      <c r="E1" s="891"/>
      <c r="F1" s="891"/>
      <c r="G1" s="891"/>
      <c r="H1" s="891"/>
      <c r="I1" s="891"/>
      <c r="J1" s="891"/>
      <c r="K1" s="891"/>
    </row>
    <row r="2" spans="1:16" ht="7.5" customHeight="1">
      <c r="A2" s="74"/>
      <c r="B2" s="73"/>
      <c r="C2" s="73"/>
      <c r="D2" s="73"/>
      <c r="E2" s="73"/>
      <c r="F2" s="73"/>
      <c r="G2" s="73"/>
      <c r="H2" s="73"/>
      <c r="I2" s="73"/>
      <c r="J2" s="73"/>
      <c r="K2" s="73"/>
      <c r="L2" s="298"/>
      <c r="M2" s="649"/>
    </row>
    <row r="3" spans="1:16" ht="11.25" customHeight="1">
      <c r="A3" s="892" t="s">
        <v>119</v>
      </c>
      <c r="B3" s="894" t="str">
        <f>+'1. Resumen'!Q4</f>
        <v>setiembre</v>
      </c>
      <c r="C3" s="895"/>
      <c r="D3" s="896"/>
      <c r="E3" s="138"/>
      <c r="F3" s="138"/>
      <c r="G3" s="138"/>
      <c r="H3" s="897" t="s">
        <v>550</v>
      </c>
      <c r="I3" s="897"/>
      <c r="J3" s="897"/>
      <c r="K3" s="138"/>
      <c r="L3" s="692"/>
      <c r="M3" s="649"/>
    </row>
    <row r="4" spans="1:16" ht="11.25" customHeight="1">
      <c r="A4" s="892"/>
      <c r="B4" s="369">
        <v>2023</v>
      </c>
      <c r="C4" s="370">
        <v>2022</v>
      </c>
      <c r="D4" s="896" t="s">
        <v>34</v>
      </c>
      <c r="E4" s="138"/>
      <c r="F4" s="138"/>
      <c r="G4" s="138"/>
      <c r="H4" s="138"/>
      <c r="I4" s="138"/>
      <c r="J4" s="138"/>
      <c r="K4" s="138"/>
      <c r="L4" s="513"/>
      <c r="M4" s="650"/>
    </row>
    <row r="5" spans="1:16" ht="11.25" customHeight="1">
      <c r="A5" s="892"/>
      <c r="B5" s="371">
        <f>+'8. Max Potencia'!D8</f>
        <v>45197.791666666664</v>
      </c>
      <c r="C5" s="371">
        <f>+'8. Max Potencia'!E8</f>
        <v>44831.791666666664</v>
      </c>
      <c r="D5" s="896"/>
      <c r="E5" s="138"/>
      <c r="F5" s="138"/>
      <c r="G5" s="138"/>
      <c r="H5" s="138"/>
      <c r="I5" s="138"/>
      <c r="J5" s="138"/>
      <c r="K5" s="138"/>
      <c r="L5" s="513"/>
      <c r="M5" s="651"/>
    </row>
    <row r="6" spans="1:16" ht="11.25" customHeight="1" thickBot="1">
      <c r="A6" s="893"/>
      <c r="B6" s="372">
        <f>+'8. Max Potencia'!D9</f>
        <v>45197.791666666664</v>
      </c>
      <c r="C6" s="372">
        <f>+'8. Max Potencia'!E9</f>
        <v>44831.791666666664</v>
      </c>
      <c r="D6" s="898"/>
      <c r="E6" s="138"/>
      <c r="F6" s="138"/>
      <c r="G6" s="138"/>
      <c r="H6" s="138"/>
      <c r="I6" s="138"/>
      <c r="J6" s="138"/>
      <c r="K6" s="138"/>
      <c r="M6" s="650" t="s">
        <v>243</v>
      </c>
      <c r="N6" s="548">
        <v>2023</v>
      </c>
      <c r="O6" s="548">
        <v>2022</v>
      </c>
    </row>
    <row r="7" spans="1:16" ht="9.75" customHeight="1">
      <c r="A7" s="599" t="s">
        <v>85</v>
      </c>
      <c r="B7" s="739">
        <v>1426.4844799999998</v>
      </c>
      <c r="C7" s="739">
        <v>981.60440999999992</v>
      </c>
      <c r="D7" s="600">
        <f>IF(C7=0,"",B7/C7-1)</f>
        <v>0.45321726906259507</v>
      </c>
      <c r="E7" s="138"/>
      <c r="F7" s="138"/>
      <c r="G7" s="138"/>
      <c r="H7" s="138"/>
      <c r="I7" s="138"/>
      <c r="J7" s="138"/>
      <c r="K7" s="138"/>
      <c r="L7" s="688"/>
      <c r="M7" s="652" t="s">
        <v>96</v>
      </c>
      <c r="N7" s="653"/>
      <c r="O7" s="653">
        <v>127.214</v>
      </c>
      <c r="P7" s="718"/>
    </row>
    <row r="8" spans="1:16" ht="9.75" customHeight="1">
      <c r="A8" s="601" t="s">
        <v>390</v>
      </c>
      <c r="B8" s="740">
        <v>1348.8356899999999</v>
      </c>
      <c r="C8" s="740">
        <v>1535.415</v>
      </c>
      <c r="D8" s="602">
        <f t="shared" ref="D8:D68" si="0">IF(C8=0,"",B8/C8-1)</f>
        <v>-0.12151718590739313</v>
      </c>
      <c r="E8" s="138"/>
      <c r="F8" s="138"/>
      <c r="G8" s="138"/>
      <c r="H8" s="138"/>
      <c r="I8" s="138"/>
      <c r="J8" s="138"/>
      <c r="K8" s="138"/>
      <c r="L8" s="689"/>
      <c r="M8" s="652" t="s">
        <v>517</v>
      </c>
      <c r="N8" s="651">
        <v>0</v>
      </c>
      <c r="O8" s="651">
        <v>0</v>
      </c>
      <c r="P8" s="718"/>
    </row>
    <row r="9" spans="1:16" ht="9.75" customHeight="1">
      <c r="A9" s="603" t="s">
        <v>86</v>
      </c>
      <c r="B9" s="741">
        <v>1238.8439999999998</v>
      </c>
      <c r="C9" s="741">
        <v>883.9079999999999</v>
      </c>
      <c r="D9" s="604">
        <f t="shared" si="0"/>
        <v>0.40155310281160483</v>
      </c>
      <c r="E9" s="322"/>
      <c r="F9" s="138"/>
      <c r="G9" s="138"/>
      <c r="H9" s="138"/>
      <c r="I9" s="138"/>
      <c r="J9" s="138"/>
      <c r="K9" s="138"/>
      <c r="M9" s="652" t="s">
        <v>446</v>
      </c>
      <c r="N9" s="653">
        <v>0</v>
      </c>
      <c r="O9" s="653">
        <v>0.47893000000000002</v>
      </c>
      <c r="P9" s="718"/>
    </row>
    <row r="10" spans="1:16" ht="9.75" customHeight="1">
      <c r="A10" s="601" t="s">
        <v>87</v>
      </c>
      <c r="B10" s="740">
        <v>795.22223999999983</v>
      </c>
      <c r="C10" s="740">
        <v>800.75328000000002</v>
      </c>
      <c r="D10" s="602">
        <f t="shared" si="0"/>
        <v>-6.9072960900018465E-3</v>
      </c>
      <c r="E10" s="138"/>
      <c r="F10" s="138"/>
      <c r="G10" s="138"/>
      <c r="H10" s="138"/>
      <c r="I10" s="138"/>
      <c r="J10" s="138"/>
      <c r="K10" s="138"/>
      <c r="M10" s="652" t="s">
        <v>443</v>
      </c>
      <c r="N10" s="651">
        <v>0</v>
      </c>
      <c r="O10" s="651">
        <v>0</v>
      </c>
      <c r="P10" s="718"/>
    </row>
    <row r="11" spans="1:16" ht="9.75" customHeight="1">
      <c r="A11" s="603" t="s">
        <v>232</v>
      </c>
      <c r="B11" s="741">
        <v>567.51242999999999</v>
      </c>
      <c r="C11" s="741">
        <v>556.02593000000002</v>
      </c>
      <c r="D11" s="604">
        <f t="shared" si="0"/>
        <v>2.0658209231357194E-2</v>
      </c>
      <c r="E11" s="138"/>
      <c r="F11" s="138"/>
      <c r="G11" s="138"/>
      <c r="H11" s="138"/>
      <c r="I11" s="138"/>
      <c r="J11" s="138"/>
      <c r="K11" s="138"/>
      <c r="M11" s="652" t="s">
        <v>442</v>
      </c>
      <c r="N11" s="651">
        <v>0</v>
      </c>
      <c r="O11" s="651">
        <v>0</v>
      </c>
      <c r="P11" s="718"/>
    </row>
    <row r="12" spans="1:16" ht="9.75" customHeight="1">
      <c r="A12" s="601" t="s">
        <v>98</v>
      </c>
      <c r="B12" s="740">
        <v>297.69799999999998</v>
      </c>
      <c r="C12" s="740">
        <v>292.51580000000001</v>
      </c>
      <c r="D12" s="602">
        <f t="shared" si="0"/>
        <v>1.7715966111915948E-2</v>
      </c>
      <c r="E12" s="138"/>
      <c r="F12" s="138"/>
      <c r="G12" s="138"/>
      <c r="H12" s="138"/>
      <c r="I12" s="138"/>
      <c r="J12" s="138"/>
      <c r="K12" s="138"/>
      <c r="L12" s="688"/>
      <c r="M12" s="652" t="s">
        <v>107</v>
      </c>
      <c r="N12" s="651">
        <v>0</v>
      </c>
      <c r="O12" s="651">
        <v>0</v>
      </c>
      <c r="P12" s="718"/>
    </row>
    <row r="13" spans="1:16" ht="9.75" customHeight="1">
      <c r="A13" s="603" t="s">
        <v>88</v>
      </c>
      <c r="B13" s="741">
        <v>233.85016000000005</v>
      </c>
      <c r="C13" s="741">
        <v>210.56957000000006</v>
      </c>
      <c r="D13" s="604">
        <f t="shared" si="0"/>
        <v>0.11056008710090448</v>
      </c>
      <c r="E13" s="138"/>
      <c r="F13" s="138"/>
      <c r="G13" s="138"/>
      <c r="H13" s="138"/>
      <c r="I13" s="138"/>
      <c r="J13" s="138"/>
      <c r="K13" s="138"/>
      <c r="L13" s="689"/>
      <c r="M13" s="652" t="s">
        <v>237</v>
      </c>
      <c r="N13" s="651">
        <v>0</v>
      </c>
      <c r="O13" s="651">
        <v>0</v>
      </c>
      <c r="P13" s="718"/>
    </row>
    <row r="14" spans="1:16" ht="9.75" customHeight="1">
      <c r="A14" s="601" t="s">
        <v>92</v>
      </c>
      <c r="B14" s="740">
        <v>202.071</v>
      </c>
      <c r="C14" s="740">
        <v>155.4486</v>
      </c>
      <c r="D14" s="602">
        <f t="shared" si="0"/>
        <v>0.29992164612611494</v>
      </c>
      <c r="E14" s="138"/>
      <c r="F14" s="138"/>
      <c r="G14" s="138"/>
      <c r="H14" s="138"/>
      <c r="I14" s="138"/>
      <c r="J14" s="138"/>
      <c r="K14" s="138"/>
      <c r="L14" s="689"/>
      <c r="M14" s="652" t="s">
        <v>236</v>
      </c>
      <c r="N14" s="653">
        <v>0</v>
      </c>
      <c r="O14" s="653">
        <v>0</v>
      </c>
      <c r="P14" s="718"/>
    </row>
    <row r="15" spans="1:16" ht="9.75" customHeight="1">
      <c r="A15" s="603" t="s">
        <v>234</v>
      </c>
      <c r="B15" s="741">
        <v>136.06300999999999</v>
      </c>
      <c r="C15" s="741">
        <v>193.71</v>
      </c>
      <c r="D15" s="604">
        <f t="shared" si="0"/>
        <v>-0.2975942904341542</v>
      </c>
      <c r="E15" s="138"/>
      <c r="F15" s="138"/>
      <c r="G15" s="138"/>
      <c r="H15" s="138"/>
      <c r="I15" s="138"/>
      <c r="J15" s="138"/>
      <c r="K15" s="138"/>
      <c r="L15" s="689"/>
      <c r="M15" s="652" t="s">
        <v>105</v>
      </c>
      <c r="N15" s="651">
        <v>0</v>
      </c>
      <c r="O15" s="651">
        <v>0</v>
      </c>
      <c r="P15" s="718"/>
    </row>
    <row r="16" spans="1:16" ht="9.75" customHeight="1">
      <c r="A16" s="601" t="s">
        <v>89</v>
      </c>
      <c r="B16" s="740">
        <v>119.21449</v>
      </c>
      <c r="C16" s="740">
        <v>151.86117999999999</v>
      </c>
      <c r="D16" s="602">
        <f t="shared" si="0"/>
        <v>-0.21497719166939167</v>
      </c>
      <c r="E16" s="138"/>
      <c r="F16" s="138"/>
      <c r="G16" s="138"/>
      <c r="H16" s="138"/>
      <c r="I16" s="138"/>
      <c r="J16" s="138"/>
      <c r="K16" s="138"/>
      <c r="L16" s="689"/>
      <c r="M16" s="652" t="s">
        <v>108</v>
      </c>
      <c r="N16" s="651">
        <v>0</v>
      </c>
      <c r="O16" s="651">
        <v>0</v>
      </c>
      <c r="P16" s="718"/>
    </row>
    <row r="17" spans="1:16" ht="9.75" customHeight="1">
      <c r="A17" s="603" t="s">
        <v>95</v>
      </c>
      <c r="B17" s="741">
        <v>93.4</v>
      </c>
      <c r="C17" s="741">
        <v>103.4216</v>
      </c>
      <c r="D17" s="604">
        <f t="shared" si="0"/>
        <v>-9.6900454063754471E-2</v>
      </c>
      <c r="E17" s="138"/>
      <c r="F17" s="138"/>
      <c r="G17" s="138"/>
      <c r="H17" s="138"/>
      <c r="I17" s="138"/>
      <c r="J17" s="138"/>
      <c r="K17" s="138"/>
      <c r="L17" s="689"/>
      <c r="M17" s="652" t="s">
        <v>114</v>
      </c>
      <c r="N17" s="651">
        <v>0</v>
      </c>
      <c r="O17" s="651">
        <v>0</v>
      </c>
      <c r="P17" s="718"/>
    </row>
    <row r="18" spans="1:16" ht="9.75" customHeight="1">
      <c r="A18" s="601" t="s">
        <v>90</v>
      </c>
      <c r="B18" s="740">
        <v>91.475999999999999</v>
      </c>
      <c r="C18" s="740">
        <v>119.32000000000001</v>
      </c>
      <c r="D18" s="602">
        <f t="shared" si="0"/>
        <v>-0.2333556821991285</v>
      </c>
      <c r="E18" s="138"/>
      <c r="F18" s="138"/>
      <c r="G18" s="138"/>
      <c r="H18" s="138"/>
      <c r="I18" s="138"/>
      <c r="J18" s="138"/>
      <c r="K18" s="138"/>
      <c r="L18" s="689"/>
      <c r="M18" s="652" t="s">
        <v>229</v>
      </c>
      <c r="N18" s="653">
        <v>0</v>
      </c>
      <c r="O18" s="653">
        <v>0</v>
      </c>
      <c r="P18" s="718"/>
    </row>
    <row r="19" spans="1:16" ht="9.75" customHeight="1">
      <c r="A19" s="603" t="s">
        <v>97</v>
      </c>
      <c r="B19" s="741">
        <v>90.062060000000002</v>
      </c>
      <c r="C19" s="741">
        <v>93.749089999999995</v>
      </c>
      <c r="D19" s="604">
        <f t="shared" si="0"/>
        <v>-3.9328701750598216E-2</v>
      </c>
      <c r="E19" s="138"/>
      <c r="F19" s="138"/>
      <c r="G19" s="138"/>
      <c r="H19" s="138"/>
      <c r="I19" s="138"/>
      <c r="J19" s="138"/>
      <c r="K19" s="138"/>
      <c r="L19" s="689"/>
      <c r="M19" s="652" t="s">
        <v>445</v>
      </c>
      <c r="N19" s="653">
        <v>0.74224999999999997</v>
      </c>
      <c r="O19" s="653">
        <v>0.67049999999999998</v>
      </c>
      <c r="P19" s="718"/>
    </row>
    <row r="20" spans="1:16" ht="9.75" customHeight="1">
      <c r="A20" s="601" t="s">
        <v>94</v>
      </c>
      <c r="B20" s="740">
        <v>89.515000000000001</v>
      </c>
      <c r="C20" s="740">
        <v>92.340999999999994</v>
      </c>
      <c r="D20" s="602">
        <f t="shared" si="0"/>
        <v>-3.0603957072156351E-2</v>
      </c>
      <c r="E20" s="138"/>
      <c r="F20" s="138"/>
      <c r="G20" s="138"/>
      <c r="H20" s="138"/>
      <c r="I20" s="138"/>
      <c r="J20" s="138"/>
      <c r="K20" s="138"/>
      <c r="L20" s="690"/>
      <c r="M20" s="652" t="s">
        <v>113</v>
      </c>
      <c r="N20" s="651">
        <v>1.03301</v>
      </c>
      <c r="O20" s="651">
        <v>2.694</v>
      </c>
      <c r="P20" s="718"/>
    </row>
    <row r="21" spans="1:16" ht="9.75" customHeight="1">
      <c r="A21" s="603" t="s">
        <v>103</v>
      </c>
      <c r="B21" s="741">
        <v>81.633979999999994</v>
      </c>
      <c r="C21" s="741">
        <v>82.828530000000001</v>
      </c>
      <c r="D21" s="604">
        <f t="shared" si="0"/>
        <v>-1.4421963060312737E-2</v>
      </c>
      <c r="E21" s="138"/>
      <c r="F21" s="138"/>
      <c r="G21" s="138"/>
      <c r="H21" s="138"/>
      <c r="I21" s="138"/>
      <c r="J21" s="138"/>
      <c r="K21" s="138"/>
      <c r="L21" s="689"/>
      <c r="M21" s="652" t="s">
        <v>444</v>
      </c>
      <c r="N21" s="651">
        <v>1.3099799999999999</v>
      </c>
      <c r="O21" s="651">
        <v>2.1732</v>
      </c>
      <c r="P21" s="718"/>
    </row>
    <row r="22" spans="1:16" ht="9.75" customHeight="1">
      <c r="A22" s="601" t="s">
        <v>91</v>
      </c>
      <c r="B22" s="740">
        <v>78.753</v>
      </c>
      <c r="C22" s="740">
        <v>86.316000000000003</v>
      </c>
      <c r="D22" s="602">
        <f t="shared" si="0"/>
        <v>-8.7619908244126243E-2</v>
      </c>
      <c r="E22" s="138"/>
      <c r="F22" s="138"/>
      <c r="G22" s="138"/>
      <c r="H22" s="138"/>
      <c r="I22" s="138"/>
      <c r="J22" s="138"/>
      <c r="K22" s="138"/>
      <c r="L22" s="689"/>
      <c r="M22" s="652" t="s">
        <v>516</v>
      </c>
      <c r="N22" s="653">
        <v>1.34267</v>
      </c>
      <c r="O22" s="653">
        <v>1.4540199999999999</v>
      </c>
      <c r="P22" s="718"/>
    </row>
    <row r="23" spans="1:16" ht="9.75" customHeight="1">
      <c r="A23" s="603" t="s">
        <v>93</v>
      </c>
      <c r="B23" s="741">
        <v>64.177880000000002</v>
      </c>
      <c r="C23" s="741">
        <v>107.86469</v>
      </c>
      <c r="D23" s="604">
        <f t="shared" si="0"/>
        <v>-0.4050149312068666</v>
      </c>
      <c r="E23" s="138"/>
      <c r="F23" s="138"/>
      <c r="G23" s="138"/>
      <c r="H23" s="138"/>
      <c r="I23" s="138"/>
      <c r="J23" s="138"/>
      <c r="K23" s="138"/>
      <c r="L23" s="689"/>
      <c r="M23" s="652" t="s">
        <v>111</v>
      </c>
      <c r="N23" s="651">
        <v>2.0380000000000003</v>
      </c>
      <c r="O23" s="651">
        <v>2.556</v>
      </c>
      <c r="P23" s="718"/>
    </row>
    <row r="24" spans="1:16" ht="9.75" customHeight="1">
      <c r="A24" s="601" t="s">
        <v>405</v>
      </c>
      <c r="B24" s="740">
        <v>48.819859999999998</v>
      </c>
      <c r="C24" s="740">
        <v>60.992469999999997</v>
      </c>
      <c r="D24" s="602">
        <f t="shared" si="0"/>
        <v>-0.19957561974453564</v>
      </c>
      <c r="E24" s="138"/>
      <c r="F24" s="138"/>
      <c r="G24" s="138"/>
      <c r="H24" s="138"/>
      <c r="I24" s="138"/>
      <c r="J24" s="138"/>
      <c r="K24" s="138"/>
      <c r="L24" s="690"/>
      <c r="M24" s="652" t="s">
        <v>436</v>
      </c>
      <c r="N24" s="651">
        <v>2.5465</v>
      </c>
      <c r="O24" s="651">
        <v>6.3909000000000002</v>
      </c>
      <c r="P24" s="718"/>
    </row>
    <row r="25" spans="1:16" ht="9.75" customHeight="1">
      <c r="A25" s="603" t="s">
        <v>231</v>
      </c>
      <c r="B25" s="741">
        <v>39.820909999999998</v>
      </c>
      <c r="C25" s="741">
        <v>48.743989999999997</v>
      </c>
      <c r="D25" s="604">
        <f t="shared" si="0"/>
        <v>-0.18306010648697413</v>
      </c>
      <c r="E25" s="138"/>
      <c r="F25" s="138"/>
      <c r="G25" s="138"/>
      <c r="H25" s="138"/>
      <c r="I25" s="138"/>
      <c r="J25" s="138"/>
      <c r="K25" s="138"/>
      <c r="L25" s="689"/>
      <c r="M25" s="652" t="s">
        <v>102</v>
      </c>
      <c r="N25" s="651">
        <v>2.9828100000000002</v>
      </c>
      <c r="O25" s="651">
        <v>8.4023299999999992</v>
      </c>
      <c r="P25" s="718"/>
    </row>
    <row r="26" spans="1:16" ht="9.75" customHeight="1">
      <c r="A26" s="601" t="s">
        <v>235</v>
      </c>
      <c r="B26" s="740">
        <v>30.733989999999999</v>
      </c>
      <c r="C26" s="740">
        <v>32.039969999999997</v>
      </c>
      <c r="D26" s="602">
        <f t="shared" si="0"/>
        <v>-4.0760962010888191E-2</v>
      </c>
      <c r="E26" s="138"/>
      <c r="F26" s="138"/>
      <c r="G26" s="138"/>
      <c r="H26" s="138"/>
      <c r="I26" s="138"/>
      <c r="J26" s="138"/>
      <c r="K26" s="138"/>
      <c r="L26" s="689"/>
      <c r="M26" s="652" t="s">
        <v>110</v>
      </c>
      <c r="N26" s="651">
        <v>3.0058100000000003</v>
      </c>
      <c r="O26" s="651">
        <v>2.5162499999999999</v>
      </c>
      <c r="P26" s="718"/>
    </row>
    <row r="27" spans="1:16" ht="9.75" customHeight="1">
      <c r="A27" s="603" t="s">
        <v>100</v>
      </c>
      <c r="B27" s="741">
        <v>29.614000000000001</v>
      </c>
      <c r="C27" s="741">
        <v>29.71406</v>
      </c>
      <c r="D27" s="604">
        <f t="shared" si="0"/>
        <v>-3.3674294256658133E-3</v>
      </c>
      <c r="E27" s="138"/>
      <c r="F27" s="138"/>
      <c r="G27" s="138"/>
      <c r="H27" s="138"/>
      <c r="I27" s="138"/>
      <c r="J27" s="138"/>
      <c r="K27" s="138"/>
      <c r="L27" s="689"/>
      <c r="M27" s="652" t="s">
        <v>116</v>
      </c>
      <c r="N27" s="651">
        <v>3.1089799999999999</v>
      </c>
      <c r="O27" s="651">
        <v>8.2047899999999991</v>
      </c>
      <c r="P27" s="718"/>
    </row>
    <row r="28" spans="1:16" ht="9.75" customHeight="1">
      <c r="A28" s="601" t="s">
        <v>109</v>
      </c>
      <c r="B28" s="740">
        <v>23.440629999999999</v>
      </c>
      <c r="C28" s="740">
        <v>21.922789999999999</v>
      </c>
      <c r="D28" s="602">
        <f t="shared" si="0"/>
        <v>6.9235713155123113E-2</v>
      </c>
      <c r="E28" s="138"/>
      <c r="F28" s="138"/>
      <c r="G28" s="138"/>
      <c r="H28" s="138"/>
      <c r="I28" s="138"/>
      <c r="J28" s="138"/>
      <c r="K28" s="138"/>
      <c r="L28" s="689"/>
      <c r="M28" s="652" t="s">
        <v>112</v>
      </c>
      <c r="N28" s="651">
        <v>3.6</v>
      </c>
      <c r="O28" s="651">
        <v>3.2</v>
      </c>
      <c r="P28" s="718"/>
    </row>
    <row r="29" spans="1:16" ht="9.75" customHeight="1">
      <c r="A29" s="605" t="s">
        <v>99</v>
      </c>
      <c r="B29" s="742">
        <v>22.275549999999999</v>
      </c>
      <c r="C29" s="742">
        <v>49.191359999999996</v>
      </c>
      <c r="D29" s="606">
        <f t="shared" si="0"/>
        <v>-0.54716539652491814</v>
      </c>
      <c r="E29" s="138"/>
      <c r="F29" s="138"/>
      <c r="G29" s="138"/>
      <c r="H29" s="138"/>
      <c r="I29" s="138"/>
      <c r="J29" s="138"/>
      <c r="K29" s="138"/>
      <c r="L29" s="689"/>
      <c r="M29" s="652" t="s">
        <v>230</v>
      </c>
      <c r="N29" s="651">
        <v>6.3911499999999997</v>
      </c>
      <c r="O29" s="651">
        <v>236.59046000000001</v>
      </c>
      <c r="P29" s="718"/>
    </row>
    <row r="30" spans="1:16" ht="9.75" customHeight="1">
      <c r="A30" s="607" t="s">
        <v>101</v>
      </c>
      <c r="B30" s="743">
        <v>17.394780000000001</v>
      </c>
      <c r="C30" s="743">
        <v>15.659739999999999</v>
      </c>
      <c r="D30" s="608">
        <f t="shared" si="0"/>
        <v>0.11079622011604284</v>
      </c>
      <c r="E30" s="138"/>
      <c r="F30" s="138"/>
      <c r="G30" s="138"/>
      <c r="H30" s="138"/>
      <c r="I30" s="138"/>
      <c r="J30" s="138"/>
      <c r="K30" s="138"/>
      <c r="L30" s="689"/>
      <c r="M30" s="652" t="s">
        <v>428</v>
      </c>
      <c r="N30" s="651">
        <v>6.5499500000000008</v>
      </c>
      <c r="O30" s="651">
        <v>8.9388100000000001</v>
      </c>
      <c r="P30" s="718"/>
    </row>
    <row r="31" spans="1:16" ht="9.75" customHeight="1">
      <c r="A31" s="609" t="s">
        <v>115</v>
      </c>
      <c r="B31" s="744">
        <v>17.21463</v>
      </c>
      <c r="C31" s="744">
        <v>0</v>
      </c>
      <c r="D31" s="610" t="str">
        <f t="shared" si="0"/>
        <v/>
      </c>
      <c r="E31" s="138"/>
      <c r="F31" s="138"/>
      <c r="G31" s="138"/>
      <c r="H31" s="138"/>
      <c r="I31" s="138"/>
      <c r="J31" s="138"/>
      <c r="K31" s="138"/>
      <c r="L31" s="689"/>
      <c r="M31" s="652" t="s">
        <v>406</v>
      </c>
      <c r="N31" s="651">
        <v>8.1644000000000005</v>
      </c>
      <c r="O31" s="651">
        <v>0</v>
      </c>
      <c r="P31" s="718"/>
    </row>
    <row r="32" spans="1:16" ht="9.75" customHeight="1">
      <c r="A32" s="607" t="s">
        <v>452</v>
      </c>
      <c r="B32" s="743">
        <v>15.917</v>
      </c>
      <c r="C32" s="743">
        <v>24.119669999999999</v>
      </c>
      <c r="D32" s="608">
        <f t="shared" si="0"/>
        <v>-0.34008218188723149</v>
      </c>
      <c r="E32" s="138"/>
      <c r="F32" s="138"/>
      <c r="G32" s="138"/>
      <c r="H32" s="138"/>
      <c r="I32" s="138"/>
      <c r="J32" s="138"/>
      <c r="K32" s="138"/>
      <c r="L32" s="689"/>
      <c r="M32" s="652" t="s">
        <v>391</v>
      </c>
      <c r="N32" s="651">
        <v>8.8038999999999987</v>
      </c>
      <c r="O32" s="651">
        <v>9.2055000000000007</v>
      </c>
      <c r="P32" s="718"/>
    </row>
    <row r="33" spans="1:16" ht="13.5" customHeight="1">
      <c r="A33" s="611" t="s">
        <v>233</v>
      </c>
      <c r="B33" s="744">
        <v>15.644169999999999</v>
      </c>
      <c r="C33" s="744">
        <v>15.43956</v>
      </c>
      <c r="D33" s="610">
        <f t="shared" si="0"/>
        <v>1.3252320661987671E-2</v>
      </c>
      <c r="E33" s="138"/>
      <c r="F33" s="138"/>
      <c r="G33" s="138"/>
      <c r="H33" s="138"/>
      <c r="I33" s="138"/>
      <c r="J33" s="138"/>
      <c r="K33" s="138"/>
      <c r="L33" s="689"/>
      <c r="M33" s="652" t="s">
        <v>427</v>
      </c>
      <c r="N33" s="651">
        <v>9</v>
      </c>
      <c r="O33" s="651">
        <v>8.4614399999999996</v>
      </c>
      <c r="P33" s="718"/>
    </row>
    <row r="34" spans="1:16" ht="13.5" customHeight="1">
      <c r="A34" s="607" t="s">
        <v>104</v>
      </c>
      <c r="B34" s="743">
        <v>15.27605</v>
      </c>
      <c r="C34" s="743">
        <v>16.839759999999998</v>
      </c>
      <c r="D34" s="608">
        <f t="shared" si="0"/>
        <v>-9.2858211755986964E-2</v>
      </c>
      <c r="E34" s="138"/>
      <c r="F34" s="138"/>
      <c r="G34" s="138"/>
      <c r="H34" s="138"/>
      <c r="I34" s="138"/>
      <c r="J34" s="138"/>
      <c r="K34" s="138"/>
      <c r="L34" s="689"/>
      <c r="M34" s="652" t="s">
        <v>419</v>
      </c>
      <c r="N34" s="651">
        <v>9.3169399999999989</v>
      </c>
      <c r="O34" s="651">
        <v>10.14997</v>
      </c>
      <c r="P34" s="718"/>
    </row>
    <row r="35" spans="1:16" ht="13.5" customHeight="1">
      <c r="A35" s="611" t="s">
        <v>382</v>
      </c>
      <c r="B35" s="744">
        <v>14.711</v>
      </c>
      <c r="C35" s="744">
        <v>18.613389999999999</v>
      </c>
      <c r="D35" s="610">
        <f t="shared" si="0"/>
        <v>-0.2096549849328897</v>
      </c>
      <c r="E35" s="138"/>
      <c r="F35" s="138"/>
      <c r="G35" s="138"/>
      <c r="H35" s="138"/>
      <c r="I35" s="138"/>
      <c r="J35" s="138"/>
      <c r="K35" s="138"/>
      <c r="L35" s="689"/>
      <c r="M35" s="652" t="s">
        <v>448</v>
      </c>
      <c r="N35" s="651">
        <v>10.001799999999999</v>
      </c>
      <c r="O35" s="651">
        <v>19.339220000000001</v>
      </c>
      <c r="P35" s="718"/>
    </row>
    <row r="36" spans="1:16" ht="10.15" customHeight="1">
      <c r="A36" s="612" t="s">
        <v>106</v>
      </c>
      <c r="B36" s="743">
        <v>14.493780000000001</v>
      </c>
      <c r="C36" s="743">
        <v>23.827719999999999</v>
      </c>
      <c r="D36" s="608">
        <f t="shared" si="0"/>
        <v>-0.39172610723980295</v>
      </c>
      <c r="E36" s="138"/>
      <c r="F36" s="138"/>
      <c r="G36" s="138"/>
      <c r="H36" s="138"/>
      <c r="I36" s="138"/>
      <c r="J36" s="138"/>
      <c r="K36" s="138"/>
      <c r="L36" s="689"/>
      <c r="M36" s="652" t="s">
        <v>397</v>
      </c>
      <c r="N36" s="653">
        <v>10.3626</v>
      </c>
      <c r="O36" s="653">
        <v>10.515359999999999</v>
      </c>
      <c r="P36" s="718"/>
    </row>
    <row r="37" spans="1:16" ht="13.5" customHeight="1">
      <c r="A37" s="611" t="s">
        <v>447</v>
      </c>
      <c r="B37" s="744">
        <v>12.553009999999999</v>
      </c>
      <c r="C37" s="744">
        <v>21.815940000000001</v>
      </c>
      <c r="D37" s="610">
        <f t="shared" si="0"/>
        <v>-0.42459458542698603</v>
      </c>
      <c r="E37" s="138"/>
      <c r="F37" s="138"/>
      <c r="G37" s="138"/>
      <c r="H37" s="138"/>
      <c r="I37" s="138"/>
      <c r="J37" s="138"/>
      <c r="K37" s="138"/>
      <c r="L37" s="689"/>
      <c r="M37" s="652" t="s">
        <v>117</v>
      </c>
      <c r="N37" s="651">
        <v>11.13508</v>
      </c>
      <c r="O37" s="651">
        <v>20.072620000000001</v>
      </c>
      <c r="P37" s="718"/>
    </row>
    <row r="38" spans="1:16" ht="11.25" customHeight="1">
      <c r="A38" s="607" t="s">
        <v>117</v>
      </c>
      <c r="B38" s="743">
        <v>11.13508</v>
      </c>
      <c r="C38" s="743">
        <v>20.072620000000001</v>
      </c>
      <c r="D38" s="608">
        <f t="shared" si="0"/>
        <v>-0.44526025999595464</v>
      </c>
      <c r="E38" s="138"/>
      <c r="F38" s="138"/>
      <c r="G38" s="138"/>
      <c r="H38" s="138"/>
      <c r="I38" s="138"/>
      <c r="J38" s="138"/>
      <c r="K38" s="138"/>
      <c r="L38" s="691"/>
      <c r="M38" s="652" t="s">
        <v>447</v>
      </c>
      <c r="N38" s="651">
        <v>12.553009999999999</v>
      </c>
      <c r="O38" s="651">
        <v>21.815940000000001</v>
      </c>
      <c r="P38" s="718"/>
    </row>
    <row r="39" spans="1:16" ht="11.25" customHeight="1">
      <c r="A39" s="611" t="s">
        <v>397</v>
      </c>
      <c r="B39" s="744">
        <v>10.3626</v>
      </c>
      <c r="C39" s="744">
        <v>10.515359999999999</v>
      </c>
      <c r="D39" s="610">
        <f t="shared" si="0"/>
        <v>-1.4527320034692037E-2</v>
      </c>
      <c r="E39" s="138"/>
      <c r="F39" s="138"/>
      <c r="G39" s="138"/>
      <c r="H39" s="138"/>
      <c r="I39" s="138"/>
      <c r="J39" s="138"/>
      <c r="K39" s="138"/>
      <c r="L39" s="691"/>
      <c r="M39" s="652" t="s">
        <v>106</v>
      </c>
      <c r="N39" s="651">
        <v>14.493780000000001</v>
      </c>
      <c r="O39" s="651">
        <v>23.827719999999999</v>
      </c>
      <c r="P39" s="718"/>
    </row>
    <row r="40" spans="1:16" ht="11.45" customHeight="1">
      <c r="A40" s="612" t="s">
        <v>448</v>
      </c>
      <c r="B40" s="743">
        <v>10.001799999999999</v>
      </c>
      <c r="C40" s="743">
        <v>19.339220000000001</v>
      </c>
      <c r="D40" s="608">
        <f t="shared" si="0"/>
        <v>-0.48282298872446772</v>
      </c>
      <c r="E40" s="138"/>
      <c r="F40" s="138"/>
      <c r="G40" s="138"/>
      <c r="H40" s="138"/>
      <c r="I40" s="138"/>
      <c r="J40" s="138"/>
      <c r="K40" s="138"/>
      <c r="L40" s="690"/>
      <c r="M40" s="652" t="s">
        <v>382</v>
      </c>
      <c r="N40" s="651">
        <v>14.711</v>
      </c>
      <c r="O40" s="651">
        <v>18.613389999999999</v>
      </c>
      <c r="P40" s="718"/>
    </row>
    <row r="41" spans="1:16" ht="11.25" customHeight="1">
      <c r="A41" s="611" t="s">
        <v>419</v>
      </c>
      <c r="B41" s="744">
        <v>9.3169399999999989</v>
      </c>
      <c r="C41" s="744">
        <v>10.14997</v>
      </c>
      <c r="D41" s="610">
        <f t="shared" si="0"/>
        <v>-8.2072163760089967E-2</v>
      </c>
      <c r="E41" s="138"/>
      <c r="F41" s="138"/>
      <c r="G41" s="138"/>
      <c r="H41" s="138"/>
      <c r="I41" s="138"/>
      <c r="J41" s="138"/>
      <c r="K41" s="138"/>
      <c r="L41" s="690"/>
      <c r="M41" s="652" t="s">
        <v>104</v>
      </c>
      <c r="N41" s="651">
        <v>15.27605</v>
      </c>
      <c r="O41" s="651">
        <v>16.839759999999998</v>
      </c>
      <c r="P41" s="718"/>
    </row>
    <row r="42" spans="1:16" ht="11.25" customHeight="1">
      <c r="A42" s="613" t="s">
        <v>427</v>
      </c>
      <c r="B42" s="743">
        <v>9</v>
      </c>
      <c r="C42" s="743">
        <v>8.4614399999999996</v>
      </c>
      <c r="D42" s="608">
        <f t="shared" si="0"/>
        <v>6.3648740639891122E-2</v>
      </c>
      <c r="E42" s="138"/>
      <c r="F42" s="138"/>
      <c r="G42" s="138"/>
      <c r="H42" s="138"/>
      <c r="I42" s="138"/>
      <c r="J42" s="138"/>
      <c r="K42" s="138"/>
      <c r="L42" s="690"/>
      <c r="M42" s="652" t="s">
        <v>233</v>
      </c>
      <c r="N42" s="651">
        <v>15.644169999999999</v>
      </c>
      <c r="O42" s="651">
        <v>15.43956</v>
      </c>
      <c r="P42" s="718"/>
    </row>
    <row r="43" spans="1:16" ht="9.75" customHeight="1">
      <c r="A43" s="609" t="s">
        <v>391</v>
      </c>
      <c r="B43" s="744">
        <v>8.8038999999999987</v>
      </c>
      <c r="C43" s="744">
        <v>9.2055000000000007</v>
      </c>
      <c r="D43" s="610">
        <f t="shared" si="0"/>
        <v>-4.3626093096518548E-2</v>
      </c>
      <c r="E43" s="138"/>
      <c r="F43" s="138"/>
      <c r="G43" s="138"/>
      <c r="H43" s="138"/>
      <c r="I43" s="138"/>
      <c r="J43" s="138"/>
      <c r="K43" s="138"/>
      <c r="L43" s="691"/>
      <c r="M43" s="652" t="s">
        <v>452</v>
      </c>
      <c r="N43" s="651">
        <v>15.917</v>
      </c>
      <c r="O43" s="651">
        <v>24.119669999999999</v>
      </c>
      <c r="P43" s="718"/>
    </row>
    <row r="44" spans="1:16" ht="9.75" customHeight="1">
      <c r="A44" s="607" t="s">
        <v>406</v>
      </c>
      <c r="B44" s="743">
        <v>8.1644000000000005</v>
      </c>
      <c r="C44" s="743">
        <v>0</v>
      </c>
      <c r="D44" s="608" t="str">
        <f t="shared" si="0"/>
        <v/>
      </c>
      <c r="E44" s="138"/>
      <c r="F44" s="138"/>
      <c r="G44" s="138"/>
      <c r="H44" s="138"/>
      <c r="I44" s="138"/>
      <c r="J44" s="138"/>
      <c r="K44" s="138"/>
      <c r="L44" s="691"/>
      <c r="M44" s="652" t="s">
        <v>115</v>
      </c>
      <c r="N44" s="651">
        <v>17.21463</v>
      </c>
      <c r="O44" s="651">
        <v>0</v>
      </c>
      <c r="P44" s="718"/>
    </row>
    <row r="45" spans="1:16" ht="9.75" customHeight="1">
      <c r="A45" s="609" t="s">
        <v>428</v>
      </c>
      <c r="B45" s="744">
        <v>6.5499500000000008</v>
      </c>
      <c r="C45" s="744">
        <v>8.9388100000000001</v>
      </c>
      <c r="D45" s="610">
        <f t="shared" si="0"/>
        <v>-0.26724586382303672</v>
      </c>
      <c r="E45" s="138"/>
      <c r="F45" s="138"/>
      <c r="G45" s="138"/>
      <c r="H45" s="138"/>
      <c r="I45" s="138"/>
      <c r="J45" s="138"/>
      <c r="K45" s="138"/>
      <c r="L45" s="691"/>
      <c r="M45" s="652" t="s">
        <v>101</v>
      </c>
      <c r="N45" s="651">
        <v>17.394780000000001</v>
      </c>
      <c r="O45" s="651">
        <v>15.659739999999999</v>
      </c>
      <c r="P45" s="718"/>
    </row>
    <row r="46" spans="1:16" ht="9.75" customHeight="1">
      <c r="A46" s="607" t="s">
        <v>230</v>
      </c>
      <c r="B46" s="743">
        <v>6.3911499999999997</v>
      </c>
      <c r="C46" s="743">
        <v>236.59046000000001</v>
      </c>
      <c r="D46" s="608">
        <f t="shared" si="0"/>
        <v>-0.9729864424795488</v>
      </c>
      <c r="E46" s="138"/>
      <c r="F46" s="138"/>
      <c r="G46" s="138"/>
      <c r="H46" s="138"/>
      <c r="I46" s="138"/>
      <c r="J46" s="138"/>
      <c r="K46" s="138"/>
      <c r="M46" s="652" t="s">
        <v>99</v>
      </c>
      <c r="N46" s="651">
        <v>22.275549999999999</v>
      </c>
      <c r="O46" s="651">
        <v>49.191359999999996</v>
      </c>
      <c r="P46" s="718"/>
    </row>
    <row r="47" spans="1:16" ht="9.75" customHeight="1">
      <c r="A47" s="609" t="s">
        <v>112</v>
      </c>
      <c r="B47" s="744">
        <v>3.6</v>
      </c>
      <c r="C47" s="744">
        <v>3.2</v>
      </c>
      <c r="D47" s="610"/>
      <c r="E47" s="138"/>
      <c r="F47" s="138"/>
      <c r="G47" s="138"/>
      <c r="H47" s="138"/>
      <c r="I47" s="138"/>
      <c r="J47" s="138"/>
      <c r="K47" s="138"/>
      <c r="M47" s="652" t="s">
        <v>109</v>
      </c>
      <c r="N47" s="651">
        <v>23.440629999999999</v>
      </c>
      <c r="O47" s="651">
        <v>21.922789999999999</v>
      </c>
      <c r="P47" s="718"/>
    </row>
    <row r="48" spans="1:16" ht="9.6" customHeight="1">
      <c r="A48" s="612" t="s">
        <v>116</v>
      </c>
      <c r="B48" s="743">
        <v>3.1089799999999999</v>
      </c>
      <c r="C48" s="743">
        <v>8.2047899999999991</v>
      </c>
      <c r="D48" s="608"/>
      <c r="E48" s="138"/>
      <c r="F48" s="138"/>
      <c r="G48" s="138"/>
      <c r="H48" s="138"/>
      <c r="I48" s="138"/>
      <c r="J48" s="138"/>
      <c r="K48" s="138"/>
      <c r="M48" s="652" t="s">
        <v>100</v>
      </c>
      <c r="N48" s="651">
        <v>29.614000000000001</v>
      </c>
      <c r="O48" s="651">
        <v>29.71406</v>
      </c>
      <c r="P48" s="718"/>
    </row>
    <row r="49" spans="1:16" ht="9.75" customHeight="1">
      <c r="A49" s="609" t="s">
        <v>110</v>
      </c>
      <c r="B49" s="744">
        <v>3.0058100000000003</v>
      </c>
      <c r="C49" s="744">
        <v>2.5162499999999999</v>
      </c>
      <c r="D49" s="610">
        <f t="shared" si="0"/>
        <v>0.1945593641331349</v>
      </c>
      <c r="E49" s="138"/>
      <c r="F49" s="138"/>
      <c r="G49" s="138"/>
      <c r="H49" s="138"/>
      <c r="I49" s="138"/>
      <c r="J49" s="138"/>
      <c r="K49" s="138"/>
      <c r="M49" s="652" t="s">
        <v>235</v>
      </c>
      <c r="N49" s="651">
        <v>30.733989999999999</v>
      </c>
      <c r="O49" s="651">
        <v>32.039969999999997</v>
      </c>
      <c r="P49" s="718"/>
    </row>
    <row r="50" spans="1:16" ht="10.9" customHeight="1">
      <c r="A50" s="612" t="s">
        <v>102</v>
      </c>
      <c r="B50" s="743">
        <v>2.9828100000000002</v>
      </c>
      <c r="C50" s="743">
        <v>8.4023299999999992</v>
      </c>
      <c r="D50" s="608">
        <f t="shared" si="0"/>
        <v>-0.64500204110050419</v>
      </c>
      <c r="E50" s="138"/>
      <c r="F50" s="138"/>
      <c r="G50" s="138"/>
      <c r="H50" s="138"/>
      <c r="I50" s="138"/>
      <c r="J50" s="138"/>
      <c r="K50" s="138"/>
      <c r="M50" s="652" t="s">
        <v>231</v>
      </c>
      <c r="N50" s="651">
        <v>39.820909999999998</v>
      </c>
      <c r="O50" s="651">
        <v>48.743989999999997</v>
      </c>
      <c r="P50" s="718"/>
    </row>
    <row r="51" spans="1:16" ht="11.25" customHeight="1">
      <c r="A51" s="611" t="s">
        <v>436</v>
      </c>
      <c r="B51" s="744">
        <v>2.5465</v>
      </c>
      <c r="C51" s="744">
        <v>6.3909000000000002</v>
      </c>
      <c r="D51" s="610">
        <f t="shared" si="0"/>
        <v>-0.60154281869533244</v>
      </c>
      <c r="E51" s="138"/>
      <c r="F51" s="138"/>
      <c r="G51" s="138"/>
      <c r="H51" s="138"/>
      <c r="I51" s="138"/>
      <c r="J51" s="138"/>
      <c r="K51" s="138"/>
      <c r="M51" s="652" t="s">
        <v>405</v>
      </c>
      <c r="N51" s="651">
        <v>48.819859999999998</v>
      </c>
      <c r="O51" s="651">
        <v>60.992469999999997</v>
      </c>
      <c r="P51" s="718"/>
    </row>
    <row r="52" spans="1:16" ht="12" customHeight="1">
      <c r="A52" s="612" t="s">
        <v>111</v>
      </c>
      <c r="B52" s="743">
        <v>2.0380000000000003</v>
      </c>
      <c r="C52" s="743">
        <v>2.556</v>
      </c>
      <c r="D52" s="608">
        <f t="shared" si="0"/>
        <v>-0.20266040688575893</v>
      </c>
      <c r="E52" s="138"/>
      <c r="F52" s="138"/>
      <c r="G52" s="138"/>
      <c r="H52" s="138"/>
      <c r="I52" s="138"/>
      <c r="J52" s="138"/>
      <c r="K52" s="138"/>
      <c r="M52" s="652" t="s">
        <v>93</v>
      </c>
      <c r="N52" s="651">
        <v>64.177880000000002</v>
      </c>
      <c r="O52" s="651">
        <v>107.86469</v>
      </c>
      <c r="P52" s="718"/>
    </row>
    <row r="53" spans="1:16" ht="9.75" customHeight="1">
      <c r="A53" s="611" t="s">
        <v>516</v>
      </c>
      <c r="B53" s="744">
        <v>1.34267</v>
      </c>
      <c r="C53" s="744">
        <v>1.4540199999999999</v>
      </c>
      <c r="D53" s="610">
        <f t="shared" si="0"/>
        <v>-7.6580789810318906E-2</v>
      </c>
      <c r="E53" s="138"/>
      <c r="F53" s="138"/>
      <c r="G53" s="138"/>
      <c r="H53" s="138"/>
      <c r="I53" s="138"/>
      <c r="J53" s="138"/>
      <c r="K53" s="138"/>
      <c r="M53" s="652" t="s">
        <v>91</v>
      </c>
      <c r="N53" s="651">
        <v>78.753</v>
      </c>
      <c r="O53" s="651">
        <v>86.316000000000003</v>
      </c>
      <c r="P53" s="718"/>
    </row>
    <row r="54" spans="1:16" ht="9.75" customHeight="1">
      <c r="A54" s="607" t="s">
        <v>444</v>
      </c>
      <c r="B54" s="743">
        <v>1.3099799999999999</v>
      </c>
      <c r="C54" s="743">
        <v>2.1732</v>
      </c>
      <c r="D54" s="608">
        <f t="shared" si="0"/>
        <v>-0.39721148536720052</v>
      </c>
      <c r="E54" s="138"/>
      <c r="F54" s="138"/>
      <c r="G54" s="138"/>
      <c r="H54" s="138"/>
      <c r="I54" s="138"/>
      <c r="J54" s="138"/>
      <c r="K54" s="138"/>
      <c r="M54" s="652" t="s">
        <v>103</v>
      </c>
      <c r="N54" s="651">
        <v>81.633979999999994</v>
      </c>
      <c r="O54" s="651">
        <v>82.828530000000001</v>
      </c>
      <c r="P54" s="718"/>
    </row>
    <row r="55" spans="1:16" ht="9.75" customHeight="1">
      <c r="A55" s="609" t="s">
        <v>113</v>
      </c>
      <c r="B55" s="744">
        <v>1.03301</v>
      </c>
      <c r="C55" s="744">
        <v>2.694</v>
      </c>
      <c r="D55" s="610">
        <f t="shared" si="0"/>
        <v>-0.61655159613956934</v>
      </c>
      <c r="E55" s="138"/>
      <c r="F55" s="138"/>
      <c r="G55" s="138"/>
      <c r="H55" s="138"/>
      <c r="I55" s="138"/>
      <c r="J55" s="138"/>
      <c r="K55" s="138"/>
      <c r="M55" s="652" t="s">
        <v>94</v>
      </c>
      <c r="N55" s="651">
        <v>89.515000000000001</v>
      </c>
      <c r="O55" s="651">
        <v>92.340999999999994</v>
      </c>
      <c r="P55" s="718"/>
    </row>
    <row r="56" spans="1:16" ht="9.75" customHeight="1">
      <c r="A56" s="607" t="s">
        <v>445</v>
      </c>
      <c r="B56" s="743">
        <v>0.74224999999999997</v>
      </c>
      <c r="C56" s="743">
        <v>0.67049999999999998</v>
      </c>
      <c r="D56" s="608">
        <f t="shared" si="0"/>
        <v>0.10700969425801632</v>
      </c>
      <c r="E56" s="138"/>
      <c r="F56" s="138"/>
      <c r="G56" s="138"/>
      <c r="H56" s="138"/>
      <c r="I56" s="138"/>
      <c r="J56" s="138"/>
      <c r="K56" s="138"/>
      <c r="M56" s="652" t="s">
        <v>97</v>
      </c>
      <c r="N56" s="651">
        <v>90.062060000000002</v>
      </c>
      <c r="O56" s="651">
        <v>93.749089999999995</v>
      </c>
      <c r="P56" s="718"/>
    </row>
    <row r="57" spans="1:16" ht="9.75" customHeight="1">
      <c r="A57" s="609" t="s">
        <v>229</v>
      </c>
      <c r="B57" s="744">
        <v>0</v>
      </c>
      <c r="C57" s="744">
        <v>0</v>
      </c>
      <c r="D57" s="610" t="str">
        <f t="shared" si="0"/>
        <v/>
      </c>
      <c r="E57" s="138"/>
      <c r="F57" s="138"/>
      <c r="G57" s="138"/>
      <c r="H57" s="138"/>
      <c r="I57" s="138"/>
      <c r="J57" s="138"/>
      <c r="K57" s="138"/>
      <c r="M57" s="652" t="s">
        <v>90</v>
      </c>
      <c r="N57" s="651">
        <v>91.475999999999999</v>
      </c>
      <c r="O57" s="651">
        <v>119.32000000000001</v>
      </c>
      <c r="P57" s="718"/>
    </row>
    <row r="58" spans="1:16" ht="9.75" customHeight="1">
      <c r="A58" s="607" t="s">
        <v>114</v>
      </c>
      <c r="B58" s="743">
        <v>0</v>
      </c>
      <c r="C58" s="743">
        <v>0</v>
      </c>
      <c r="D58" s="608" t="str">
        <f t="shared" si="0"/>
        <v/>
      </c>
      <c r="E58" s="138"/>
      <c r="F58" s="138"/>
      <c r="G58" s="138"/>
      <c r="H58" s="138"/>
      <c r="I58" s="138"/>
      <c r="J58" s="138"/>
      <c r="K58" s="138"/>
      <c r="M58" s="652" t="s">
        <v>95</v>
      </c>
      <c r="N58" s="651">
        <v>93.4</v>
      </c>
      <c r="O58" s="651">
        <v>103.4216</v>
      </c>
      <c r="P58" s="718"/>
    </row>
    <row r="59" spans="1:16" ht="9.75" customHeight="1">
      <c r="A59" s="609" t="s">
        <v>108</v>
      </c>
      <c r="B59" s="744">
        <v>0</v>
      </c>
      <c r="C59" s="744">
        <v>0</v>
      </c>
      <c r="D59" s="610" t="str">
        <f t="shared" si="0"/>
        <v/>
      </c>
      <c r="E59" s="138"/>
      <c r="F59" s="138"/>
      <c r="G59" s="138"/>
      <c r="H59" s="138"/>
      <c r="I59" s="138"/>
      <c r="J59" s="138"/>
      <c r="K59" s="138"/>
      <c r="M59" s="652" t="s">
        <v>89</v>
      </c>
      <c r="N59" s="651">
        <v>119.21449</v>
      </c>
      <c r="O59" s="651">
        <v>151.86117999999999</v>
      </c>
      <c r="P59" s="718"/>
    </row>
    <row r="60" spans="1:16" ht="9.75" customHeight="1">
      <c r="A60" s="607" t="s">
        <v>105</v>
      </c>
      <c r="B60" s="743">
        <v>0</v>
      </c>
      <c r="C60" s="743">
        <v>0</v>
      </c>
      <c r="D60" s="608" t="str">
        <f t="shared" si="0"/>
        <v/>
      </c>
      <c r="E60" s="138"/>
      <c r="F60" s="138"/>
      <c r="G60" s="138"/>
      <c r="H60" s="138"/>
      <c r="I60" s="138"/>
      <c r="J60" s="138"/>
      <c r="K60" s="138"/>
      <c r="M60" s="652" t="s">
        <v>234</v>
      </c>
      <c r="N60" s="651">
        <v>136.06300999999999</v>
      </c>
      <c r="O60" s="651">
        <v>193.71</v>
      </c>
      <c r="P60" s="718"/>
    </row>
    <row r="61" spans="1:16" ht="9.75" customHeight="1">
      <c r="A61" s="614" t="s">
        <v>236</v>
      </c>
      <c r="B61" s="745">
        <v>0</v>
      </c>
      <c r="C61" s="745">
        <v>0</v>
      </c>
      <c r="D61" s="610" t="str">
        <f t="shared" si="0"/>
        <v/>
      </c>
      <c r="E61" s="138"/>
      <c r="F61" s="138"/>
      <c r="G61" s="138"/>
      <c r="H61" s="138"/>
      <c r="I61" s="138"/>
      <c r="J61" s="138"/>
      <c r="K61" s="138"/>
      <c r="M61" s="652" t="s">
        <v>92</v>
      </c>
      <c r="N61" s="651">
        <v>202.071</v>
      </c>
      <c r="O61" s="651">
        <v>155.4486</v>
      </c>
      <c r="P61" s="718"/>
    </row>
    <row r="62" spans="1:16" ht="9.75" customHeight="1">
      <c r="A62" s="615" t="s">
        <v>237</v>
      </c>
      <c r="B62" s="746">
        <v>0</v>
      </c>
      <c r="C62" s="746">
        <v>0</v>
      </c>
      <c r="D62" s="616" t="str">
        <f t="shared" si="0"/>
        <v/>
      </c>
      <c r="E62" s="138"/>
      <c r="F62" s="138"/>
      <c r="G62" s="138"/>
      <c r="H62" s="138"/>
      <c r="I62" s="138"/>
      <c r="J62" s="138"/>
      <c r="K62" s="138"/>
      <c r="M62" s="652" t="s">
        <v>88</v>
      </c>
      <c r="N62" s="651">
        <v>233.85016000000005</v>
      </c>
      <c r="O62" s="651">
        <v>210.56957000000006</v>
      </c>
      <c r="P62" s="718"/>
    </row>
    <row r="63" spans="1:16" ht="9.75" customHeight="1">
      <c r="A63" s="614" t="s">
        <v>107</v>
      </c>
      <c r="B63" s="745">
        <v>0</v>
      </c>
      <c r="C63" s="745">
        <v>0</v>
      </c>
      <c r="D63" s="604" t="str">
        <f t="shared" si="0"/>
        <v/>
      </c>
      <c r="E63" s="138"/>
      <c r="F63" s="138"/>
      <c r="G63" s="138"/>
      <c r="H63" s="138"/>
      <c r="I63" s="138"/>
      <c r="J63" s="138"/>
      <c r="K63" s="138"/>
      <c r="M63" s="652" t="s">
        <v>98</v>
      </c>
      <c r="N63" s="651">
        <v>297.69799999999998</v>
      </c>
      <c r="O63" s="651">
        <v>292.51580000000001</v>
      </c>
      <c r="P63" s="718"/>
    </row>
    <row r="64" spans="1:16" ht="9.75" customHeight="1">
      <c r="A64" s="615" t="s">
        <v>442</v>
      </c>
      <c r="B64" s="746">
        <v>0</v>
      </c>
      <c r="C64" s="746">
        <v>0</v>
      </c>
      <c r="D64" s="616" t="str">
        <f t="shared" si="0"/>
        <v/>
      </c>
      <c r="E64" s="138"/>
      <c r="F64" s="138"/>
      <c r="G64" s="138"/>
      <c r="H64" s="138"/>
      <c r="I64" s="138"/>
      <c r="J64" s="138"/>
      <c r="K64" s="138"/>
      <c r="M64" s="652" t="s">
        <v>232</v>
      </c>
      <c r="N64" s="651">
        <v>567.51242999999999</v>
      </c>
      <c r="O64" s="651">
        <v>556.02593000000002</v>
      </c>
      <c r="P64" s="718"/>
    </row>
    <row r="65" spans="1:16" ht="9.75" customHeight="1">
      <c r="A65" s="614" t="s">
        <v>443</v>
      </c>
      <c r="B65" s="745">
        <v>0</v>
      </c>
      <c r="C65" s="745">
        <v>0</v>
      </c>
      <c r="D65" s="604" t="str">
        <f t="shared" si="0"/>
        <v/>
      </c>
      <c r="E65" s="138"/>
      <c r="F65" s="138"/>
      <c r="G65" s="138"/>
      <c r="H65" s="138"/>
      <c r="I65" s="138"/>
      <c r="J65" s="138"/>
      <c r="K65" s="138"/>
      <c r="M65" s="652" t="s">
        <v>87</v>
      </c>
      <c r="N65" s="651">
        <v>795.22223999999983</v>
      </c>
      <c r="O65" s="651">
        <v>800.75328000000002</v>
      </c>
      <c r="P65" s="718"/>
    </row>
    <row r="66" spans="1:16" ht="9.75" customHeight="1">
      <c r="A66" s="615" t="s">
        <v>446</v>
      </c>
      <c r="B66" s="746">
        <v>0</v>
      </c>
      <c r="C66" s="746">
        <v>0.47893000000000002</v>
      </c>
      <c r="D66" s="616">
        <f t="shared" si="0"/>
        <v>-1</v>
      </c>
      <c r="E66" s="138"/>
      <c r="F66" s="138"/>
      <c r="G66" s="138"/>
      <c r="H66" s="138"/>
      <c r="I66" s="138"/>
      <c r="J66" s="138"/>
      <c r="K66" s="138"/>
      <c r="M66" s="652" t="s">
        <v>86</v>
      </c>
      <c r="N66" s="654">
        <v>1238.8439999999998</v>
      </c>
      <c r="O66" s="654">
        <v>883.9079999999999</v>
      </c>
      <c r="P66" s="718"/>
    </row>
    <row r="67" spans="1:16" ht="9.75" customHeight="1">
      <c r="A67" s="614" t="s">
        <v>517</v>
      </c>
      <c r="B67" s="745">
        <v>0</v>
      </c>
      <c r="C67" s="745">
        <v>0</v>
      </c>
      <c r="D67" s="604" t="str">
        <f t="shared" si="0"/>
        <v/>
      </c>
      <c r="E67" s="138"/>
      <c r="F67" s="138"/>
      <c r="G67" s="138"/>
      <c r="H67" s="138"/>
      <c r="I67" s="138"/>
      <c r="J67" s="138"/>
      <c r="K67" s="138"/>
      <c r="M67" s="652" t="s">
        <v>390</v>
      </c>
      <c r="N67" s="654">
        <v>1348.8356899999999</v>
      </c>
      <c r="O67" s="654">
        <v>1535.415</v>
      </c>
      <c r="P67" s="718"/>
    </row>
    <row r="68" spans="1:16" ht="9.75" customHeight="1">
      <c r="A68" s="615" t="s">
        <v>96</v>
      </c>
      <c r="B68" s="746"/>
      <c r="C68" s="746">
        <v>127.214</v>
      </c>
      <c r="D68" s="616">
        <f t="shared" si="0"/>
        <v>-1</v>
      </c>
      <c r="E68" s="138"/>
      <c r="F68" s="138"/>
      <c r="G68" s="138"/>
      <c r="H68" s="138"/>
      <c r="I68" s="138"/>
      <c r="J68" s="138"/>
      <c r="K68" s="138"/>
      <c r="M68" s="652" t="s">
        <v>85</v>
      </c>
      <c r="N68" s="654">
        <v>1426.4844799999998</v>
      </c>
      <c r="O68" s="654">
        <v>981.60440999999992</v>
      </c>
      <c r="P68" s="718"/>
    </row>
    <row r="69" spans="1:16" ht="9.75" customHeight="1">
      <c r="A69" s="617" t="s">
        <v>41</v>
      </c>
      <c r="B69" s="618">
        <f>+SUM(B7:B68)</f>
        <v>7374.1586099999995</v>
      </c>
      <c r="C69" s="618">
        <f>+SUM(C7:C68)</f>
        <v>7315.8014000000003</v>
      </c>
      <c r="D69" s="619">
        <f>IF(C69=0,"",B69/C69-1)</f>
        <v>7.9768718161210561E-3</v>
      </c>
      <c r="E69" s="138"/>
      <c r="F69" s="138"/>
      <c r="G69" s="138"/>
      <c r="H69" s="138"/>
      <c r="I69" s="138"/>
      <c r="J69" s="138"/>
      <c r="K69" s="138"/>
      <c r="P69" s="718"/>
    </row>
    <row r="70" spans="1:16" ht="9.75" customHeight="1">
      <c r="E70" s="138"/>
      <c r="F70" s="138"/>
      <c r="G70" s="138"/>
      <c r="H70" s="138"/>
      <c r="I70" s="138"/>
      <c r="J70" s="138"/>
      <c r="K70" s="138"/>
      <c r="P70" s="718"/>
    </row>
    <row r="71" spans="1:16" ht="31.15" customHeight="1">
      <c r="A71" s="877" t="str">
        <f>"Cuadro N° 8: Participación de las empresas generadoras del COES en la máxima potencia coincidente (MW) en "&amp;'1. Resumen'!Q4&amp;"."</f>
        <v>Cuadro N° 8: Participación de las empresas generadoras del COES en la máxima potencia coincidente (MW) en setiembre.</v>
      </c>
      <c r="B71" s="877"/>
      <c r="C71" s="877"/>
      <c r="D71" s="877"/>
      <c r="E71" s="132"/>
      <c r="F71" s="877" t="str">
        <f>"Gráfico N° 12: Comparación de la máxima potencia coincidente  (MW) de las empresas generadoras del COES en "&amp;'1. Resumen'!Q4&amp;"."</f>
        <v>Gráfico N° 12: Comparación de la máxima potencia coincidente  (MW) de las empresas generadoras del COES en setiembre.</v>
      </c>
      <c r="G71" s="877"/>
      <c r="H71" s="877"/>
      <c r="I71" s="877"/>
      <c r="J71" s="877"/>
      <c r="K71" s="877"/>
    </row>
    <row r="72" spans="1:16">
      <c r="A72" s="890"/>
      <c r="B72" s="890"/>
      <c r="C72" s="890"/>
      <c r="D72" s="890"/>
      <c r="E72" s="890"/>
      <c r="F72" s="890"/>
      <c r="G72" s="890"/>
      <c r="H72" s="890"/>
      <c r="I72" s="890"/>
      <c r="J72" s="890"/>
      <c r="K72" s="890"/>
    </row>
    <row r="73" spans="1:16">
      <c r="A73" s="889"/>
      <c r="B73" s="889"/>
      <c r="C73" s="889"/>
      <c r="D73" s="889"/>
      <c r="E73" s="889"/>
      <c r="F73" s="889"/>
      <c r="G73" s="889"/>
      <c r="H73" s="889"/>
      <c r="I73" s="889"/>
      <c r="J73" s="889"/>
      <c r="K73" s="889"/>
    </row>
  </sheetData>
  <mergeCells count="9">
    <mergeCell ref="A73:K73"/>
    <mergeCell ref="A72:K72"/>
    <mergeCell ref="A71:D71"/>
    <mergeCell ref="F71:K71"/>
    <mergeCell ref="A1:K1"/>
    <mergeCell ref="A3:A6"/>
    <mergeCell ref="B3:D3"/>
    <mergeCell ref="H3:J3"/>
    <mergeCell ref="D4:D6"/>
  </mergeCells>
  <pageMargins left="0.35186274509803922" right="0.32333333333333331" top="0.83644927536231883"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115" zoomScaleNormal="100" zoomScaleSheetLayoutView="115" zoomScalePageLayoutView="80" workbookViewId="0">
      <selection activeCell="I32" sqref="I32"/>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65" customWidth="1"/>
    <col min="11" max="11" width="9.33203125" style="46" customWidth="1"/>
    <col min="12" max="12" width="9.33203125" style="46"/>
    <col min="13" max="18" width="9.33203125" style="276"/>
    <col min="19" max="21" width="9.33203125" style="46"/>
    <col min="22" max="25" width="9.33203125" style="665"/>
    <col min="26" max="31" width="9.33203125" style="296"/>
    <col min="32" max="16384" width="9.33203125" style="46"/>
  </cols>
  <sheetData>
    <row r="1" spans="1:38" ht="11.25" customHeight="1"/>
    <row r="2" spans="1:38" ht="17.25" customHeight="1">
      <c r="A2" s="881" t="s">
        <v>245</v>
      </c>
      <c r="B2" s="881"/>
      <c r="C2" s="881"/>
      <c r="D2" s="881"/>
      <c r="E2" s="881"/>
      <c r="F2" s="881"/>
      <c r="G2" s="881"/>
      <c r="H2" s="881"/>
    </row>
    <row r="3" spans="1:38" ht="11.25" customHeight="1">
      <c r="A3" s="77"/>
      <c r="B3" s="77"/>
      <c r="C3" s="77"/>
      <c r="D3" s="77"/>
      <c r="E3" s="77"/>
      <c r="F3" s="82"/>
      <c r="G3" s="82"/>
      <c r="H3" s="82"/>
      <c r="I3" s="36"/>
      <c r="J3" s="664"/>
    </row>
    <row r="4" spans="1:38" ht="15.75" customHeight="1">
      <c r="A4" s="899" t="s">
        <v>414</v>
      </c>
      <c r="B4" s="899"/>
      <c r="C4" s="899"/>
      <c r="D4" s="899"/>
      <c r="E4" s="899"/>
      <c r="F4" s="899"/>
      <c r="G4" s="899"/>
      <c r="H4" s="899"/>
      <c r="I4" s="36"/>
      <c r="J4" s="664"/>
    </row>
    <row r="5" spans="1:38" ht="11.25" customHeight="1">
      <c r="A5" s="77"/>
      <c r="B5" s="164"/>
      <c r="C5" s="79"/>
      <c r="D5" s="79"/>
      <c r="E5" s="80"/>
      <c r="F5" s="76"/>
      <c r="G5" s="76"/>
      <c r="H5" s="81"/>
      <c r="I5" s="165"/>
      <c r="J5" s="693"/>
    </row>
    <row r="6" spans="1:38" ht="39" customHeight="1">
      <c r="A6" s="77"/>
      <c r="C6" s="373" t="s">
        <v>120</v>
      </c>
      <c r="D6" s="374" t="s">
        <v>626</v>
      </c>
      <c r="E6" s="374" t="s">
        <v>627</v>
      </c>
      <c r="F6" s="375" t="s">
        <v>121</v>
      </c>
      <c r="G6" s="169"/>
      <c r="H6" s="170"/>
    </row>
    <row r="7" spans="1:38" ht="11.25" customHeight="1">
      <c r="A7" s="77"/>
      <c r="C7" s="751" t="s">
        <v>122</v>
      </c>
      <c r="D7" s="752">
        <v>22.6909999847412</v>
      </c>
      <c r="E7" s="545">
        <v>26.8910007476806</v>
      </c>
      <c r="F7" s="413">
        <f>IF(E7=0,"",(D7-E7)/E7)</f>
        <v>-0.15618610859254309</v>
      </c>
      <c r="G7" s="137"/>
      <c r="H7" s="264"/>
    </row>
    <row r="8" spans="1:38" ht="11.25" customHeight="1">
      <c r="A8" s="77"/>
      <c r="C8" s="753" t="s">
        <v>123</v>
      </c>
      <c r="D8" s="754">
        <v>59.349998474121001</v>
      </c>
      <c r="E8" s="414">
        <v>73.902999877929602</v>
      </c>
      <c r="F8" s="415">
        <f t="shared" ref="F8:F20" si="0">IF(E8=0,"",(D8-E8)/E8)</f>
        <v>-0.1969203067243108</v>
      </c>
      <c r="G8" s="137"/>
      <c r="H8" s="264"/>
    </row>
    <row r="9" spans="1:38" ht="11.25" customHeight="1">
      <c r="A9" s="77"/>
      <c r="C9" s="755" t="s">
        <v>124</v>
      </c>
      <c r="D9" s="756">
        <v>51.5390014648437</v>
      </c>
      <c r="E9" s="416">
        <v>63.846000671386697</v>
      </c>
      <c r="F9" s="417">
        <f t="shared" si="0"/>
        <v>-0.19276069099279569</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3" t="s">
        <v>125</v>
      </c>
      <c r="D10" s="754">
        <v>25.819999694824201</v>
      </c>
      <c r="E10" s="414">
        <v>56.306999206542898</v>
      </c>
      <c r="F10" s="415">
        <f t="shared" si="0"/>
        <v>-0.54144244838705757</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55" t="s">
        <v>126</v>
      </c>
      <c r="D11" s="756">
        <v>14.064999580383301</v>
      </c>
      <c r="E11" s="416">
        <v>17.948999404907202</v>
      </c>
      <c r="F11" s="417">
        <f>IF(E11=0,"",(D11-E11)/E11)</f>
        <v>-0.21639088268408027</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3" t="s">
        <v>127</v>
      </c>
      <c r="D12" s="754">
        <v>19.940000534057599</v>
      </c>
      <c r="E12" s="414">
        <v>0.12399999797344199</v>
      </c>
      <c r="F12" s="415">
        <f t="shared" si="0"/>
        <v>159.80645854791302</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55" t="s">
        <v>128</v>
      </c>
      <c r="D13" s="756">
        <v>28.959999084472599</v>
      </c>
      <c r="E13" s="416">
        <v>50.180000305175703</v>
      </c>
      <c r="F13" s="417">
        <f t="shared" si="0"/>
        <v>-0.4228776622489262</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3" t="s">
        <v>129</v>
      </c>
      <c r="D14" s="754">
        <v>226.94299316406199</v>
      </c>
      <c r="E14" s="414">
        <v>229.53700256347599</v>
      </c>
      <c r="F14" s="415">
        <f t="shared" si="0"/>
        <v>-1.1301051117876562E-2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55" t="s">
        <v>130</v>
      </c>
      <c r="D15" s="756">
        <v>2.9930000305175701</v>
      </c>
      <c r="E15" s="416">
        <v>11.899999618530201</v>
      </c>
      <c r="F15" s="417">
        <f t="shared" si="0"/>
        <v>-0.74848738433092132</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3" t="s">
        <v>131</v>
      </c>
      <c r="D16" s="754">
        <v>107.52100372314401</v>
      </c>
      <c r="E16" s="414">
        <v>131.60099792480401</v>
      </c>
      <c r="F16" s="415">
        <f t="shared" si="0"/>
        <v>-0.1829772918243307</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55" t="s">
        <v>132</v>
      </c>
      <c r="D17" s="756">
        <v>64.089996337890597</v>
      </c>
      <c r="E17" s="416">
        <v>91.800003051757798</v>
      </c>
      <c r="F17" s="417">
        <f t="shared" si="0"/>
        <v>-0.30185191495303121</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3" t="s">
        <v>133</v>
      </c>
      <c r="D18" s="754">
        <v>12.369000434875399</v>
      </c>
      <c r="E18" s="414">
        <v>5.2449998855590803</v>
      </c>
      <c r="F18" s="415">
        <f t="shared" si="0"/>
        <v>1.3582460828894662</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55" t="s">
        <v>134</v>
      </c>
      <c r="D19" s="756">
        <v>0.31674000620841902</v>
      </c>
      <c r="E19" s="416">
        <v>3.2780001163482599</v>
      </c>
      <c r="F19" s="417">
        <f t="shared" si="0"/>
        <v>-0.90337401007743956</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3" t="s">
        <v>135</v>
      </c>
      <c r="D20" s="754">
        <v>16.706090927123999</v>
      </c>
      <c r="E20" s="414">
        <v>5.2789998054504403</v>
      </c>
      <c r="F20" s="415">
        <f t="shared" si="0"/>
        <v>2.1646318512600367</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55" t="s">
        <v>136</v>
      </c>
      <c r="D21" s="756">
        <v>1.3810000419616699</v>
      </c>
      <c r="E21" s="416">
        <v>2.5390000343322701</v>
      </c>
      <c r="F21" s="417">
        <f t="shared" ref="F21:F27" si="1">IF(E21=0,"",(D21-E21)/E21)</f>
        <v>-0.45608506369128182</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3" t="s">
        <v>137</v>
      </c>
      <c r="D22" s="754">
        <v>3.4219999313354399</v>
      </c>
      <c r="E22" s="414">
        <v>3.4219999313354399</v>
      </c>
      <c r="F22" s="415">
        <f t="shared" si="1"/>
        <v>0</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55" t="s">
        <v>396</v>
      </c>
      <c r="D23" s="756">
        <v>8.7040004730224592</v>
      </c>
      <c r="E23" s="416">
        <v>5.23600006103515</v>
      </c>
      <c r="F23" s="417">
        <f t="shared" si="1"/>
        <v>0.66233773330050161</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3" t="s">
        <v>138</v>
      </c>
      <c r="D24" s="754">
        <v>136.24000549316401</v>
      </c>
      <c r="E24" s="414">
        <v>154.04100036621</v>
      </c>
      <c r="F24" s="415">
        <f t="shared" si="1"/>
        <v>-0.11556010952101535</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55" t="s">
        <v>139</v>
      </c>
      <c r="D25" s="756">
        <v>11.796999931335399</v>
      </c>
      <c r="E25" s="416">
        <v>13.4160003662109</v>
      </c>
      <c r="F25" s="417">
        <f>IF(E25=0,"",(D25-E25)/E25)</f>
        <v>-0.12067683293696549</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3" t="s">
        <v>140</v>
      </c>
      <c r="D26" s="754">
        <v>20.123000000000001</v>
      </c>
      <c r="E26" s="414">
        <v>20.411000000000001</v>
      </c>
      <c r="F26" s="415">
        <f>IF(E26=0,"",(D26-E26)/E26)</f>
        <v>-1.4110038704620069E-2</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57" t="s">
        <v>141</v>
      </c>
      <c r="D27" s="758">
        <v>293.64099121093699</v>
      </c>
      <c r="E27" s="416">
        <v>302.56201171875</v>
      </c>
      <c r="F27" s="417">
        <f t="shared" si="1"/>
        <v>-2.9484932550308558E-2</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0" t="str">
        <f>"Cuadro N°9: Volumen útil de los principales embalses y lagunas del SEIN al término del periodo mensual ("&amp;'1. Resumen'!Q7&amp;" de "&amp;'1. Resumen'!Q4&amp;") "</f>
        <v xml:space="preserve">Cuadro N°9: Volumen útil de los principales embalses y lagunas del SEIN al término del periodo mensual (30 de setiembre) </v>
      </c>
      <c r="D28" s="900"/>
      <c r="E28" s="900"/>
      <c r="F28" s="900"/>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v>184.95100400000001</v>
      </c>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v>185.51499938964801</v>
      </c>
      <c r="AF31" s="265"/>
      <c r="AG31" s="265"/>
      <c r="AH31" s="265"/>
      <c r="AI31" s="265"/>
      <c r="AJ31" s="265"/>
      <c r="AK31" s="265"/>
      <c r="AL31" s="265"/>
    </row>
    <row r="32" spans="1:38" ht="13.5" customHeight="1">
      <c r="A32" s="899" t="s">
        <v>413</v>
      </c>
      <c r="B32" s="899"/>
      <c r="C32" s="899"/>
      <c r="D32" s="899"/>
      <c r="E32" s="899"/>
      <c r="F32" s="899"/>
      <c r="G32" s="899"/>
      <c r="H32" s="899"/>
      <c r="I32" s="56"/>
      <c r="J32" s="694"/>
      <c r="M32" s="624">
        <v>21</v>
      </c>
      <c r="N32" s="625">
        <v>227.75800000000001</v>
      </c>
      <c r="O32" s="625">
        <v>225.25399780000001</v>
      </c>
      <c r="P32" s="625">
        <v>221.33000183105401</v>
      </c>
      <c r="Q32" s="626">
        <v>186.48633320182299</v>
      </c>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v>184.79299929999999</v>
      </c>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v>182.11000061035099</v>
      </c>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v>180.75</v>
      </c>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v>177.78900150000001</v>
      </c>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v>172.08099369999999</v>
      </c>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v>170.27600097656199</v>
      </c>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v>166.8529968</v>
      </c>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v>165.3619995</v>
      </c>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v>163.072998046875</v>
      </c>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v>157.4400024</v>
      </c>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v>156.34300229999999</v>
      </c>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v>155.00500489999999</v>
      </c>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v>153.73800659179599</v>
      </c>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v>147.04299929999999</v>
      </c>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Q47" s="276">
        <v>145.4250031</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Q48" s="276">
        <v>142.58999633789</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Q49" s="276">
        <v>141.07</v>
      </c>
      <c r="AF49" s="265"/>
      <c r="AG49" s="265"/>
      <c r="AH49" s="265"/>
      <c r="AI49" s="265"/>
      <c r="AJ49" s="265"/>
      <c r="AK49" s="265"/>
      <c r="AL49" s="265"/>
    </row>
    <row r="50" spans="1:38" ht="12.75">
      <c r="A50" s="75"/>
      <c r="B50" s="82"/>
      <c r="C50" s="82"/>
      <c r="D50" s="82"/>
      <c r="E50" s="82"/>
      <c r="F50" s="82"/>
      <c r="G50" s="82"/>
      <c r="H50" s="82"/>
      <c r="I50" s="59"/>
      <c r="J50" s="697"/>
      <c r="M50" s="624">
        <v>39</v>
      </c>
      <c r="N50" s="625">
        <v>159.69</v>
      </c>
      <c r="O50" s="625">
        <v>157.6900024</v>
      </c>
      <c r="P50" s="625">
        <v>154.0410004</v>
      </c>
      <c r="Q50" s="276">
        <v>136.2400055</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2.75">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2.75">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2.75">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2.75">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2.75">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2.75">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2.75">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2.75">
      <c r="A59" s="262" t="s">
        <v>542</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2.75">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c r="M61" s="624">
        <v>50</v>
      </c>
      <c r="N61" s="625">
        <v>105.70500180000001</v>
      </c>
      <c r="O61" s="625">
        <v>131.85099790000001</v>
      </c>
      <c r="P61" s="625">
        <v>82.027000430000001</v>
      </c>
      <c r="AD61" s="297"/>
      <c r="AE61" s="297"/>
      <c r="AF61" s="215"/>
      <c r="AG61" s="215"/>
      <c r="AH61" s="215"/>
      <c r="AI61" s="215"/>
      <c r="AJ61" s="215"/>
      <c r="AK61" s="215"/>
      <c r="AL61" s="215"/>
    </row>
    <row r="62" spans="1:38">
      <c r="M62" s="624">
        <v>51</v>
      </c>
      <c r="N62" s="625">
        <v>110.41200259999999</v>
      </c>
      <c r="O62" s="625">
        <v>128.24499510000001</v>
      </c>
      <c r="P62" s="625">
        <v>79.66999817</v>
      </c>
      <c r="AD62" s="297"/>
      <c r="AE62" s="297"/>
      <c r="AF62" s="215"/>
      <c r="AG62" s="215"/>
      <c r="AH62" s="215"/>
      <c r="AI62" s="215"/>
      <c r="AJ62" s="215"/>
      <c r="AK62" s="215"/>
      <c r="AL62" s="215"/>
    </row>
    <row r="63" spans="1:38">
      <c r="M63" s="624">
        <v>52</v>
      </c>
      <c r="N63" s="625">
        <v>119.1200027</v>
      </c>
      <c r="O63" s="625">
        <v>127.295997619628</v>
      </c>
      <c r="P63" s="625">
        <v>77.312995909999998</v>
      </c>
      <c r="AD63" s="297"/>
      <c r="AE63" s="297"/>
      <c r="AF63" s="215"/>
      <c r="AG63" s="215"/>
      <c r="AH63" s="215"/>
      <c r="AI63" s="215"/>
      <c r="AJ63" s="215"/>
      <c r="AK63" s="215"/>
      <c r="AL63" s="215"/>
    </row>
    <row r="64" spans="1:38">
      <c r="M64" s="624">
        <v>53</v>
      </c>
      <c r="N64" s="625">
        <v>146.8090057</v>
      </c>
      <c r="O64" s="625"/>
      <c r="P64" s="733"/>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workbookViewId="0">
      <selection activeCell="I32" sqref="I32"/>
    </sheetView>
  </sheetViews>
  <sheetFormatPr baseColWidth="10" defaultColWidth="9.33203125" defaultRowHeight="11.25"/>
  <cols>
    <col min="10" max="11" width="9.33203125" customWidth="1"/>
    <col min="12" max="12" width="20.1640625" customWidth="1"/>
    <col min="13" max="13" width="9.33203125" style="662"/>
    <col min="14" max="24" width="9.33203125" style="277"/>
    <col min="25" max="31" width="9.332031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1"/>
      <c r="B5" s="901"/>
      <c r="C5" s="901"/>
      <c r="D5" s="901"/>
      <c r="E5" s="901"/>
      <c r="F5" s="901"/>
      <c r="G5" s="901"/>
      <c r="H5" s="901"/>
      <c r="I5" s="901"/>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2"/>
      <c r="C7" s="902"/>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v>237.70799260000001</v>
      </c>
      <c r="S24" s="624">
        <v>19</v>
      </c>
      <c r="T24" s="625">
        <v>375.69400404000004</v>
      </c>
      <c r="U24" s="625">
        <v>396.22801973000003</v>
      </c>
      <c r="V24" s="700">
        <v>370.16600227355934</v>
      </c>
      <c r="W24" s="277">
        <v>296.27899932999998</v>
      </c>
    </row>
    <row r="25" spans="1:23" ht="11.25" customHeight="1">
      <c r="A25" s="263" t="s">
        <v>543</v>
      </c>
      <c r="B25" s="162"/>
      <c r="C25" s="39"/>
      <c r="D25" s="162"/>
      <c r="E25" s="162"/>
      <c r="F25" s="70"/>
      <c r="G25" s="66"/>
      <c r="H25" s="66"/>
      <c r="I25" s="71"/>
      <c r="J25" s="3"/>
      <c r="K25" s="7"/>
      <c r="L25" s="16"/>
      <c r="N25" s="702">
        <v>20</v>
      </c>
      <c r="O25" s="625">
        <v>314.14801030000001</v>
      </c>
      <c r="P25" s="625">
        <v>305.30300899999997</v>
      </c>
      <c r="Q25" s="700">
        <v>298.29000854492102</v>
      </c>
      <c r="R25" s="276">
        <v>239.86999511718699</v>
      </c>
      <c r="S25" s="624">
        <v>20</v>
      </c>
      <c r="T25" s="625">
        <v>370.56599616999995</v>
      </c>
      <c r="U25" s="625">
        <v>391.74099727000004</v>
      </c>
      <c r="V25" s="700">
        <v>364.40299987792889</v>
      </c>
      <c r="W25" s="703">
        <v>292.73699569702455</v>
      </c>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v>238.78827000000001</v>
      </c>
      <c r="S26" s="624">
        <v>21</v>
      </c>
      <c r="T26" s="625">
        <v>365.52200794219863</v>
      </c>
      <c r="U26" s="625">
        <v>387.63294980000006</v>
      </c>
      <c r="V26" s="700">
        <v>358.7700004577631</v>
      </c>
      <c r="W26" s="277">
        <v>288.35500000000002</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v>237.16799929999999</v>
      </c>
      <c r="S27" s="624">
        <v>22</v>
      </c>
      <c r="T27" s="625">
        <v>359.19900507300002</v>
      </c>
      <c r="U27" s="625">
        <v>383.63200570999999</v>
      </c>
      <c r="V27" s="700">
        <v>353.17899700999999</v>
      </c>
      <c r="W27" s="277">
        <v>283.59700203999995</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v>237.16799926757801</v>
      </c>
      <c r="S28" s="624">
        <v>23</v>
      </c>
      <c r="T28" s="625">
        <v>354.24799921000005</v>
      </c>
      <c r="U28" s="625">
        <v>379.05501368</v>
      </c>
      <c r="V28" s="700">
        <v>347.3810005187978</v>
      </c>
      <c r="W28" s="277">
        <v>278.70099830627407</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v>237.16799929999999</v>
      </c>
      <c r="S29" s="624">
        <v>24</v>
      </c>
      <c r="T29" s="625">
        <v>348.87000203132561</v>
      </c>
      <c r="U29" s="625">
        <v>374.35099984999999</v>
      </c>
      <c r="V29" s="700">
        <v>341.67700381999998</v>
      </c>
      <c r="W29" s="277">
        <v>273.83300210000004</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v>233.93899999999999</v>
      </c>
      <c r="S30" s="624">
        <v>25</v>
      </c>
      <c r="T30" s="625">
        <v>343.83099551700002</v>
      </c>
      <c r="U30" s="625">
        <v>369.41900067</v>
      </c>
      <c r="V30" s="700">
        <v>335.75800323999999</v>
      </c>
      <c r="W30" s="277">
        <v>269.02600668999997</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v>237.16799929999999</v>
      </c>
      <c r="S31" s="624">
        <v>26</v>
      </c>
      <c r="T31" s="625">
        <v>338.47100355099997</v>
      </c>
      <c r="U31" s="625">
        <v>363.95100021999997</v>
      </c>
      <c r="V31" s="700">
        <v>330.74199960999994</v>
      </c>
      <c r="W31" s="277">
        <v>264.09399986</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v>237.16799926757801</v>
      </c>
      <c r="S32" s="624">
        <v>27</v>
      </c>
      <c r="T32" s="625">
        <v>333.23996639251612</v>
      </c>
      <c r="U32" s="625">
        <v>358.46099474000005</v>
      </c>
      <c r="V32" s="700">
        <v>325.96500109999999</v>
      </c>
      <c r="W32" s="277">
        <v>259.40699577331497</v>
      </c>
    </row>
    <row r="33" spans="1:23" ht="11.25" customHeight="1">
      <c r="A33" s="74"/>
      <c r="B33" s="73"/>
      <c r="C33" s="73"/>
      <c r="D33" s="73"/>
      <c r="E33" s="73"/>
      <c r="F33" s="73"/>
      <c r="G33" s="73"/>
      <c r="H33" s="73"/>
      <c r="I33" s="73"/>
      <c r="J33" s="3"/>
      <c r="K33" s="6"/>
      <c r="L33" s="15"/>
      <c r="N33" s="624">
        <v>28</v>
      </c>
      <c r="O33" s="625">
        <v>244.7590027</v>
      </c>
      <c r="P33" s="627">
        <v>243.66999820000001</v>
      </c>
      <c r="Q33" s="700">
        <v>249.13000489999999</v>
      </c>
      <c r="R33" s="704">
        <v>224.33500670000001</v>
      </c>
      <c r="S33" s="624">
        <v>28</v>
      </c>
      <c r="T33" s="625">
        <v>327.71050074999999</v>
      </c>
      <c r="U33" s="625">
        <v>352.90699958999994</v>
      </c>
      <c r="V33" s="700">
        <v>319.04200172500003</v>
      </c>
      <c r="W33" s="277">
        <v>255.76400183999999</v>
      </c>
    </row>
    <row r="34" spans="1:23" ht="11.25" customHeight="1">
      <c r="A34" s="74"/>
      <c r="B34" s="73"/>
      <c r="C34" s="73"/>
      <c r="D34" s="73"/>
      <c r="E34" s="73"/>
      <c r="F34" s="73"/>
      <c r="G34" s="73"/>
      <c r="H34" s="73"/>
      <c r="I34" s="73"/>
      <c r="J34" s="3"/>
      <c r="K34" s="6"/>
      <c r="L34" s="15"/>
      <c r="N34" s="624">
        <v>29</v>
      </c>
      <c r="O34" s="625">
        <v>231.25799559999999</v>
      </c>
      <c r="P34" s="625">
        <v>236.0899963</v>
      </c>
      <c r="Q34" s="700">
        <v>235.552001953125</v>
      </c>
      <c r="R34" s="704">
        <v>224.33500670000001</v>
      </c>
      <c r="S34" s="624">
        <v>29</v>
      </c>
      <c r="T34" s="625">
        <v>322.11699965099996</v>
      </c>
      <c r="U34" s="625">
        <v>346.83199694000007</v>
      </c>
      <c r="V34" s="700">
        <v>313.23499679565401</v>
      </c>
      <c r="W34" s="277">
        <v>250.34199906000003</v>
      </c>
    </row>
    <row r="35" spans="1:23"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v>204.99099731445301</v>
      </c>
      <c r="S35" s="624">
        <v>30</v>
      </c>
      <c r="T35" s="625">
        <v>316.39600081599997</v>
      </c>
      <c r="U35" s="625">
        <v>340.42700004</v>
      </c>
      <c r="V35" s="700">
        <v>308.18499564899997</v>
      </c>
      <c r="W35" s="277">
        <v>245.46299934387167</v>
      </c>
    </row>
    <row r="36" spans="1:23" ht="11.25" customHeight="1">
      <c r="A36" s="74"/>
      <c r="B36" s="73"/>
      <c r="C36" s="73"/>
      <c r="D36" s="73"/>
      <c r="E36" s="73"/>
      <c r="F36" s="73"/>
      <c r="G36" s="73"/>
      <c r="H36" s="73"/>
      <c r="I36" s="73"/>
      <c r="J36" s="3"/>
      <c r="K36" s="6"/>
      <c r="L36" s="15"/>
      <c r="N36" s="624">
        <v>31</v>
      </c>
      <c r="O36" s="625">
        <v>209.128006</v>
      </c>
      <c r="P36" s="625">
        <v>211.72599790000001</v>
      </c>
      <c r="Q36" s="700">
        <v>204.47599792480401</v>
      </c>
      <c r="R36" s="704">
        <v>181.19200129999999</v>
      </c>
      <c r="S36" s="624">
        <v>31</v>
      </c>
      <c r="T36" s="625">
        <v>310.66199637099999</v>
      </c>
      <c r="U36" s="625">
        <v>333.77900123000001</v>
      </c>
      <c r="V36" s="700">
        <v>300.29800155758841</v>
      </c>
      <c r="W36" s="277">
        <v>240.99800109999998</v>
      </c>
    </row>
    <row r="37" spans="1:23"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v>181.29200130000001</v>
      </c>
      <c r="S37" s="624">
        <v>32</v>
      </c>
      <c r="T37" s="625">
        <v>304.63100243800005</v>
      </c>
      <c r="U37" s="625">
        <v>326.91499899999997</v>
      </c>
      <c r="V37" s="700">
        <v>292.89500425755955</v>
      </c>
      <c r="W37" s="277">
        <v>236.58100317999998</v>
      </c>
    </row>
    <row r="38" spans="1:23" ht="11.25" customHeight="1">
      <c r="A38" s="74"/>
      <c r="B38" s="73"/>
      <c r="C38" s="73"/>
      <c r="D38" s="73"/>
      <c r="E38" s="73"/>
      <c r="F38" s="73"/>
      <c r="G38" s="73"/>
      <c r="H38" s="73"/>
      <c r="I38" s="73"/>
      <c r="J38" s="3"/>
      <c r="K38" s="10"/>
      <c r="L38" s="38"/>
      <c r="N38" s="624">
        <v>33</v>
      </c>
      <c r="O38" s="625">
        <v>189.6999969</v>
      </c>
      <c r="P38" s="625">
        <v>187.18600459999999</v>
      </c>
      <c r="Q38" s="700">
        <v>187.18600459999999</v>
      </c>
      <c r="R38" s="276">
        <v>164.99800110000001</v>
      </c>
      <c r="S38" s="624">
        <v>33</v>
      </c>
      <c r="T38" s="625">
        <v>299.14499665</v>
      </c>
      <c r="U38" s="625">
        <v>320.04999731999993</v>
      </c>
      <c r="V38" s="700">
        <v>302.95999780999995</v>
      </c>
      <c r="W38" s="277">
        <v>230.95400238000002</v>
      </c>
    </row>
    <row r="39" spans="1:23" ht="11.25" customHeight="1">
      <c r="A39" s="74"/>
      <c r="B39" s="73"/>
      <c r="C39" s="73"/>
      <c r="D39" s="73"/>
      <c r="E39" s="73"/>
      <c r="F39" s="73"/>
      <c r="G39" s="73"/>
      <c r="H39" s="73"/>
      <c r="I39" s="73"/>
      <c r="J39" s="3"/>
      <c r="K39" s="7"/>
      <c r="L39" s="15"/>
      <c r="N39" s="624">
        <v>34</v>
      </c>
      <c r="O39" s="625">
        <v>178.71099849999999</v>
      </c>
      <c r="P39" s="625">
        <v>176.73300169999999</v>
      </c>
      <c r="Q39" s="700">
        <v>173.7779999</v>
      </c>
      <c r="R39" s="276">
        <v>164.02999877929599</v>
      </c>
      <c r="S39" s="624">
        <v>34</v>
      </c>
      <c r="T39" s="625">
        <v>293.22399712800001</v>
      </c>
      <c r="U39" s="625">
        <v>312.22399334000005</v>
      </c>
      <c r="V39" s="700">
        <v>277.92099988699999</v>
      </c>
      <c r="W39" s="277">
        <v>225.3020019531248</v>
      </c>
    </row>
    <row r="40" spans="1:23" ht="11.25" customHeight="1">
      <c r="A40" s="74"/>
      <c r="B40" s="73"/>
      <c r="C40" s="73"/>
      <c r="D40" s="73"/>
      <c r="E40" s="73"/>
      <c r="F40" s="73"/>
      <c r="G40" s="73"/>
      <c r="H40" s="73"/>
      <c r="I40" s="73"/>
      <c r="J40" s="3"/>
      <c r="K40" s="7"/>
      <c r="L40" s="15"/>
      <c r="N40" s="624">
        <v>35</v>
      </c>
      <c r="O40" s="625">
        <v>167.91000366210901</v>
      </c>
      <c r="P40" s="628">
        <v>168.8840027</v>
      </c>
      <c r="Q40" s="700">
        <v>169.37899780273401</v>
      </c>
      <c r="R40" s="276">
        <v>164.02999879999999</v>
      </c>
      <c r="S40" s="624">
        <v>35</v>
      </c>
      <c r="T40" s="625">
        <v>287.11000061035065</v>
      </c>
      <c r="U40" s="625">
        <v>304.73300071000006</v>
      </c>
      <c r="V40" s="700">
        <v>270.68900412321057</v>
      </c>
      <c r="W40" s="277">
        <v>219.57399749755839</v>
      </c>
    </row>
    <row r="41" spans="1:23" ht="11.25" customHeight="1">
      <c r="A41" s="74"/>
      <c r="B41" s="73"/>
      <c r="C41" s="73"/>
      <c r="D41" s="73"/>
      <c r="E41" s="73"/>
      <c r="F41" s="73"/>
      <c r="G41" s="73"/>
      <c r="H41" s="73"/>
      <c r="I41" s="73"/>
      <c r="J41" s="3"/>
      <c r="K41" s="7"/>
      <c r="L41" s="15"/>
      <c r="N41" s="624">
        <v>36</v>
      </c>
      <c r="O41" s="625">
        <v>158.25599670410099</v>
      </c>
      <c r="P41" s="628">
        <v>158.2559967</v>
      </c>
      <c r="Q41" s="700">
        <v>165.48199460000001</v>
      </c>
      <c r="R41" s="276">
        <v>132.05799870000001</v>
      </c>
      <c r="S41" s="624">
        <v>36</v>
      </c>
      <c r="T41" s="625">
        <v>280.34500217437699</v>
      </c>
      <c r="U41" s="625">
        <v>297.47899814000004</v>
      </c>
      <c r="V41" s="700">
        <v>263.03699629800002</v>
      </c>
      <c r="W41" s="277">
        <v>213.58899879455549</v>
      </c>
    </row>
    <row r="42" spans="1:23"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v>127.508003234863</v>
      </c>
      <c r="S42" s="624">
        <v>37</v>
      </c>
      <c r="T42" s="625">
        <v>273.90200042724575</v>
      </c>
      <c r="U42" s="625">
        <v>289.18600270099995</v>
      </c>
      <c r="V42" s="700">
        <v>267.3754964899627</v>
      </c>
      <c r="W42" s="277">
        <v>206.92099761962874</v>
      </c>
    </row>
    <row r="43" spans="1:23"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v>123.45</v>
      </c>
      <c r="S43" s="624">
        <v>38</v>
      </c>
      <c r="T43" s="625">
        <v>267.16300058364783</v>
      </c>
      <c r="U43" s="625">
        <v>281.63800617199996</v>
      </c>
      <c r="V43" s="700">
        <v>247.34099905192824</v>
      </c>
      <c r="W43" s="277">
        <v>199.94</v>
      </c>
    </row>
    <row r="44" spans="1:23" ht="11.25" customHeight="1">
      <c r="A44" s="74"/>
      <c r="B44" s="73"/>
      <c r="C44" s="73"/>
      <c r="D44" s="73"/>
      <c r="E44" s="73"/>
      <c r="F44" s="73"/>
      <c r="G44" s="73"/>
      <c r="H44" s="73"/>
      <c r="I44" s="73"/>
      <c r="J44" s="3"/>
      <c r="K44" s="10"/>
      <c r="L44" s="15"/>
      <c r="N44" s="624">
        <v>39</v>
      </c>
      <c r="O44" s="625">
        <v>131.14500430000001</v>
      </c>
      <c r="P44" s="628">
        <v>117.1940002</v>
      </c>
      <c r="Q44" s="700">
        <v>131.60099790000001</v>
      </c>
      <c r="R44" s="276">
        <v>107.52100369999999</v>
      </c>
      <c r="S44" s="624">
        <v>39</v>
      </c>
      <c r="T44" s="625">
        <v>262.426999588</v>
      </c>
      <c r="U44" s="625">
        <v>274.41000078900004</v>
      </c>
      <c r="V44" s="700">
        <v>239.01999990799999</v>
      </c>
      <c r="W44" s="277">
        <v>193.40499971</v>
      </c>
    </row>
    <row r="45" spans="1:23"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3"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3"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3"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2.75">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2.75">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2.75">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2.75">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5">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2.75">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2.75">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2.75">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2.75">
      <c r="A58" s="74"/>
      <c r="B58" s="73"/>
      <c r="C58" s="73"/>
      <c r="D58" s="73"/>
      <c r="E58" s="73"/>
      <c r="F58" s="73"/>
      <c r="G58" s="73"/>
      <c r="H58" s="73"/>
      <c r="I58" s="73"/>
      <c r="N58" s="624">
        <v>53</v>
      </c>
      <c r="O58" s="276">
        <v>140.34500120000001</v>
      </c>
      <c r="P58" s="276"/>
      <c r="Q58" s="276"/>
      <c r="R58" s="276"/>
      <c r="S58" s="624">
        <v>53</v>
      </c>
      <c r="T58" s="625"/>
      <c r="U58" s="625"/>
      <c r="V58" s="700"/>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544</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05"/>
  <sheetViews>
    <sheetView showGridLines="0" view="pageBreakPreview" zoomScale="115" zoomScaleNormal="100" zoomScaleSheetLayoutView="115" workbookViewId="0">
      <selection activeCell="I32" sqref="I32"/>
    </sheetView>
  </sheetViews>
  <sheetFormatPr baseColWidth="10" defaultColWidth="9.33203125" defaultRowHeight="11.25"/>
  <cols>
    <col min="1" max="1" width="9.5" customWidth="1"/>
    <col min="2" max="2" width="11.5" customWidth="1"/>
    <col min="3" max="3" width="31.8320312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18"/>
    <col min="12" max="12" width="3.1640625" style="518" bestFit="1" customWidth="1"/>
    <col min="13" max="16" width="9.33203125" style="276"/>
    <col min="17" max="17" width="9.33203125" style="277"/>
    <col min="18" max="31" width="9.33203125" style="747"/>
    <col min="32" max="34" width="9.33203125" style="662"/>
  </cols>
  <sheetData>
    <row r="1" spans="1:15" ht="11.25" customHeight="1"/>
    <row r="2" spans="1:15" ht="11.25" customHeight="1">
      <c r="A2" s="17"/>
      <c r="B2" s="17"/>
      <c r="C2" s="17"/>
      <c r="D2" s="17"/>
      <c r="E2" s="73"/>
      <c r="F2" s="73"/>
      <c r="G2" s="73"/>
    </row>
    <row r="3" spans="1:15" ht="17.25" customHeight="1">
      <c r="A3" s="903" t="s">
        <v>364</v>
      </c>
      <c r="B3" s="903"/>
      <c r="C3" s="903"/>
      <c r="D3" s="903"/>
      <c r="E3" s="903"/>
      <c r="F3" s="903"/>
      <c r="G3" s="903"/>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SETIEMBRE
 2023</v>
      </c>
      <c r="E6" s="377" t="str">
        <f>UPPER('1. Resumen'!Q4)&amp;"
 "&amp;'1. Resumen'!Q5-1</f>
        <v>SETIEMBRE
 2022</v>
      </c>
      <c r="F6" s="378" t="s">
        <v>415</v>
      </c>
      <c r="G6" s="138"/>
      <c r="H6" s="24"/>
      <c r="I6" s="12"/>
      <c r="L6" s="518">
        <v>3</v>
      </c>
      <c r="M6" s="629">
        <v>46.443999700000006</v>
      </c>
      <c r="N6" s="629">
        <v>73.092571804285726</v>
      </c>
      <c r="O6" s="629">
        <v>18.210142817142859</v>
      </c>
    </row>
    <row r="7" spans="1:15" ht="11.25" customHeight="1">
      <c r="A7" s="174"/>
      <c r="C7" s="418" t="s">
        <v>143</v>
      </c>
      <c r="D7" s="419">
        <v>5.3580689348023487</v>
      </c>
      <c r="E7" s="419">
        <v>3.9719998836517298</v>
      </c>
      <c r="F7" s="420">
        <f>IF(E7=0,"",(D7-E7)/E7)</f>
        <v>0.34895999288809426</v>
      </c>
      <c r="G7" s="138"/>
      <c r="H7" s="25"/>
      <c r="I7" s="3"/>
      <c r="L7" s="518">
        <v>4</v>
      </c>
      <c r="M7" s="629">
        <v>56.559571404285713</v>
      </c>
      <c r="N7" s="629">
        <v>140.69343129999999</v>
      </c>
      <c r="O7" s="629">
        <v>15.934428624285713</v>
      </c>
    </row>
    <row r="8" spans="1:15" ht="11.25" customHeight="1">
      <c r="A8" s="174"/>
      <c r="C8" s="421" t="s">
        <v>527</v>
      </c>
      <c r="D8" s="422">
        <v>5.3627241562152701</v>
      </c>
      <c r="E8" s="422">
        <v>7.3379998207092196</v>
      </c>
      <c r="F8" s="423">
        <f t="shared" ref="F8:F17" si="0">IF(E8=0,"",(D8-E8)/E8)</f>
        <v>-0.26918447979779847</v>
      </c>
      <c r="G8" s="138"/>
      <c r="H8" s="23"/>
      <c r="I8" s="3"/>
      <c r="L8" s="518">
        <v>5</v>
      </c>
      <c r="M8" s="629">
        <v>85.997285015714283</v>
      </c>
      <c r="N8" s="629">
        <v>189.96014404285714</v>
      </c>
      <c r="O8" s="629">
        <v>16.347999845714288</v>
      </c>
    </row>
    <row r="9" spans="1:15" ht="11.25" customHeight="1">
      <c r="A9" s="174"/>
      <c r="C9" s="424" t="s">
        <v>149</v>
      </c>
      <c r="D9" s="425">
        <v>24.923930990284855</v>
      </c>
      <c r="E9" s="425">
        <v>42.083000183105398</v>
      </c>
      <c r="F9" s="426">
        <f t="shared" si="0"/>
        <v>-0.40774348592449466</v>
      </c>
      <c r="G9" s="138"/>
      <c r="H9" s="25"/>
      <c r="I9" s="3"/>
      <c r="L9" s="518">
        <v>6</v>
      </c>
      <c r="M9" s="629">
        <v>79.643857683454215</v>
      </c>
      <c r="N9" s="629">
        <v>184.55100359235459</v>
      </c>
      <c r="O9" s="629">
        <v>24.545571190970243</v>
      </c>
    </row>
    <row r="10" spans="1:15" ht="11.25" customHeight="1">
      <c r="A10" s="174"/>
      <c r="C10" s="421" t="s">
        <v>155</v>
      </c>
      <c r="D10" s="422">
        <v>29.09317253375869</v>
      </c>
      <c r="E10" s="422">
        <v>47.983001708984297</v>
      </c>
      <c r="F10" s="423">
        <f t="shared" si="0"/>
        <v>-0.39367752125621375</v>
      </c>
      <c r="G10" s="138"/>
      <c r="H10" s="25"/>
      <c r="I10" s="3"/>
      <c r="L10" s="518">
        <v>7</v>
      </c>
      <c r="M10" s="629">
        <v>62.11542837857143</v>
      </c>
      <c r="N10" s="629">
        <v>141.4891401142857</v>
      </c>
      <c r="O10" s="629">
        <v>17.933714184285712</v>
      </c>
    </row>
    <row r="11" spans="1:15" ht="11.25" customHeight="1">
      <c r="A11" s="174"/>
      <c r="C11" s="424" t="s">
        <v>156</v>
      </c>
      <c r="D11" s="425">
        <v>4.3841379017665432</v>
      </c>
      <c r="E11" s="425">
        <v>18.646999359130799</v>
      </c>
      <c r="F11" s="426">
        <f t="shared" si="0"/>
        <v>-0.76488775393131658</v>
      </c>
      <c r="G11" s="138"/>
      <c r="H11" s="25"/>
      <c r="I11" s="3"/>
      <c r="K11" s="518">
        <v>8</v>
      </c>
      <c r="L11" s="518">
        <v>8</v>
      </c>
      <c r="M11" s="629">
        <v>41.134571620396166</v>
      </c>
      <c r="N11" s="629">
        <v>83.969571794782198</v>
      </c>
      <c r="O11" s="629">
        <v>15.5625712530953</v>
      </c>
    </row>
    <row r="12" spans="1:15" ht="11.25" customHeight="1">
      <c r="A12" s="174"/>
      <c r="C12" s="421" t="s">
        <v>157</v>
      </c>
      <c r="D12" s="422">
        <v>2.059758609738839</v>
      </c>
      <c r="E12" s="422">
        <v>3.1530001163482599</v>
      </c>
      <c r="F12" s="423">
        <f t="shared" si="0"/>
        <v>-0.34673056335804736</v>
      </c>
      <c r="G12" s="138"/>
      <c r="H12" s="25"/>
      <c r="I12" s="3"/>
      <c r="L12" s="518">
        <v>9</v>
      </c>
      <c r="M12" s="629">
        <v>70.027142117142859</v>
      </c>
      <c r="N12" s="629">
        <v>124.34114185428572</v>
      </c>
      <c r="O12" s="629">
        <v>23.340428760000002</v>
      </c>
    </row>
    <row r="13" spans="1:15" ht="11.25" customHeight="1">
      <c r="A13" s="174"/>
      <c r="C13" s="424" t="s">
        <v>148</v>
      </c>
      <c r="D13" s="425">
        <v>8.548</v>
      </c>
      <c r="E13" s="425">
        <v>8.4459722222222364</v>
      </c>
      <c r="F13" s="426">
        <f t="shared" si="0"/>
        <v>1.208005130650535E-2</v>
      </c>
      <c r="G13" s="138"/>
      <c r="H13" s="23"/>
      <c r="I13" s="3"/>
      <c r="L13" s="518">
        <v>10</v>
      </c>
      <c r="M13" s="629">
        <v>51.713285718571434</v>
      </c>
      <c r="N13" s="629">
        <v>110.96499854142857</v>
      </c>
      <c r="O13" s="629">
        <v>51.143429344285714</v>
      </c>
    </row>
    <row r="14" spans="1:15" ht="11.25" customHeight="1">
      <c r="A14" s="174"/>
      <c r="C14" s="421" t="s">
        <v>246</v>
      </c>
      <c r="D14" s="422">
        <v>10.417390330084409</v>
      </c>
      <c r="E14" s="422">
        <v>22.549480438232401</v>
      </c>
      <c r="F14" s="423">
        <f t="shared" si="0"/>
        <v>-0.5380208267494343</v>
      </c>
      <c r="G14" s="138"/>
      <c r="H14" s="25"/>
      <c r="I14" s="3"/>
      <c r="L14" s="518">
        <v>11</v>
      </c>
      <c r="M14" s="629">
        <v>64.999999455714274</v>
      </c>
      <c r="N14" s="629">
        <v>130.17914037142856</v>
      </c>
      <c r="O14" s="629">
        <v>73.820713587142862</v>
      </c>
    </row>
    <row r="15" spans="1:15" ht="11.25" customHeight="1">
      <c r="A15" s="174"/>
      <c r="C15" s="424" t="s">
        <v>247</v>
      </c>
      <c r="D15" s="425">
        <v>31.149310539508644</v>
      </c>
      <c r="E15" s="425">
        <v>37.970001220703097</v>
      </c>
      <c r="F15" s="426">
        <f t="shared" si="0"/>
        <v>-0.17963367031643601</v>
      </c>
      <c r="G15" s="138"/>
      <c r="H15" s="25"/>
      <c r="I15" s="3"/>
      <c r="L15" s="518">
        <v>12</v>
      </c>
      <c r="M15" s="629">
        <v>70.530143192836164</v>
      </c>
      <c r="N15" s="629">
        <v>127.86657169886942</v>
      </c>
      <c r="O15" s="629">
        <v>34.1388571602957</v>
      </c>
    </row>
    <row r="16" spans="1:15" ht="11.25" customHeight="1">
      <c r="A16" s="174"/>
      <c r="C16" s="421" t="s">
        <v>153</v>
      </c>
      <c r="D16" s="422">
        <v>12.055034538795189</v>
      </c>
      <c r="E16" s="422">
        <v>17.104000091552699</v>
      </c>
      <c r="F16" s="423">
        <f t="shared" si="0"/>
        <v>-0.29519209107412753</v>
      </c>
      <c r="G16" s="138"/>
      <c r="H16" s="25"/>
      <c r="I16" s="3"/>
      <c r="L16" s="518">
        <v>13</v>
      </c>
      <c r="M16" s="629">
        <v>73.710714612688278</v>
      </c>
      <c r="N16" s="629">
        <v>138.12900325230143</v>
      </c>
      <c r="O16" s="629">
        <v>66.457714898245612</v>
      </c>
    </row>
    <row r="17" spans="1:15" ht="11.25" customHeight="1">
      <c r="A17" s="174"/>
      <c r="C17" s="424" t="s">
        <v>532</v>
      </c>
      <c r="D17" s="425">
        <v>9.1225517042751978</v>
      </c>
      <c r="E17" s="425">
        <v>5.8420000076293901</v>
      </c>
      <c r="F17" s="426">
        <f t="shared" si="0"/>
        <v>0.5615459932149186</v>
      </c>
      <c r="G17" s="138"/>
      <c r="H17" s="25"/>
      <c r="I17" s="3"/>
      <c r="L17" s="518">
        <v>14</v>
      </c>
      <c r="M17" s="629">
        <v>57.796857017142862</v>
      </c>
      <c r="N17" s="629">
        <v>109.14457049285714</v>
      </c>
      <c r="O17" s="629">
        <v>82.626999985714278</v>
      </c>
    </row>
    <row r="18" spans="1:15" ht="11.25" customHeight="1">
      <c r="A18" s="174"/>
      <c r="C18" s="421" t="s">
        <v>531</v>
      </c>
      <c r="D18" s="422">
        <v>7.7822068724138891</v>
      </c>
      <c r="E18" s="422">
        <v>4.0789999999999997</v>
      </c>
      <c r="F18" s="423">
        <f t="shared" ref="F18" si="1">IF(E18=0,"",(D18-E18)/E18)</f>
        <v>0.90787126070455737</v>
      </c>
      <c r="G18" s="138"/>
      <c r="H18" s="25"/>
      <c r="I18" s="3"/>
      <c r="L18" s="518">
        <v>15</v>
      </c>
      <c r="M18" s="629">
        <v>44.430285317142861</v>
      </c>
      <c r="N18" s="629">
        <v>80.133571635714276</v>
      </c>
      <c r="O18" s="629">
        <v>89.91342707714287</v>
      </c>
    </row>
    <row r="19" spans="1:15" ht="11.25" customHeight="1">
      <c r="A19" s="174"/>
      <c r="C19" s="424" t="s">
        <v>248</v>
      </c>
      <c r="D19" s="425">
        <v>11.50627790648357</v>
      </c>
      <c r="E19" s="425">
        <v>14.157919883728001</v>
      </c>
      <c r="F19" s="426">
        <f t="shared" ref="F19:F31" si="2">IF(E19=0,"",(D19-E19)/E19)</f>
        <v>-0.18729036461719348</v>
      </c>
      <c r="G19" s="138"/>
      <c r="H19" s="25"/>
      <c r="I19" s="3"/>
      <c r="K19" s="518">
        <v>16</v>
      </c>
      <c r="L19" s="518">
        <v>16</v>
      </c>
      <c r="M19" s="629">
        <v>30.701856885714285</v>
      </c>
      <c r="N19" s="629">
        <v>57.13714327142857</v>
      </c>
      <c r="O19" s="629">
        <v>73.487428932857142</v>
      </c>
    </row>
    <row r="20" spans="1:15" ht="11.25" customHeight="1">
      <c r="A20" s="174"/>
      <c r="C20" s="421" t="s">
        <v>249</v>
      </c>
      <c r="D20" s="422">
        <v>9.2050000000000001</v>
      </c>
      <c r="E20" s="422">
        <v>15.344166666666673</v>
      </c>
      <c r="F20" s="423">
        <f>IF(E20=0,"",(D20-E20)/E20)</f>
        <v>-0.40009775701949735</v>
      </c>
      <c r="G20" s="138"/>
      <c r="H20" s="25"/>
      <c r="I20" s="3"/>
      <c r="L20" s="518">
        <v>17</v>
      </c>
      <c r="M20" s="629">
        <v>24.932857240949314</v>
      </c>
      <c r="N20" s="629">
        <v>55.184285845075259</v>
      </c>
      <c r="O20" s="629">
        <v>80.585714067731558</v>
      </c>
    </row>
    <row r="21" spans="1:15" ht="11.25" customHeight="1">
      <c r="A21" s="174"/>
      <c r="C21" s="424" t="s">
        <v>250</v>
      </c>
      <c r="D21" s="425">
        <v>1.406275851973168</v>
      </c>
      <c r="E21" s="425">
        <v>1.5609999895095801</v>
      </c>
      <c r="F21" s="426">
        <f>IF(E21=0,"",(D21-E21)/E21)</f>
        <v>-9.9118602547218382E-2</v>
      </c>
      <c r="G21" s="138"/>
      <c r="H21" s="25"/>
      <c r="I21" s="3"/>
      <c r="L21" s="518">
        <v>18</v>
      </c>
      <c r="M21" s="629">
        <v>46.867285591428576</v>
      </c>
      <c r="N21" s="629">
        <v>80.201000221428572</v>
      </c>
      <c r="O21" s="629">
        <v>93.131286082857144</v>
      </c>
    </row>
    <row r="22" spans="1:15" ht="11.25" customHeight="1">
      <c r="A22" s="174"/>
      <c r="C22" s="421" t="s">
        <v>146</v>
      </c>
      <c r="D22" s="422">
        <v>75.509069508519644</v>
      </c>
      <c r="E22" s="422">
        <v>87.863998413085895</v>
      </c>
      <c r="F22" s="423">
        <f t="shared" si="2"/>
        <v>-0.14061423481413279</v>
      </c>
      <c r="G22" s="138"/>
      <c r="H22" s="25"/>
      <c r="I22" s="3"/>
      <c r="L22" s="518">
        <v>19</v>
      </c>
      <c r="M22" s="629">
        <v>39.880857740000003</v>
      </c>
      <c r="N22" s="629">
        <v>73.398713792857151</v>
      </c>
      <c r="O22" s="629">
        <v>43.960427964285714</v>
      </c>
    </row>
    <row r="23" spans="1:15" ht="11.25" customHeight="1">
      <c r="A23" s="174"/>
      <c r="C23" s="424" t="s">
        <v>144</v>
      </c>
      <c r="D23" s="425">
        <v>1.7199309817675821</v>
      </c>
      <c r="E23" s="425">
        <v>3.72699999809265</v>
      </c>
      <c r="F23" s="426">
        <f t="shared" si="2"/>
        <v>-0.53852133548489844</v>
      </c>
      <c r="G23" s="138"/>
      <c r="H23" s="25"/>
      <c r="I23" s="3"/>
      <c r="L23" s="518">
        <v>20</v>
      </c>
      <c r="M23" s="629">
        <v>34.332998821428575</v>
      </c>
      <c r="N23" s="629">
        <v>57.629714421428567</v>
      </c>
      <c r="O23" s="629">
        <v>29.038571492857141</v>
      </c>
    </row>
    <row r="24" spans="1:15" ht="11.25" customHeight="1">
      <c r="A24" s="174"/>
      <c r="C24" s="421" t="s">
        <v>145</v>
      </c>
      <c r="D24" s="422">
        <v>13.739275389704179</v>
      </c>
      <c r="E24" s="422">
        <v>12.9469995498657</v>
      </c>
      <c r="F24" s="423">
        <f t="shared" si="2"/>
        <v>6.1193779824198574E-2</v>
      </c>
      <c r="G24" s="138"/>
      <c r="H24" s="26"/>
      <c r="I24" s="3"/>
      <c r="L24" s="518">
        <v>21</v>
      </c>
      <c r="M24" s="629">
        <v>28.39914212908057</v>
      </c>
      <c r="N24" s="629">
        <v>47.208427974155924</v>
      </c>
      <c r="O24" s="629">
        <v>20.747856957571798</v>
      </c>
    </row>
    <row r="25" spans="1:15" ht="11.25" customHeight="1">
      <c r="A25" s="138"/>
      <c r="C25" s="424" t="s">
        <v>158</v>
      </c>
      <c r="D25" s="425">
        <v>9.0918276227753427</v>
      </c>
      <c r="E25" s="425">
        <v>1.1640000343322701</v>
      </c>
      <c r="F25" s="426">
        <f t="shared" si="2"/>
        <v>6.8108482427931198</v>
      </c>
      <c r="G25" s="158"/>
      <c r="H25" s="25"/>
      <c r="I25" s="3"/>
      <c r="L25" s="518">
        <v>22</v>
      </c>
      <c r="M25" s="629">
        <v>19.016142710000004</v>
      </c>
      <c r="N25" s="629">
        <v>39.635571071428572</v>
      </c>
      <c r="O25" s="629">
        <v>28.597570964285715</v>
      </c>
    </row>
    <row r="26" spans="1:15" ht="11.25" customHeight="1">
      <c r="A26" s="175"/>
      <c r="C26" s="421" t="s">
        <v>150</v>
      </c>
      <c r="D26" s="422">
        <v>6.373104654509433</v>
      </c>
      <c r="E26" s="422">
        <v>8.4840002059936506</v>
      </c>
      <c r="F26" s="423">
        <f t="shared" si="2"/>
        <v>-0.24880899342658472</v>
      </c>
      <c r="G26" s="138"/>
      <c r="H26" s="23"/>
      <c r="I26" s="3"/>
      <c r="L26" s="518">
        <v>23</v>
      </c>
      <c r="M26" s="629">
        <v>16.323713982857143</v>
      </c>
      <c r="N26" s="629">
        <v>49.136857168571431</v>
      </c>
      <c r="O26" s="629">
        <v>19.104714530000003</v>
      </c>
    </row>
    <row r="27" spans="1:15" ht="11.25" customHeight="1">
      <c r="A27" s="138"/>
      <c r="C27" s="424" t="s">
        <v>151</v>
      </c>
      <c r="D27" s="425">
        <v>2.637655167744076</v>
      </c>
      <c r="E27" s="425">
        <v>5.4479999542236301</v>
      </c>
      <c r="F27" s="426">
        <f t="shared" si="2"/>
        <v>-0.51584890053106536</v>
      </c>
      <c r="G27" s="138"/>
      <c r="H27" s="23"/>
      <c r="I27" s="3"/>
      <c r="K27" s="518">
        <v>24</v>
      </c>
      <c r="L27" s="518">
        <v>24</v>
      </c>
      <c r="M27" s="629">
        <v>14.458999906267413</v>
      </c>
      <c r="N27" s="629">
        <v>34.150428227015844</v>
      </c>
      <c r="O27" s="629">
        <v>14.211285591125442</v>
      </c>
    </row>
    <row r="28" spans="1:15" ht="11.25" customHeight="1">
      <c r="A28" s="138"/>
      <c r="C28" s="421" t="s">
        <v>528</v>
      </c>
      <c r="D28" s="422">
        <v>0.16313792970673732</v>
      </c>
      <c r="E28" s="422">
        <v>0.125</v>
      </c>
      <c r="F28" s="423">
        <f t="shared" si="2"/>
        <v>0.30510343765389858</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3.7365735255438688</v>
      </c>
      <c r="E30" s="422">
        <v>5.0269999504089302</v>
      </c>
      <c r="F30" s="423">
        <f t="shared" si="2"/>
        <v>-0.2566991123125214</v>
      </c>
      <c r="G30" s="138"/>
      <c r="H30" s="25"/>
      <c r="I30" s="3"/>
      <c r="L30" s="518">
        <v>27</v>
      </c>
      <c r="M30" s="629">
        <v>12.859571456909155</v>
      </c>
      <c r="N30" s="629">
        <v>27.986428669520745</v>
      </c>
      <c r="O30" s="629">
        <v>27.48885754176543</v>
      </c>
    </row>
    <row r="31" spans="1:15" ht="11.25" customHeight="1">
      <c r="A31" s="137"/>
      <c r="C31" s="762" t="s">
        <v>147</v>
      </c>
      <c r="D31" s="763">
        <v>5.1970000000000001</v>
      </c>
      <c r="E31" s="763">
        <v>8.4922222222222299</v>
      </c>
      <c r="F31" s="764">
        <f t="shared" si="2"/>
        <v>-0.38802826115399769</v>
      </c>
      <c r="G31" s="137"/>
      <c r="H31" s="25"/>
      <c r="I31" s="6"/>
      <c r="L31" s="518">
        <v>28</v>
      </c>
      <c r="M31" s="629">
        <v>11.472142902857144</v>
      </c>
      <c r="N31" s="629">
        <v>24.371857235714284</v>
      </c>
      <c r="O31" s="629">
        <v>32.395143782857147</v>
      </c>
    </row>
    <row r="32" spans="1:15" ht="10.15" customHeight="1">
      <c r="A32" s="137"/>
      <c r="B32" s="137"/>
      <c r="C32" s="264" t="str">
        <f>"Cuadro N°10: Promedio de caudales en "&amp;'1. Resumen'!Q4&amp;" 2023"</f>
        <v>Cuadro N°10: Promedio de caudales en setiembre 2023</v>
      </c>
      <c r="D32" s="137"/>
      <c r="E32" s="137"/>
      <c r="F32" s="137"/>
      <c r="G32" s="137"/>
      <c r="H32" s="25"/>
      <c r="I32" s="6"/>
      <c r="L32" s="518">
        <v>29</v>
      </c>
      <c r="M32" s="629">
        <v>11.32885715142857</v>
      </c>
      <c r="N32" s="629">
        <v>23.620857238571428</v>
      </c>
      <c r="O32" s="629">
        <v>14.974999971428572</v>
      </c>
    </row>
    <row r="33" spans="1:15" ht="10.15" customHeight="1">
      <c r="A33" s="137"/>
      <c r="B33" s="137"/>
      <c r="D33" s="137"/>
      <c r="E33" s="137"/>
      <c r="F33" s="137"/>
      <c r="G33" s="137"/>
      <c r="H33" s="25"/>
      <c r="I33" s="6"/>
      <c r="L33" s="518">
        <v>30</v>
      </c>
      <c r="M33" s="629">
        <v>11.152000155714285</v>
      </c>
      <c r="N33" s="629">
        <v>26.757428577142853</v>
      </c>
      <c r="O33" s="629">
        <v>14.12842846</v>
      </c>
    </row>
    <row r="34" spans="1:15" ht="4.9000000000000004"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03" t="s">
        <v>365</v>
      </c>
      <c r="B35" s="903"/>
      <c r="C35" s="903"/>
      <c r="D35" s="903"/>
      <c r="E35" s="903"/>
      <c r="F35" s="903"/>
      <c r="G35" s="903"/>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2.75">
      <c r="A55" s="74"/>
      <c r="B55" s="73"/>
      <c r="C55" s="73"/>
      <c r="D55" s="73"/>
      <c r="E55" s="73"/>
      <c r="F55" s="73"/>
      <c r="G55" s="73"/>
      <c r="H55" s="11"/>
      <c r="I55" s="11"/>
      <c r="K55" s="518">
        <v>52</v>
      </c>
      <c r="L55" s="518">
        <v>52</v>
      </c>
      <c r="M55" s="629">
        <v>79.132000515714282</v>
      </c>
      <c r="N55" s="629">
        <v>151.04400198571429</v>
      </c>
      <c r="O55" s="629">
        <v>62.055856431428573</v>
      </c>
    </row>
    <row r="56" spans="1:15" ht="12.75">
      <c r="A56" s="74"/>
      <c r="B56" s="73"/>
      <c r="C56" s="73"/>
      <c r="D56" s="73"/>
      <c r="E56" s="73"/>
      <c r="F56" s="73"/>
      <c r="G56" s="73"/>
      <c r="H56" s="11"/>
      <c r="I56" s="11"/>
      <c r="J56" s="276">
        <v>2021</v>
      </c>
      <c r="L56" s="518">
        <v>1</v>
      </c>
      <c r="M56" s="629">
        <v>93.616000575714295</v>
      </c>
      <c r="N56" s="629">
        <v>194.93985855714286</v>
      </c>
      <c r="O56" s="629">
        <v>38.49128532428572</v>
      </c>
    </row>
    <row r="57" spans="1:15" ht="12.75">
      <c r="A57" s="74"/>
      <c r="B57" s="73"/>
      <c r="C57" s="73"/>
      <c r="D57" s="73"/>
      <c r="E57" s="73"/>
      <c r="F57" s="73"/>
      <c r="G57" s="73"/>
      <c r="H57" s="11"/>
      <c r="I57" s="11"/>
      <c r="L57" s="518">
        <v>2</v>
      </c>
      <c r="M57" s="629">
        <v>109.19371577142856</v>
      </c>
      <c r="N57" s="629">
        <v>191.56657192857145</v>
      </c>
      <c r="O57" s="629">
        <v>52.185428618571436</v>
      </c>
    </row>
    <row r="58" spans="1:15" ht="12.75">
      <c r="A58" s="74"/>
      <c r="B58" s="73"/>
      <c r="C58" s="73"/>
      <c r="D58" s="73"/>
      <c r="E58" s="73"/>
      <c r="F58" s="73"/>
      <c r="G58" s="73"/>
      <c r="H58" s="11"/>
      <c r="I58" s="11"/>
      <c r="L58" s="518">
        <v>3</v>
      </c>
      <c r="M58" s="629">
        <v>111.32100131428571</v>
      </c>
      <c r="N58" s="629">
        <v>253.28128705714289</v>
      </c>
      <c r="O58" s="629">
        <v>72.971142360000002</v>
      </c>
    </row>
    <row r="59" spans="1:15" ht="12.75">
      <c r="A59" s="74"/>
      <c r="B59" s="73"/>
      <c r="C59" s="73"/>
      <c r="D59" s="73"/>
      <c r="E59" s="73"/>
      <c r="F59" s="73"/>
      <c r="G59" s="73"/>
      <c r="H59" s="11"/>
      <c r="I59" s="11"/>
      <c r="L59" s="518">
        <v>4</v>
      </c>
      <c r="M59" s="629">
        <v>111.11885721428568</v>
      </c>
      <c r="N59" s="629">
        <v>244.7925720428571</v>
      </c>
      <c r="O59" s="629">
        <v>82.663999837142867</v>
      </c>
    </row>
    <row r="60" spans="1:15" ht="12.75">
      <c r="A60" s="74"/>
      <c r="B60" s="73"/>
      <c r="C60" s="73"/>
      <c r="D60" s="73"/>
      <c r="E60" s="73"/>
      <c r="F60" s="73"/>
      <c r="G60" s="73"/>
      <c r="H60" s="11"/>
      <c r="I60" s="11"/>
      <c r="L60" s="518">
        <v>5</v>
      </c>
      <c r="M60" s="629">
        <v>108.66071318571429</v>
      </c>
      <c r="N60" s="629">
        <v>220.6247188142857</v>
      </c>
      <c r="O60" s="629">
        <v>54.198429654285711</v>
      </c>
    </row>
    <row r="61" spans="1:15" ht="12.75">
      <c r="A61" s="264" t="s">
        <v>545</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8">
        <v>27.269166944999998</v>
      </c>
      <c r="O135" s="629">
        <v>15.456000011666667</v>
      </c>
    </row>
    <row r="136" spans="11:15">
      <c r="L136" s="518">
        <v>29</v>
      </c>
      <c r="M136" s="629">
        <v>12.436285836355987</v>
      </c>
      <c r="N136" s="748">
        <v>27.957999638148667</v>
      </c>
      <c r="O136" s="629">
        <v>12.983142989022358</v>
      </c>
    </row>
    <row r="137" spans="11:15">
      <c r="L137" s="518">
        <v>30</v>
      </c>
      <c r="M137" s="629">
        <v>12.081000189999999</v>
      </c>
      <c r="N137" s="748">
        <v>25.709142960000001</v>
      </c>
      <c r="O137" s="629">
        <v>13.575857162857142</v>
      </c>
    </row>
    <row r="138" spans="11:15">
      <c r="L138" s="518">
        <v>31</v>
      </c>
      <c r="M138" s="629">
        <v>11.596285820007285</v>
      </c>
      <c r="N138" s="748">
        <v>24.763571058000789</v>
      </c>
      <c r="O138" s="629">
        <v>11.669857025146444</v>
      </c>
    </row>
    <row r="139" spans="11:15">
      <c r="L139" s="518">
        <v>32</v>
      </c>
      <c r="M139" s="629">
        <v>11.720571517944299</v>
      </c>
      <c r="N139" s="748">
        <v>24.089857101440373</v>
      </c>
      <c r="O139" s="629">
        <v>19.260286058698341</v>
      </c>
    </row>
    <row r="140" spans="11:15">
      <c r="L140" s="518">
        <v>33</v>
      </c>
      <c r="M140" s="629">
        <v>12.527428762857143</v>
      </c>
      <c r="N140" s="748">
        <v>22.760285514285709</v>
      </c>
      <c r="O140" s="629">
        <v>11.767142841428575</v>
      </c>
    </row>
    <row r="141" spans="11:15">
      <c r="L141" s="518">
        <v>34</v>
      </c>
      <c r="M141" s="629">
        <v>16.307285444285718</v>
      </c>
      <c r="N141" s="748">
        <v>25.360285895714288</v>
      </c>
      <c r="O141" s="629">
        <v>9.6848572311428569</v>
      </c>
    </row>
    <row r="142" spans="11:15">
      <c r="L142" s="518">
        <v>35</v>
      </c>
      <c r="M142" s="629">
        <v>16.3159999847412</v>
      </c>
      <c r="N142" s="748">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49">
        <v>35.542857851300859</v>
      </c>
      <c r="O147" s="629">
        <v>14.786999974931945</v>
      </c>
    </row>
    <row r="148" spans="10:15">
      <c r="L148" s="518">
        <v>41</v>
      </c>
      <c r="M148" s="629">
        <v>15.8430898672582</v>
      </c>
      <c r="N148" s="749">
        <v>42.2230343138324</v>
      </c>
      <c r="O148" s="629">
        <v>20.704649510407599</v>
      </c>
    </row>
    <row r="149" spans="10:15">
      <c r="L149" s="518">
        <v>42</v>
      </c>
      <c r="M149" s="629">
        <v>5.7759999548571432</v>
      </c>
      <c r="N149" s="749">
        <v>38.873856951428571</v>
      </c>
      <c r="O149" s="629">
        <v>25.138142720000001</v>
      </c>
    </row>
    <row r="150" spans="10:15">
      <c r="L150" s="518">
        <v>43</v>
      </c>
      <c r="M150" s="629">
        <v>11.382285799298913</v>
      </c>
      <c r="N150" s="749">
        <v>37.477428436279276</v>
      </c>
      <c r="O150" s="629">
        <v>25.216714314051995</v>
      </c>
    </row>
    <row r="151" spans="10:15">
      <c r="L151" s="518">
        <v>44</v>
      </c>
      <c r="M151" s="629">
        <v>5.2291429382857144</v>
      </c>
      <c r="N151" s="749">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K167" s="518">
        <v>8</v>
      </c>
      <c r="L167" s="518">
        <v>8</v>
      </c>
      <c r="M167" s="629">
        <v>94.627143865714288</v>
      </c>
      <c r="N167" s="629">
        <v>127.76542662857143</v>
      </c>
      <c r="O167" s="629">
        <v>119.39471545714287</v>
      </c>
    </row>
    <row r="168" spans="11:15">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L175" s="518">
        <v>16</v>
      </c>
      <c r="M175" s="629">
        <v>26.4</v>
      </c>
      <c r="N175" s="629">
        <v>144.20861904761904</v>
      </c>
      <c r="O175" s="629">
        <v>122.82</v>
      </c>
    </row>
    <row r="176" spans="11:15">
      <c r="L176" s="518">
        <v>17</v>
      </c>
      <c r="M176" s="629">
        <v>40.380714961428573</v>
      </c>
      <c r="N176" s="629">
        <v>104.17842755142858</v>
      </c>
      <c r="O176" s="629">
        <v>111.59999954285715</v>
      </c>
    </row>
    <row r="177" spans="11:15">
      <c r="L177" s="518">
        <v>18</v>
      </c>
      <c r="M177" s="629">
        <v>34.16114289419987</v>
      </c>
      <c r="N177" s="629">
        <v>64.587427411760572</v>
      </c>
      <c r="O177" s="629">
        <v>80.359285627092532</v>
      </c>
    </row>
    <row r="178" spans="11:15">
      <c r="L178" s="518">
        <v>19</v>
      </c>
      <c r="M178" s="629">
        <v>32.890571322857149</v>
      </c>
      <c r="N178" s="629">
        <v>69.162714277142854</v>
      </c>
      <c r="O178" s="629">
        <v>45.066857472857144</v>
      </c>
    </row>
    <row r="179" spans="11:15">
      <c r="L179" s="518">
        <v>20</v>
      </c>
      <c r="M179" s="629">
        <v>29.235714503696958</v>
      </c>
      <c r="N179" s="629">
        <v>53.960142408098463</v>
      </c>
      <c r="O179" s="629">
        <v>32.585143225533585</v>
      </c>
    </row>
    <row r="180" spans="11:15">
      <c r="L180" s="518">
        <v>21</v>
      </c>
      <c r="M180" s="629">
        <v>27.48045950819672</v>
      </c>
      <c r="N180" s="629">
        <v>44.110999999999997</v>
      </c>
      <c r="O180" s="629">
        <v>35.742226190476188</v>
      </c>
    </row>
    <row r="181" spans="11:15">
      <c r="L181" s="518">
        <v>22</v>
      </c>
      <c r="M181" s="629">
        <v>24.021142414285716</v>
      </c>
      <c r="N181" s="629">
        <v>42.745857239999999</v>
      </c>
      <c r="O181" s="629">
        <v>73.717715127142853</v>
      </c>
    </row>
    <row r="182" spans="11:15">
      <c r="L182" s="518">
        <v>23</v>
      </c>
      <c r="M182" s="629">
        <v>18.928571428571388</v>
      </c>
      <c r="N182" s="629">
        <v>36.284714290073886</v>
      </c>
      <c r="O182" s="629">
        <v>31.087000165666815</v>
      </c>
    </row>
    <row r="183" spans="11:15">
      <c r="K183" s="518">
        <v>24</v>
      </c>
      <c r="L183" s="518">
        <v>24</v>
      </c>
      <c r="M183" s="629">
        <v>17.475714547142857</v>
      </c>
      <c r="N183" s="629">
        <v>32.457999999999998</v>
      </c>
      <c r="O183" s="629">
        <v>25.268999999999998</v>
      </c>
    </row>
    <row r="184" spans="11:15">
      <c r="L184" s="518">
        <v>25</v>
      </c>
      <c r="M184" s="629">
        <v>15.9781426</v>
      </c>
      <c r="N184" s="629">
        <v>30.932142802857147</v>
      </c>
      <c r="O184" s="629">
        <v>18.584571292857142</v>
      </c>
    </row>
    <row r="185" spans="11:15">
      <c r="L185" s="518">
        <v>26</v>
      </c>
      <c r="M185" s="629">
        <v>14.51</v>
      </c>
      <c r="N185" s="629">
        <v>29.170999999999999</v>
      </c>
      <c r="O185" s="629">
        <v>13.885</v>
      </c>
    </row>
    <row r="186" spans="11:15">
      <c r="L186" s="518">
        <v>27</v>
      </c>
      <c r="M186" s="629">
        <v>13.535000119890457</v>
      </c>
      <c r="N186" s="629">
        <v>30.611000061035103</v>
      </c>
      <c r="O186" s="629">
        <v>11.085857255118205</v>
      </c>
    </row>
    <row r="187" spans="11:15">
      <c r="L187" s="518">
        <v>28</v>
      </c>
      <c r="M187" s="629">
        <v>14.99685709857143</v>
      </c>
      <c r="N187" s="629">
        <v>31.84528541571428</v>
      </c>
      <c r="O187" s="629">
        <v>11.611857142285714</v>
      </c>
    </row>
    <row r="188" spans="11:15">
      <c r="L188" s="518">
        <v>29</v>
      </c>
      <c r="M188" s="629">
        <v>18.545142852857143</v>
      </c>
      <c r="N188" s="629">
        <v>31.096857070000002</v>
      </c>
      <c r="O188" s="629">
        <v>8.8954287937142862</v>
      </c>
    </row>
    <row r="189" spans="11:15">
      <c r="L189" s="518">
        <v>30</v>
      </c>
      <c r="M189" s="629">
        <v>17.949285507202102</v>
      </c>
      <c r="N189" s="629">
        <v>30.788428442818713</v>
      </c>
      <c r="O189" s="629">
        <v>7.9398572104317742</v>
      </c>
    </row>
    <row r="190" spans="11:15">
      <c r="L190" s="518">
        <v>31</v>
      </c>
      <c r="M190" s="629">
        <v>14.421428544285714</v>
      </c>
      <c r="N190" s="629">
        <v>31.885428564285718</v>
      </c>
      <c r="O190" s="629">
        <v>6.5058570588571429</v>
      </c>
    </row>
    <row r="191" spans="11:15">
      <c r="L191" s="518">
        <v>32</v>
      </c>
      <c r="M191" s="629">
        <v>11.355571609999998</v>
      </c>
      <c r="N191" s="629">
        <v>30.209428512857141</v>
      </c>
      <c r="O191" s="629">
        <v>6.1820000239999997</v>
      </c>
    </row>
    <row r="192" spans="11:15">
      <c r="L192" s="518">
        <v>33</v>
      </c>
      <c r="M192" s="629">
        <v>11.000428605714287</v>
      </c>
      <c r="N192" s="629">
        <v>29.829428808571432</v>
      </c>
      <c r="O192" s="629">
        <v>8.6735714501428571</v>
      </c>
    </row>
    <row r="193" spans="11:15">
      <c r="L193" s="518">
        <v>34</v>
      </c>
      <c r="M193" s="629">
        <v>11.649428640093072</v>
      </c>
      <c r="N193" s="629">
        <v>28.740714209420283</v>
      </c>
      <c r="O193" s="629">
        <v>5.9792857851300871</v>
      </c>
    </row>
    <row r="194" spans="11:15">
      <c r="L194" s="518">
        <v>35</v>
      </c>
      <c r="M194" s="629">
        <v>11.377143044285715</v>
      </c>
      <c r="N194" s="629">
        <v>29.784285681428571</v>
      </c>
      <c r="O194" s="629">
        <v>4.6742856842857146</v>
      </c>
    </row>
    <row r="195" spans="11:15">
      <c r="L195" s="518">
        <v>36</v>
      </c>
      <c r="M195" s="629">
        <v>11.169571604047485</v>
      </c>
      <c r="N195" s="629">
        <v>30.866000311715215</v>
      </c>
      <c r="O195" s="629">
        <v>5.4714285305568096</v>
      </c>
    </row>
    <row r="196" spans="11:15">
      <c r="L196" s="518">
        <v>37</v>
      </c>
      <c r="M196" s="629">
        <v>10.781999996730237</v>
      </c>
      <c r="N196" s="629">
        <v>25.917571476527559</v>
      </c>
      <c r="O196" s="629">
        <v>4.4325713770730113</v>
      </c>
    </row>
    <row r="197" spans="11:15">
      <c r="L197" s="518">
        <v>38</v>
      </c>
      <c r="M197" s="629">
        <v>13.442857142857141</v>
      </c>
      <c r="N197" s="629">
        <v>30.215714285714284</v>
      </c>
      <c r="O197" s="629">
        <v>3.0385714285714287</v>
      </c>
    </row>
    <row r="198" spans="11:15">
      <c r="K198" s="518">
        <v>39</v>
      </c>
      <c r="L198" s="518">
        <v>39</v>
      </c>
      <c r="M198" s="629">
        <v>12.920285634285715</v>
      </c>
      <c r="N198" s="629">
        <v>28.675000052857143</v>
      </c>
      <c r="O198" s="629">
        <v>4.6024285725714282</v>
      </c>
    </row>
    <row r="199" spans="11:15">
      <c r="M199" s="629"/>
      <c r="N199" s="629"/>
      <c r="O199" s="629"/>
    </row>
    <row r="200" spans="11:15">
      <c r="M200" s="629"/>
      <c r="N200" s="629"/>
      <c r="O200" s="629"/>
    </row>
    <row r="201" spans="11:15">
      <c r="M201" s="629"/>
      <c r="N201" s="629"/>
      <c r="O201" s="629"/>
    </row>
    <row r="202" spans="11:15">
      <c r="M202" s="629"/>
      <c r="N202" s="629"/>
      <c r="O202" s="629"/>
    </row>
    <row r="203" spans="11:15">
      <c r="M203" s="629"/>
      <c r="N203" s="629"/>
      <c r="O203" s="629"/>
    </row>
    <row r="205" spans="11:15">
      <c r="M205" s="276" t="s">
        <v>256</v>
      </c>
      <c r="N205" s="276" t="s">
        <v>257</v>
      </c>
      <c r="O205"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29"/>
  <sheetViews>
    <sheetView showGridLines="0" view="pageBreakPreview" zoomScale="115" zoomScaleNormal="100" zoomScaleSheetLayoutView="115" zoomScalePageLayoutView="115" workbookViewId="0">
      <selection activeCell="R21" sqref="R21"/>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47"/>
    <col min="27" max="35" width="9.332031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529</v>
      </c>
      <c r="R3" s="277" t="s">
        <v>530</v>
      </c>
      <c r="S3" s="277" t="s">
        <v>259</v>
      </c>
      <c r="T3" s="277" t="s">
        <v>260</v>
      </c>
      <c r="U3" s="277" t="s">
        <v>261</v>
      </c>
      <c r="V3" s="277" t="s">
        <v>262</v>
      </c>
      <c r="W3" s="277" t="s">
        <v>533</v>
      </c>
      <c r="X3" s="277" t="s">
        <v>534</v>
      </c>
      <c r="Y3" s="277" t="s">
        <v>535</v>
      </c>
    </row>
    <row r="4" spans="1:25" ht="11.25" customHeight="1">
      <c r="A4" s="132"/>
      <c r="B4" s="132"/>
      <c r="C4" s="132"/>
      <c r="D4" s="132"/>
      <c r="E4" s="132"/>
      <c r="F4" s="132"/>
      <c r="G4" s="138"/>
      <c r="H4" s="138"/>
      <c r="I4" s="138"/>
      <c r="J4" s="148"/>
      <c r="K4" s="148"/>
      <c r="L4" s="148"/>
      <c r="N4" s="771">
        <v>2020</v>
      </c>
      <c r="O4" s="771"/>
      <c r="P4" s="773">
        <v>1</v>
      </c>
      <c r="Q4" s="770">
        <v>12.763571330479184</v>
      </c>
      <c r="R4" s="770">
        <v>7.4842857292720009</v>
      </c>
      <c r="S4" s="770">
        <v>176.20814078194715</v>
      </c>
      <c r="T4" s="770">
        <v>130.2321406773155</v>
      </c>
      <c r="U4" s="770">
        <v>24.27742849077493</v>
      </c>
      <c r="V4" s="770">
        <v>14.514315741402715</v>
      </c>
      <c r="W4" s="770">
        <v>2.278571367263786</v>
      </c>
      <c r="X4" s="770">
        <v>468.15499877929659</v>
      </c>
      <c r="Y4" s="770">
        <v>152.80385916573601</v>
      </c>
    </row>
    <row r="5" spans="1:25" ht="11.25" customHeight="1">
      <c r="A5" s="176"/>
      <c r="B5" s="176"/>
      <c r="C5" s="176"/>
      <c r="D5" s="176"/>
      <c r="E5" s="176"/>
      <c r="F5" s="176"/>
      <c r="G5" s="176"/>
      <c r="H5" s="176"/>
      <c r="I5" s="176"/>
      <c r="J5" s="24"/>
      <c r="K5" s="24"/>
      <c r="L5" s="131"/>
      <c r="N5" s="771"/>
      <c r="O5" s="771"/>
      <c r="P5" s="773">
        <v>2</v>
      </c>
      <c r="Q5" s="770">
        <v>13.386285781428571</v>
      </c>
      <c r="R5" s="770">
        <v>6.9174285272857139</v>
      </c>
      <c r="S5" s="770">
        <v>159.75199889999999</v>
      </c>
      <c r="T5" s="770">
        <v>106.97614288285715</v>
      </c>
      <c r="U5" s="770">
        <v>30.680286678571431</v>
      </c>
      <c r="V5" s="770">
        <v>13.21958133142857</v>
      </c>
      <c r="W5" s="770">
        <v>1.8857142757142857</v>
      </c>
      <c r="X5" s="770">
        <v>213.59428187142859</v>
      </c>
      <c r="Y5" s="770">
        <v>97.949856347142855</v>
      </c>
    </row>
    <row r="6" spans="1:25" ht="11.25" customHeight="1">
      <c r="A6" s="132"/>
      <c r="B6" s="291"/>
      <c r="C6" s="292"/>
      <c r="D6" s="293"/>
      <c r="E6" s="293"/>
      <c r="F6" s="177"/>
      <c r="G6" s="178"/>
      <c r="H6" s="178"/>
      <c r="I6" s="179"/>
      <c r="J6" s="24"/>
      <c r="K6" s="24"/>
      <c r="L6" s="19"/>
      <c r="N6" s="771"/>
      <c r="O6" s="771"/>
      <c r="P6" s="773">
        <v>3</v>
      </c>
      <c r="Q6" s="770">
        <v>15.196428435714285</v>
      </c>
      <c r="R6" s="770">
        <v>11.330428599714283</v>
      </c>
      <c r="S6" s="770">
        <v>243.87700107142857</v>
      </c>
      <c r="T6" s="770">
        <v>137.04186028571428</v>
      </c>
      <c r="U6" s="770">
        <v>40.240000044285715</v>
      </c>
      <c r="V6" s="770">
        <v>16.855534282857143</v>
      </c>
      <c r="W6" s="770">
        <v>6.3075712748571418</v>
      </c>
      <c r="X6" s="770">
        <v>247.26214164285713</v>
      </c>
      <c r="Y6" s="770">
        <v>78.131857190000005</v>
      </c>
    </row>
    <row r="7" spans="1:25" ht="11.25" customHeight="1">
      <c r="A7" s="132"/>
      <c r="B7" s="180"/>
      <c r="C7" s="180"/>
      <c r="D7" s="181"/>
      <c r="E7" s="181"/>
      <c r="F7" s="177"/>
      <c r="G7" s="178"/>
      <c r="H7" s="178"/>
      <c r="I7" s="179"/>
      <c r="J7" s="25"/>
      <c r="K7" s="25"/>
      <c r="L7" s="22"/>
      <c r="N7" s="771"/>
      <c r="O7" s="771"/>
      <c r="P7" s="773">
        <v>4</v>
      </c>
      <c r="Q7" s="770">
        <v>16.57199968714286</v>
      </c>
      <c r="R7" s="770">
        <v>12.821999958571428</v>
      </c>
      <c r="S7" s="770">
        <v>236.61043005714285</v>
      </c>
      <c r="T7" s="770">
        <v>121.29742760000001</v>
      </c>
      <c r="U7" s="770">
        <v>26.470714297142855</v>
      </c>
      <c r="V7" s="770">
        <v>22.011848449999999</v>
      </c>
      <c r="W7" s="770">
        <v>4.3669999327142861</v>
      </c>
      <c r="X7" s="770">
        <v>212.78856985714287</v>
      </c>
      <c r="Y7" s="770">
        <v>52.875</v>
      </c>
    </row>
    <row r="8" spans="1:25" ht="11.25" customHeight="1">
      <c r="A8" s="132"/>
      <c r="B8" s="182"/>
      <c r="C8" s="132"/>
      <c r="D8" s="156"/>
      <c r="E8" s="156"/>
      <c r="F8" s="177"/>
      <c r="G8" s="178"/>
      <c r="H8" s="178"/>
      <c r="I8" s="179"/>
      <c r="J8" s="23"/>
      <c r="K8" s="23"/>
      <c r="L8" s="24"/>
      <c r="N8" s="771"/>
      <c r="O8" s="771"/>
      <c r="P8" s="773">
        <v>5</v>
      </c>
      <c r="Q8" s="770">
        <v>25.675428661428576</v>
      </c>
      <c r="R8" s="770">
        <v>18.254856927142857</v>
      </c>
      <c r="S8" s="770">
        <v>392.82542635714287</v>
      </c>
      <c r="T8" s="770">
        <v>216.11300005714287</v>
      </c>
      <c r="U8" s="770">
        <v>48.707714625714289</v>
      </c>
      <c r="V8" s="770">
        <v>14.496191432857142</v>
      </c>
      <c r="W8" s="770">
        <v>2.6891428574285712</v>
      </c>
      <c r="X8" s="770">
        <v>410.15428595714286</v>
      </c>
      <c r="Y8" s="770">
        <v>99.128998899999985</v>
      </c>
    </row>
    <row r="9" spans="1:25" ht="11.25" customHeight="1">
      <c r="A9" s="132"/>
      <c r="B9" s="182"/>
      <c r="C9" s="132"/>
      <c r="D9" s="156"/>
      <c r="E9" s="156"/>
      <c r="F9" s="177"/>
      <c r="G9" s="178"/>
      <c r="H9" s="178"/>
      <c r="I9" s="179"/>
      <c r="J9" s="25"/>
      <c r="K9" s="26"/>
      <c r="L9" s="22"/>
      <c r="N9" s="771"/>
      <c r="O9" s="771"/>
      <c r="P9" s="773">
        <v>6</v>
      </c>
      <c r="Q9" s="770">
        <v>22.638571330479174</v>
      </c>
      <c r="R9" s="770">
        <v>17.332571574619813</v>
      </c>
      <c r="S9" s="770">
        <v>448.59157017299066</v>
      </c>
      <c r="T9" s="770">
        <v>221.35714285714261</v>
      </c>
      <c r="U9" s="770">
        <v>51.925000326974022</v>
      </c>
      <c r="V9" s="770">
        <v>17.659045491899729</v>
      </c>
      <c r="W9" s="770">
        <v>9.7964284079415354</v>
      </c>
      <c r="X9" s="770">
        <v>622.45499965122758</v>
      </c>
      <c r="Y9" s="770">
        <v>151.47385733468144</v>
      </c>
    </row>
    <row r="10" spans="1:25" ht="11.25" customHeight="1">
      <c r="A10" s="132"/>
      <c r="B10" s="182"/>
      <c r="C10" s="132"/>
      <c r="D10" s="156"/>
      <c r="E10" s="156"/>
      <c r="F10" s="177"/>
      <c r="G10" s="178"/>
      <c r="H10" s="178"/>
      <c r="I10" s="179"/>
      <c r="J10" s="25"/>
      <c r="K10" s="25"/>
      <c r="L10" s="22"/>
      <c r="N10" s="771"/>
      <c r="O10" s="771"/>
      <c r="P10" s="773">
        <v>7</v>
      </c>
      <c r="Q10" s="770">
        <v>24.818285805714286</v>
      </c>
      <c r="R10" s="770">
        <v>19.436000279999998</v>
      </c>
      <c r="S10" s="770">
        <v>374.25799560000002</v>
      </c>
      <c r="T10" s="770">
        <v>142.54771639999998</v>
      </c>
      <c r="U10" s="770">
        <v>37.997142247142854</v>
      </c>
      <c r="V10" s="770">
        <v>23.642735891428568</v>
      </c>
      <c r="W10" s="770">
        <v>10.810714449000001</v>
      </c>
      <c r="X10" s="770">
        <v>434.32357352857144</v>
      </c>
      <c r="Y10" s="770">
        <v>148.12728554285715</v>
      </c>
    </row>
    <row r="11" spans="1:25" ht="11.25" customHeight="1">
      <c r="A11" s="132"/>
      <c r="B11" s="156"/>
      <c r="C11" s="132"/>
      <c r="D11" s="156"/>
      <c r="E11" s="156"/>
      <c r="F11" s="177"/>
      <c r="G11" s="178"/>
      <c r="H11" s="178"/>
      <c r="I11" s="179"/>
      <c r="J11" s="25"/>
      <c r="K11" s="25"/>
      <c r="L11" s="22"/>
      <c r="N11" s="771"/>
      <c r="O11" s="771">
        <v>8</v>
      </c>
      <c r="P11" s="773">
        <v>8</v>
      </c>
      <c r="Q11" s="770">
        <v>16.877285957336387</v>
      </c>
      <c r="R11" s="770">
        <v>13.084142684936484</v>
      </c>
      <c r="S11" s="770">
        <v>289.19357081821948</v>
      </c>
      <c r="T11" s="770">
        <v>162.01200212751087</v>
      </c>
      <c r="U11" s="770">
        <v>30.780285699026873</v>
      </c>
      <c r="V11" s="770">
        <v>23.681545802525072</v>
      </c>
      <c r="W11" s="770">
        <v>21.290571621486073</v>
      </c>
      <c r="X11" s="770">
        <v>403.40571376255542</v>
      </c>
      <c r="Y11" s="770">
        <v>143.28899928501644</v>
      </c>
    </row>
    <row r="12" spans="1:25" ht="11.25" customHeight="1">
      <c r="A12" s="132"/>
      <c r="B12" s="156"/>
      <c r="C12" s="132"/>
      <c r="D12" s="156"/>
      <c r="E12" s="156"/>
      <c r="F12" s="177"/>
      <c r="G12" s="178"/>
      <c r="H12" s="178"/>
      <c r="I12" s="179"/>
      <c r="J12" s="25"/>
      <c r="K12" s="25"/>
      <c r="L12" s="22"/>
      <c r="N12" s="771"/>
      <c r="O12" s="771"/>
      <c r="P12" s="773">
        <v>9</v>
      </c>
      <c r="Q12" s="770">
        <v>20.463000162857146</v>
      </c>
      <c r="R12" s="770">
        <v>16.131428717142857</v>
      </c>
      <c r="S12" s="770">
        <v>302.38613892857137</v>
      </c>
      <c r="T12" s="770">
        <v>174.72028894285717</v>
      </c>
      <c r="U12" s="770">
        <v>36.13400023285714</v>
      </c>
      <c r="V12" s="770">
        <v>23.625475747142854</v>
      </c>
      <c r="W12" s="770">
        <v>11.064000130142858</v>
      </c>
      <c r="X12" s="770">
        <v>388.35356794285718</v>
      </c>
      <c r="Y12" s="770">
        <v>84.357999531428575</v>
      </c>
    </row>
    <row r="13" spans="1:25" ht="11.25" customHeight="1">
      <c r="A13" s="132"/>
      <c r="B13" s="156"/>
      <c r="C13" s="132"/>
      <c r="D13" s="156"/>
      <c r="E13" s="156"/>
      <c r="F13" s="177"/>
      <c r="G13" s="178"/>
      <c r="H13" s="178"/>
      <c r="I13" s="179"/>
      <c r="J13" s="23"/>
      <c r="K13" s="23"/>
      <c r="L13" s="24"/>
      <c r="N13" s="771"/>
      <c r="O13" s="771"/>
      <c r="P13" s="773">
        <v>10</v>
      </c>
      <c r="Q13" s="770">
        <v>20.001714159999999</v>
      </c>
      <c r="R13" s="770">
        <v>16.133428572857145</v>
      </c>
      <c r="S13" s="770">
        <v>219.49971445714283</v>
      </c>
      <c r="T13" s="770">
        <v>118.91071428571429</v>
      </c>
      <c r="U13" s="770">
        <v>22.61842863857143</v>
      </c>
      <c r="V13" s="770">
        <v>23.72583552857143</v>
      </c>
      <c r="W13" s="770">
        <v>5.0324285712857142</v>
      </c>
      <c r="X13" s="770">
        <v>317.96785625714284</v>
      </c>
      <c r="Y13" s="770">
        <v>76.472572329999977</v>
      </c>
    </row>
    <row r="14" spans="1:25" ht="11.25" customHeight="1">
      <c r="A14" s="132"/>
      <c r="B14" s="156"/>
      <c r="C14" s="132"/>
      <c r="D14" s="156"/>
      <c r="E14" s="156"/>
      <c r="F14" s="177"/>
      <c r="G14" s="178"/>
      <c r="H14" s="178"/>
      <c r="I14" s="179"/>
      <c r="J14" s="25"/>
      <c r="K14" s="26"/>
      <c r="L14" s="22"/>
      <c r="N14" s="771"/>
      <c r="O14" s="771"/>
      <c r="P14" s="773">
        <v>11</v>
      </c>
      <c r="Q14" s="770">
        <v>20.464285714285715</v>
      </c>
      <c r="R14" s="770">
        <v>16.275285719999999</v>
      </c>
      <c r="S14" s="770">
        <v>210.39014761428572</v>
      </c>
      <c r="T14" s="770">
        <v>145.36899785714286</v>
      </c>
      <c r="U14" s="770">
        <v>39.343428748571434</v>
      </c>
      <c r="V14" s="770">
        <v>23.714347295714287</v>
      </c>
      <c r="W14" s="770">
        <v>12.165999821428571</v>
      </c>
      <c r="X14" s="770">
        <v>377.62500435714281</v>
      </c>
      <c r="Y14" s="770">
        <v>110.78628649857141</v>
      </c>
    </row>
    <row r="15" spans="1:25" ht="11.25" customHeight="1">
      <c r="A15" s="132"/>
      <c r="B15" s="156"/>
      <c r="C15" s="132"/>
      <c r="D15" s="156"/>
      <c r="E15" s="156"/>
      <c r="F15" s="177"/>
      <c r="G15" s="178"/>
      <c r="H15" s="178"/>
      <c r="I15" s="179"/>
      <c r="J15" s="25"/>
      <c r="K15" s="26"/>
      <c r="L15" s="22"/>
      <c r="N15" s="771"/>
      <c r="O15" s="771"/>
      <c r="P15" s="773">
        <v>12</v>
      </c>
      <c r="Q15" s="770">
        <v>23.032714026314846</v>
      </c>
      <c r="R15" s="770">
        <v>20.180714198521169</v>
      </c>
      <c r="S15" s="770">
        <v>335.19785417829189</v>
      </c>
      <c r="T15" s="770">
        <v>171.26185716901472</v>
      </c>
      <c r="U15" s="770">
        <v>46.286999838692772</v>
      </c>
      <c r="V15" s="770">
        <v>23.623331614903002</v>
      </c>
      <c r="W15" s="770">
        <v>11.119714055742502</v>
      </c>
      <c r="X15" s="770">
        <v>380.85929216657314</v>
      </c>
      <c r="Y15" s="770">
        <v>113.32999965122723</v>
      </c>
    </row>
    <row r="16" spans="1:25" ht="11.25" customHeight="1">
      <c r="A16" s="132"/>
      <c r="B16" s="156"/>
      <c r="C16" s="132"/>
      <c r="D16" s="156"/>
      <c r="E16" s="156"/>
      <c r="F16" s="177"/>
      <c r="G16" s="178"/>
      <c r="H16" s="178"/>
      <c r="I16" s="179"/>
      <c r="J16" s="25"/>
      <c r="K16" s="26"/>
      <c r="L16" s="22"/>
      <c r="N16" s="771"/>
      <c r="O16" s="771"/>
      <c r="P16" s="773">
        <v>13</v>
      </c>
      <c r="Q16" s="770">
        <v>27.558857236589642</v>
      </c>
      <c r="R16" s="770">
        <v>21.319143022809669</v>
      </c>
      <c r="S16" s="770">
        <v>569.31741768973188</v>
      </c>
      <c r="T16" s="770">
        <v>241.59529113769531</v>
      </c>
      <c r="U16" s="770">
        <v>63.414285387311629</v>
      </c>
      <c r="V16" s="770">
        <v>22.128154209681874</v>
      </c>
      <c r="W16" s="770">
        <v>6.0048571995326432</v>
      </c>
      <c r="X16" s="770">
        <v>332.15285818917374</v>
      </c>
      <c r="Y16" s="770">
        <v>97.158571515764294</v>
      </c>
    </row>
    <row r="17" spans="1:25" ht="11.25" customHeight="1">
      <c r="A17" s="132"/>
      <c r="B17" s="156"/>
      <c r="C17" s="132"/>
      <c r="D17" s="156"/>
      <c r="E17" s="156"/>
      <c r="F17" s="177"/>
      <c r="G17" s="178"/>
      <c r="H17" s="178"/>
      <c r="I17" s="179"/>
      <c r="J17" s="25"/>
      <c r="K17" s="26"/>
      <c r="L17" s="22"/>
      <c r="N17" s="771"/>
      <c r="O17" s="771"/>
      <c r="P17" s="773">
        <v>14</v>
      </c>
      <c r="Q17" s="770">
        <v>18.795857294285714</v>
      </c>
      <c r="R17" s="770">
        <v>18.168000220000003</v>
      </c>
      <c r="S17" s="770">
        <v>298.48543221428571</v>
      </c>
      <c r="T17" s="770">
        <v>156.28586031428571</v>
      </c>
      <c r="U17" s="770">
        <v>40.567142485714285</v>
      </c>
      <c r="V17" s="770">
        <v>21.36</v>
      </c>
      <c r="W17" s="770">
        <v>4.6619999238571435</v>
      </c>
      <c r="X17" s="770">
        <v>272.16142927142863</v>
      </c>
      <c r="Y17" s="770">
        <v>87.023999895714283</v>
      </c>
    </row>
    <row r="18" spans="1:25" ht="11.25" customHeight="1">
      <c r="A18" s="904" t="s">
        <v>548</v>
      </c>
      <c r="B18" s="904"/>
      <c r="C18" s="904"/>
      <c r="D18" s="904"/>
      <c r="E18" s="904"/>
      <c r="F18" s="904"/>
      <c r="G18" s="904"/>
      <c r="H18" s="904"/>
      <c r="I18" s="904"/>
      <c r="J18" s="904"/>
      <c r="K18" s="904"/>
      <c r="L18" s="904"/>
      <c r="N18" s="771"/>
      <c r="O18" s="771"/>
      <c r="P18" s="773">
        <v>15</v>
      </c>
      <c r="Q18" s="770">
        <v>16.380999974285714</v>
      </c>
      <c r="R18" s="770">
        <v>14.786285537142858</v>
      </c>
      <c r="S18" s="770">
        <v>196.30642698571427</v>
      </c>
      <c r="T18" s="770">
        <v>126.20242854857143</v>
      </c>
      <c r="U18" s="770">
        <v>27.609000341428576</v>
      </c>
      <c r="V18" s="770">
        <v>23.601429802857144</v>
      </c>
      <c r="W18" s="770">
        <v>2.5870000464285714</v>
      </c>
      <c r="X18" s="770">
        <v>174.17928642857143</v>
      </c>
      <c r="Y18" s="770">
        <v>56.692000798571428</v>
      </c>
    </row>
    <row r="19" spans="1:25" ht="11.25" customHeight="1">
      <c r="A19" s="25"/>
      <c r="B19" s="156"/>
      <c r="C19" s="132"/>
      <c r="D19" s="156"/>
      <c r="E19" s="156"/>
      <c r="F19" s="177"/>
      <c r="G19" s="178"/>
      <c r="H19" s="178"/>
      <c r="I19" s="179"/>
      <c r="J19" s="25"/>
      <c r="K19" s="26"/>
      <c r="L19" s="22"/>
      <c r="N19" s="771"/>
      <c r="O19" s="771">
        <v>16</v>
      </c>
      <c r="P19" s="773">
        <v>16</v>
      </c>
      <c r="Q19" s="770">
        <v>15.142857142857142</v>
      </c>
      <c r="R19" s="770">
        <v>11.113285608857142</v>
      </c>
      <c r="S19" s="770">
        <v>144.25785718571427</v>
      </c>
      <c r="T19" s="770">
        <v>112.32742854857143</v>
      </c>
      <c r="U19" s="770">
        <v>23.319143022857144</v>
      </c>
      <c r="V19" s="770">
        <v>16.145714351428573</v>
      </c>
      <c r="W19" s="770">
        <v>1.9568571534285717</v>
      </c>
      <c r="X19" s="770">
        <v>124.01500048571428</v>
      </c>
      <c r="Y19" s="770">
        <v>41.578285762857142</v>
      </c>
    </row>
    <row r="20" spans="1:25" ht="11.25" customHeight="1">
      <c r="A20" s="132"/>
      <c r="B20" s="156"/>
      <c r="C20" s="132"/>
      <c r="D20" s="156"/>
      <c r="E20" s="156"/>
      <c r="F20" s="177"/>
      <c r="G20" s="178"/>
      <c r="H20" s="178"/>
      <c r="I20" s="179"/>
      <c r="J20" s="25"/>
      <c r="K20" s="26"/>
      <c r="L20" s="22"/>
      <c r="N20" s="771"/>
      <c r="O20" s="771"/>
      <c r="P20" s="773">
        <v>17</v>
      </c>
      <c r="Q20" s="770">
        <v>14.535142626081141</v>
      </c>
      <c r="R20" s="770">
        <v>7.95871441704886</v>
      </c>
      <c r="S20" s="770">
        <v>118.61742946079741</v>
      </c>
      <c r="T20" s="770">
        <v>86.636999947684131</v>
      </c>
      <c r="U20" s="770">
        <v>19.662570953369116</v>
      </c>
      <c r="V20" s="770">
        <v>14.007261548723459</v>
      </c>
      <c r="W20" s="770">
        <v>2.0897142546517471</v>
      </c>
      <c r="X20" s="770">
        <v>109.72071402413471</v>
      </c>
      <c r="Y20" s="770">
        <v>32.277857099260544</v>
      </c>
    </row>
    <row r="21" spans="1:25" ht="11.25" customHeight="1">
      <c r="A21" s="132"/>
      <c r="B21" s="156"/>
      <c r="C21" s="132"/>
      <c r="D21" s="156"/>
      <c r="E21" s="156"/>
      <c r="F21" s="177"/>
      <c r="G21" s="178"/>
      <c r="H21" s="178"/>
      <c r="I21" s="179"/>
      <c r="J21" s="25"/>
      <c r="K21" s="29"/>
      <c r="L21" s="30"/>
      <c r="N21" s="771"/>
      <c r="O21" s="771"/>
      <c r="P21" s="773">
        <v>18</v>
      </c>
      <c r="Q21" s="770">
        <v>15.919285638571427</v>
      </c>
      <c r="R21" s="770">
        <v>12.133857388142859</v>
      </c>
      <c r="S21" s="770">
        <v>119.46943012857146</v>
      </c>
      <c r="T21" s="770">
        <v>95.79771531714286</v>
      </c>
      <c r="U21" s="770">
        <v>21.329571314285715</v>
      </c>
      <c r="V21" s="770">
        <v>12.484048571428572</v>
      </c>
      <c r="W21" s="770">
        <v>2.074857081857143</v>
      </c>
      <c r="X21" s="770">
        <v>121.69785745714287</v>
      </c>
      <c r="Y21" s="770">
        <v>27.218570980000003</v>
      </c>
    </row>
    <row r="22" spans="1:25" ht="11.25" customHeight="1">
      <c r="A22" s="137"/>
      <c r="B22" s="156"/>
      <c r="C22" s="132"/>
      <c r="D22" s="156"/>
      <c r="E22" s="156"/>
      <c r="F22" s="177"/>
      <c r="G22" s="178"/>
      <c r="H22" s="178"/>
      <c r="I22" s="179"/>
      <c r="J22" s="25"/>
      <c r="K22" s="26"/>
      <c r="L22" s="22"/>
      <c r="N22" s="771"/>
      <c r="O22" s="771"/>
      <c r="P22" s="773">
        <v>19</v>
      </c>
      <c r="Q22" s="770">
        <v>16.148714472857144</v>
      </c>
      <c r="R22" s="770">
        <v>14.776714189999998</v>
      </c>
      <c r="S22" s="770">
        <v>179.62085941428572</v>
      </c>
      <c r="T22" s="770">
        <v>63.654857091428575</v>
      </c>
      <c r="U22" s="770">
        <v>18.961428234285709</v>
      </c>
      <c r="V22" s="770">
        <v>11.436902861999998</v>
      </c>
      <c r="W22" s="770">
        <v>1.6491428614285712</v>
      </c>
      <c r="X22" s="770">
        <v>98.23285565285714</v>
      </c>
      <c r="Y22" s="770">
        <v>23.996714454285712</v>
      </c>
    </row>
    <row r="23" spans="1:25" ht="11.25" customHeight="1">
      <c r="A23" s="137"/>
      <c r="B23" s="156"/>
      <c r="C23" s="132"/>
      <c r="D23" s="156"/>
      <c r="E23" s="156"/>
      <c r="F23" s="177"/>
      <c r="G23" s="178"/>
      <c r="H23" s="178"/>
      <c r="I23" s="179"/>
      <c r="J23" s="25"/>
      <c r="K23" s="26"/>
      <c r="L23" s="22"/>
      <c r="N23" s="771"/>
      <c r="O23" s="771"/>
      <c r="P23" s="773">
        <v>20</v>
      </c>
      <c r="Q23" s="770">
        <v>13.91285719</v>
      </c>
      <c r="R23" s="770">
        <v>10.484285559</v>
      </c>
      <c r="S23" s="770">
        <v>132.41042655714287</v>
      </c>
      <c r="T23" s="770">
        <v>63.017857142857146</v>
      </c>
      <c r="U23" s="770">
        <v>17.724285941428572</v>
      </c>
      <c r="V23" s="770">
        <v>12.01881</v>
      </c>
      <c r="W23" s="770">
        <v>1.6491428614285712</v>
      </c>
      <c r="X23" s="770">
        <v>74.486427307142861</v>
      </c>
      <c r="Y23" s="770">
        <v>27.218570980000003</v>
      </c>
    </row>
    <row r="24" spans="1:25" ht="11.25" customHeight="1">
      <c r="A24" s="137"/>
      <c r="B24" s="156"/>
      <c r="C24" s="132"/>
      <c r="D24" s="156"/>
      <c r="E24" s="156"/>
      <c r="F24" s="177"/>
      <c r="G24" s="178"/>
      <c r="H24" s="178"/>
      <c r="I24" s="179"/>
      <c r="J24" s="26"/>
      <c r="K24" s="26"/>
      <c r="L24" s="22"/>
      <c r="N24" s="771"/>
      <c r="O24" s="771"/>
      <c r="P24" s="773">
        <v>21</v>
      </c>
      <c r="Q24" s="770">
        <v>12.832571710859</v>
      </c>
      <c r="R24" s="770">
        <v>8.7072857448032899</v>
      </c>
      <c r="S24" s="770">
        <v>118.96285901750787</v>
      </c>
      <c r="T24" s="770">
        <v>55.553428649902308</v>
      </c>
      <c r="U24" s="770">
        <v>14.547714369637587</v>
      </c>
      <c r="V24" s="770">
        <v>11.963334356035457</v>
      </c>
      <c r="W24" s="770">
        <v>1.6175714560917398</v>
      </c>
      <c r="X24" s="770">
        <v>66.354285648890865</v>
      </c>
      <c r="Y24" s="770">
        <v>17.639571326119512</v>
      </c>
    </row>
    <row r="25" spans="1:25" ht="11.25" customHeight="1">
      <c r="A25" s="137"/>
      <c r="B25" s="156"/>
      <c r="C25" s="132"/>
      <c r="D25" s="156"/>
      <c r="E25" s="156"/>
      <c r="F25" s="177"/>
      <c r="G25" s="178"/>
      <c r="H25" s="178"/>
      <c r="I25" s="179"/>
      <c r="J25" s="25"/>
      <c r="K25" s="29"/>
      <c r="L25" s="30"/>
      <c r="N25" s="771"/>
      <c r="O25" s="771"/>
      <c r="P25" s="773">
        <v>22</v>
      </c>
      <c r="Q25" s="770">
        <v>11.589857237142857</v>
      </c>
      <c r="R25" s="770">
        <v>7.6087141037142851</v>
      </c>
      <c r="S25" s="770">
        <v>92.527713229999989</v>
      </c>
      <c r="T25" s="770">
        <v>48.85114288285714</v>
      </c>
      <c r="U25" s="770">
        <v>12.851142882857143</v>
      </c>
      <c r="V25" s="770">
        <v>11.972144264285713</v>
      </c>
      <c r="W25" s="770">
        <v>1.7258571555714286</v>
      </c>
      <c r="X25" s="770">
        <v>60.742857795714293</v>
      </c>
      <c r="Y25" s="770">
        <v>13.389714241428573</v>
      </c>
    </row>
    <row r="26" spans="1:25" ht="11.25" customHeight="1">
      <c r="A26" s="137"/>
      <c r="B26" s="156"/>
      <c r="C26" s="132"/>
      <c r="D26" s="156"/>
      <c r="E26" s="156"/>
      <c r="F26" s="138"/>
      <c r="G26" s="138"/>
      <c r="H26" s="138"/>
      <c r="I26" s="138"/>
      <c r="J26" s="23"/>
      <c r="K26" s="26"/>
      <c r="L26" s="22"/>
      <c r="N26" s="771"/>
      <c r="O26" s="771"/>
      <c r="P26" s="773">
        <v>23</v>
      </c>
      <c r="Q26" s="770">
        <v>10.866000038571428</v>
      </c>
      <c r="R26" s="770">
        <v>6.6898570742857144</v>
      </c>
      <c r="S26" s="770">
        <v>86.262142725714284</v>
      </c>
      <c r="T26" s="770">
        <v>49.02971431142857</v>
      </c>
      <c r="U26" s="770">
        <v>13.300571305714286</v>
      </c>
      <c r="V26" s="770">
        <v>12.060297148571431</v>
      </c>
      <c r="W26" s="770">
        <v>2.2755714314285713</v>
      </c>
      <c r="X26" s="770">
        <v>60.932143074285719</v>
      </c>
      <c r="Y26" s="770">
        <v>13.06000001</v>
      </c>
    </row>
    <row r="27" spans="1:25" ht="11.25" customHeight="1">
      <c r="A27" s="137"/>
      <c r="B27" s="156"/>
      <c r="C27" s="132"/>
      <c r="D27" s="156"/>
      <c r="E27" s="156"/>
      <c r="F27" s="138"/>
      <c r="G27" s="138"/>
      <c r="H27" s="138"/>
      <c r="I27" s="138"/>
      <c r="J27" s="23"/>
      <c r="K27" s="26"/>
      <c r="L27" s="22"/>
      <c r="N27" s="771"/>
      <c r="O27" s="771">
        <v>24</v>
      </c>
      <c r="P27" s="773">
        <v>24</v>
      </c>
      <c r="Q27" s="770">
        <v>10.893428530011814</v>
      </c>
      <c r="R27" s="770">
        <v>6.3937142235892095</v>
      </c>
      <c r="S27" s="770">
        <v>80.154999869210343</v>
      </c>
      <c r="T27" s="770">
        <v>39.363000052315797</v>
      </c>
      <c r="U27" s="770">
        <v>11.205857140677287</v>
      </c>
      <c r="V27" s="770">
        <v>12.025059972490542</v>
      </c>
      <c r="W27" s="770">
        <v>2.2755714314324473</v>
      </c>
      <c r="X27" s="770">
        <v>56.771429334367994</v>
      </c>
      <c r="Y27" s="770">
        <v>10.094714164733857</v>
      </c>
    </row>
    <row r="28" spans="1:25" ht="11.25" customHeight="1">
      <c r="A28" s="136"/>
      <c r="B28" s="138"/>
      <c r="C28" s="138"/>
      <c r="D28" s="138"/>
      <c r="E28" s="138"/>
      <c r="F28" s="138"/>
      <c r="G28" s="138"/>
      <c r="H28" s="138"/>
      <c r="I28" s="138"/>
      <c r="J28" s="25"/>
      <c r="K28" s="26"/>
      <c r="L28" s="22"/>
      <c r="N28" s="771"/>
      <c r="O28" s="771"/>
      <c r="P28" s="773">
        <v>25</v>
      </c>
      <c r="Q28" s="770">
        <v>9.7685713087142858</v>
      </c>
      <c r="R28" s="770">
        <v>5.4858571460000007</v>
      </c>
      <c r="S28" s="770">
        <v>71.438000270000003</v>
      </c>
      <c r="T28" s="770">
        <v>31.88514287142857</v>
      </c>
      <c r="U28" s="770">
        <v>9.1724285395714276</v>
      </c>
      <c r="V28" s="770">
        <v>11.867550168571428</v>
      </c>
      <c r="W28" s="770">
        <v>1.7577142885714285</v>
      </c>
      <c r="X28" s="770">
        <v>51.780714305714291</v>
      </c>
      <c r="Y28" s="770">
        <v>9.1595716474285691</v>
      </c>
    </row>
    <row r="29" spans="1:25" ht="11.25" customHeight="1">
      <c r="A29" s="136"/>
      <c r="B29" s="138"/>
      <c r="C29" s="138"/>
      <c r="D29" s="138"/>
      <c r="E29" s="138"/>
      <c r="F29" s="138"/>
      <c r="G29" s="138"/>
      <c r="H29" s="138"/>
      <c r="I29" s="138"/>
      <c r="J29" s="25"/>
      <c r="K29" s="26"/>
      <c r="L29" s="22"/>
      <c r="N29" s="771"/>
      <c r="O29" s="771"/>
      <c r="P29" s="773">
        <v>26</v>
      </c>
      <c r="Q29" s="770">
        <v>9.3011428291428579</v>
      </c>
      <c r="R29" s="770">
        <v>5.6422856875714285</v>
      </c>
      <c r="S29" s="770">
        <v>70.798141479999998</v>
      </c>
      <c r="T29" s="770">
        <v>29.80342864857143</v>
      </c>
      <c r="U29" s="770">
        <v>8.6642858641428564</v>
      </c>
      <c r="V29" s="770">
        <v>11.961507115714285</v>
      </c>
      <c r="W29" s="770">
        <v>1.7387143204285713</v>
      </c>
      <c r="X29" s="770">
        <v>47.265713828571435</v>
      </c>
      <c r="Y29" s="770">
        <v>8.8348572594285706</v>
      </c>
    </row>
    <row r="30" spans="1:25" ht="11.25" customHeight="1">
      <c r="A30" s="136"/>
      <c r="B30" s="138"/>
      <c r="C30" s="138"/>
      <c r="D30" s="138"/>
      <c r="E30" s="138"/>
      <c r="F30" s="138"/>
      <c r="G30" s="138"/>
      <c r="H30" s="138"/>
      <c r="I30" s="138"/>
      <c r="J30" s="25"/>
      <c r="K30" s="26"/>
      <c r="L30" s="22"/>
      <c r="N30" s="771"/>
      <c r="O30" s="771"/>
      <c r="P30" s="773">
        <v>27</v>
      </c>
      <c r="Q30" s="770">
        <v>9.0898572376796078</v>
      </c>
      <c r="R30" s="770">
        <v>4.8411428587777223</v>
      </c>
      <c r="S30" s="770">
        <v>72.323284694126613</v>
      </c>
      <c r="T30" s="770">
        <v>28.875142778669062</v>
      </c>
      <c r="U30" s="770">
        <v>8.3150001253400507</v>
      </c>
      <c r="V30" s="770">
        <v>12.125935554504371</v>
      </c>
      <c r="W30" s="770">
        <v>2.0545714242117699</v>
      </c>
      <c r="X30" s="770">
        <v>44.601428440638877</v>
      </c>
      <c r="Y30" s="770">
        <v>8.4665715353829452</v>
      </c>
    </row>
    <row r="31" spans="1:25" ht="11.25" customHeight="1">
      <c r="A31" s="136"/>
      <c r="B31" s="138"/>
      <c r="C31" s="138"/>
      <c r="D31" s="138"/>
      <c r="E31" s="138"/>
      <c r="F31" s="138"/>
      <c r="G31" s="138"/>
      <c r="H31" s="138"/>
      <c r="I31" s="138"/>
      <c r="J31" s="25"/>
      <c r="K31" s="26"/>
      <c r="L31" s="22"/>
      <c r="N31" s="771"/>
      <c r="O31" s="771"/>
      <c r="P31" s="773">
        <v>28</v>
      </c>
      <c r="Q31" s="770">
        <v>8.3315715788571421</v>
      </c>
      <c r="R31" s="770">
        <v>4.0902857780000001</v>
      </c>
      <c r="S31" s="770">
        <v>70.352427891428562</v>
      </c>
      <c r="T31" s="770">
        <v>27.071428571428573</v>
      </c>
      <c r="U31" s="770">
        <v>7.9792855807142846</v>
      </c>
      <c r="V31" s="770">
        <v>12.036131450000001</v>
      </c>
      <c r="W31" s="770">
        <v>1.862857103571429</v>
      </c>
      <c r="X31" s="770">
        <v>42.742857252857149</v>
      </c>
      <c r="Y31" s="770">
        <v>7.6952857290000001</v>
      </c>
    </row>
    <row r="32" spans="1:25" ht="11.25" customHeight="1">
      <c r="A32" s="136"/>
      <c r="B32" s="138"/>
      <c r="C32" s="138"/>
      <c r="D32" s="138"/>
      <c r="E32" s="138"/>
      <c r="F32" s="138"/>
      <c r="G32" s="138"/>
      <c r="H32" s="138"/>
      <c r="I32" s="138"/>
      <c r="J32" s="26"/>
      <c r="K32" s="26"/>
      <c r="L32" s="22"/>
      <c r="N32" s="771"/>
      <c r="O32" s="771"/>
      <c r="P32" s="773">
        <v>29</v>
      </c>
      <c r="Q32" s="770">
        <v>8.7399999755714273</v>
      </c>
      <c r="R32" s="770">
        <v>3.3690000857142857</v>
      </c>
      <c r="S32" s="770">
        <v>69.363000051428585</v>
      </c>
      <c r="T32" s="770">
        <v>26.369142805714286</v>
      </c>
      <c r="U32" s="770">
        <v>7.2952857698571441</v>
      </c>
      <c r="V32" s="770">
        <v>12.01250158142857</v>
      </c>
      <c r="W32" s="770">
        <v>2.1428571427142855</v>
      </c>
      <c r="X32" s="770">
        <v>40.262857164285712</v>
      </c>
      <c r="Y32" s="770">
        <v>7.1297142847142867</v>
      </c>
    </row>
    <row r="33" spans="1:25" ht="11.25" customHeight="1">
      <c r="A33" s="136"/>
      <c r="B33" s="138"/>
      <c r="C33" s="138"/>
      <c r="D33" s="138"/>
      <c r="E33" s="138"/>
      <c r="F33" s="138"/>
      <c r="G33" s="138"/>
      <c r="H33" s="138"/>
      <c r="I33" s="138"/>
      <c r="J33" s="25"/>
      <c r="K33" s="26"/>
      <c r="L33" s="22"/>
      <c r="N33" s="771"/>
      <c r="O33" s="771"/>
      <c r="P33" s="773">
        <v>30</v>
      </c>
      <c r="Q33" s="770">
        <v>8.2612857819999999</v>
      </c>
      <c r="R33" s="770">
        <v>3.9334286622857135</v>
      </c>
      <c r="S33" s="770">
        <v>68.101856775714282</v>
      </c>
      <c r="T33" s="770">
        <v>23.077571325714285</v>
      </c>
      <c r="U33" s="770">
        <v>7.5452858379999999</v>
      </c>
      <c r="V33" s="770">
        <v>12.065415654285715</v>
      </c>
      <c r="W33" s="770">
        <v>2.0148571899999999</v>
      </c>
      <c r="X33" s="770">
        <v>39.827141895714291</v>
      </c>
      <c r="Y33" s="770">
        <v>8.1214285577142853</v>
      </c>
    </row>
    <row r="34" spans="1:25" ht="11.25" customHeight="1">
      <c r="A34" s="136"/>
      <c r="B34" s="138"/>
      <c r="C34" s="138"/>
      <c r="D34" s="138"/>
      <c r="E34" s="138"/>
      <c r="F34" s="138"/>
      <c r="G34" s="138"/>
      <c r="H34" s="138"/>
      <c r="I34" s="138"/>
      <c r="J34" s="25"/>
      <c r="K34" s="34"/>
      <c r="L34" s="22"/>
      <c r="N34" s="771"/>
      <c r="O34" s="771"/>
      <c r="P34" s="773">
        <v>31</v>
      </c>
      <c r="Q34" s="770">
        <v>7.5295715331428577</v>
      </c>
      <c r="R34" s="770">
        <v>3.8718570981428577</v>
      </c>
      <c r="S34" s="770">
        <v>66.163572037142856</v>
      </c>
      <c r="T34" s="770">
        <v>20.36314283098493</v>
      </c>
      <c r="U34" s="770">
        <v>7.1267142297142865</v>
      </c>
      <c r="V34" s="770">
        <v>12.064045632857143</v>
      </c>
      <c r="W34" s="770">
        <v>2.0708571672857143</v>
      </c>
      <c r="X34" s="770">
        <v>37.761428834285709</v>
      </c>
      <c r="Y34" s="770">
        <v>8.1097143717142863</v>
      </c>
    </row>
    <row r="35" spans="1:25" ht="11.25" customHeight="1">
      <c r="A35" s="136"/>
      <c r="B35" s="138"/>
      <c r="C35" s="138"/>
      <c r="D35" s="138"/>
      <c r="E35" s="138"/>
      <c r="F35" s="138"/>
      <c r="G35" s="138"/>
      <c r="H35" s="138"/>
      <c r="I35" s="138"/>
      <c r="J35" s="25"/>
      <c r="K35" s="34"/>
      <c r="L35" s="38"/>
      <c r="N35" s="771"/>
      <c r="O35" s="771">
        <v>32</v>
      </c>
      <c r="P35" s="773">
        <v>32</v>
      </c>
      <c r="Q35" s="770">
        <v>7.1332857268197154</v>
      </c>
      <c r="R35" s="770">
        <v>3.9694285733359158</v>
      </c>
      <c r="S35" s="770">
        <v>69.589143480573355</v>
      </c>
      <c r="T35" s="770">
        <v>20.36</v>
      </c>
      <c r="U35" s="770">
        <v>6.828428472791396</v>
      </c>
      <c r="V35" s="770">
        <v>11.89809417724604</v>
      </c>
      <c r="W35" s="770">
        <v>1.7728571551186658</v>
      </c>
      <c r="X35" s="770">
        <v>37.760714394705587</v>
      </c>
      <c r="Y35" s="770">
        <v>10.538714272635294</v>
      </c>
    </row>
    <row r="36" spans="1:25" ht="11.25" customHeight="1">
      <c r="A36" s="136"/>
      <c r="B36" s="138"/>
      <c r="C36" s="138"/>
      <c r="D36" s="138"/>
      <c r="E36" s="138"/>
      <c r="F36" s="138"/>
      <c r="G36" s="138"/>
      <c r="H36" s="138"/>
      <c r="I36" s="138"/>
      <c r="J36" s="25"/>
      <c r="K36" s="29"/>
      <c r="L36" s="22"/>
      <c r="N36" s="771"/>
      <c r="O36" s="771"/>
      <c r="P36" s="773">
        <v>33</v>
      </c>
      <c r="Q36" s="770">
        <v>7.307000092</v>
      </c>
      <c r="R36" s="770">
        <v>4.0542857307142848</v>
      </c>
      <c r="S36" s="770">
        <v>67.52914374142857</v>
      </c>
      <c r="T36" s="770">
        <v>23.369000025714286</v>
      </c>
      <c r="U36" s="770">
        <v>6.6690000125714279</v>
      </c>
      <c r="V36" s="770">
        <v>11.954105787142856</v>
      </c>
      <c r="W36" s="770">
        <v>1.7154285907142857</v>
      </c>
      <c r="X36" s="770">
        <v>38.402142115714284</v>
      </c>
      <c r="Y36" s="770">
        <v>6.1292857952857149</v>
      </c>
    </row>
    <row r="37" spans="1:25" ht="11.25" customHeight="1">
      <c r="A37" s="136"/>
      <c r="B37" s="138"/>
      <c r="C37" s="138"/>
      <c r="D37" s="138"/>
      <c r="E37" s="138"/>
      <c r="F37" s="138"/>
      <c r="G37" s="138"/>
      <c r="H37" s="138"/>
      <c r="I37" s="138"/>
      <c r="J37" s="25"/>
      <c r="K37" s="29"/>
      <c r="L37" s="22"/>
      <c r="N37" s="771"/>
      <c r="O37" s="771"/>
      <c r="P37" s="773">
        <v>34</v>
      </c>
      <c r="Q37" s="770">
        <v>6.8864285605714288</v>
      </c>
      <c r="R37" s="770">
        <v>3.8852857181428568</v>
      </c>
      <c r="S37" s="770">
        <v>67.307859692857136</v>
      </c>
      <c r="T37" s="770">
        <v>24.434428622857144</v>
      </c>
      <c r="U37" s="770">
        <v>6.6477142742857138</v>
      </c>
      <c r="V37" s="770">
        <v>11.958392961428572</v>
      </c>
      <c r="W37" s="770">
        <v>2.26100002</v>
      </c>
      <c r="X37" s="770">
        <v>36.792856487142856</v>
      </c>
      <c r="Y37" s="770">
        <v>6.0765714645714288</v>
      </c>
    </row>
    <row r="38" spans="1:25" ht="11.25" customHeight="1">
      <c r="A38" s="136"/>
      <c r="B38" s="138"/>
      <c r="C38" s="138"/>
      <c r="D38" s="138"/>
      <c r="E38" s="138"/>
      <c r="F38" s="138"/>
      <c r="G38" s="138"/>
      <c r="H38" s="138"/>
      <c r="I38" s="138"/>
      <c r="J38" s="25"/>
      <c r="K38" s="29"/>
      <c r="L38" s="22"/>
      <c r="N38" s="771"/>
      <c r="O38" s="771"/>
      <c r="P38" s="773">
        <v>35</v>
      </c>
      <c r="Q38" s="770">
        <v>6.9537143707275364</v>
      </c>
      <c r="R38" s="770">
        <v>3.3560000147138283</v>
      </c>
      <c r="S38" s="770">
        <v>62.870428357805473</v>
      </c>
      <c r="T38" s="770">
        <v>21.077428545270632</v>
      </c>
      <c r="U38" s="770">
        <v>6.0071428843906904</v>
      </c>
      <c r="V38" s="770">
        <v>12.309941428048228</v>
      </c>
      <c r="W38" s="770">
        <v>1.5178571258272411</v>
      </c>
      <c r="X38" s="770">
        <v>37.991428375244077</v>
      </c>
      <c r="Y38" s="770">
        <v>5.9287142923900031</v>
      </c>
    </row>
    <row r="39" spans="1:25" ht="11.25" customHeight="1">
      <c r="N39" s="771"/>
      <c r="O39" s="771"/>
      <c r="P39" s="773">
        <v>36</v>
      </c>
      <c r="Q39" s="770">
        <v>6.8990000316074882</v>
      </c>
      <c r="R39" s="770">
        <v>3.1212857110159686</v>
      </c>
      <c r="S39" s="770">
        <v>65.621286119733483</v>
      </c>
      <c r="T39" s="770">
        <v>23.857142857142815</v>
      </c>
      <c r="U39" s="770">
        <v>6.0528572627476231</v>
      </c>
      <c r="V39" s="770">
        <v>12.697084290640644</v>
      </c>
      <c r="W39" s="770">
        <v>1.0650000040020247</v>
      </c>
      <c r="X39" s="770">
        <v>40.24999999999995</v>
      </c>
      <c r="Y39" s="770">
        <v>6.6625714302062962</v>
      </c>
    </row>
    <row r="40" spans="1:25" ht="11.25" customHeight="1">
      <c r="A40" s="904" t="s">
        <v>547</v>
      </c>
      <c r="B40" s="904"/>
      <c r="C40" s="904"/>
      <c r="D40" s="904"/>
      <c r="E40" s="904"/>
      <c r="F40" s="904"/>
      <c r="G40" s="904"/>
      <c r="H40" s="904"/>
      <c r="I40" s="904"/>
      <c r="J40" s="904"/>
      <c r="K40" s="904"/>
      <c r="L40" s="904"/>
      <c r="N40" s="771"/>
      <c r="O40" s="771"/>
      <c r="P40" s="773">
        <v>37</v>
      </c>
      <c r="Q40" s="770">
        <v>6.6838571003505107</v>
      </c>
      <c r="R40" s="770">
        <v>3.6978571414947474</v>
      </c>
      <c r="S40" s="770">
        <v>65.927430289132204</v>
      </c>
      <c r="T40" s="770">
        <v>21.696428571428545</v>
      </c>
      <c r="U40" s="770">
        <v>5.992857115609298</v>
      </c>
      <c r="V40" s="770">
        <v>12.722499983651257</v>
      </c>
      <c r="W40" s="770">
        <v>1.5737142903464156</v>
      </c>
      <c r="X40" s="770">
        <v>41.220714024135006</v>
      </c>
      <c r="Y40" s="770">
        <v>6.7525714465549971</v>
      </c>
    </row>
    <row r="41" spans="1:25" ht="11.25" customHeight="1">
      <c r="N41" s="771"/>
      <c r="O41" s="771"/>
      <c r="P41" s="773">
        <v>38</v>
      </c>
      <c r="Q41" s="770">
        <v>7.5399999618530247</v>
      </c>
      <c r="R41" s="770">
        <v>4.336428608285714</v>
      </c>
      <c r="S41" s="770">
        <v>68.259427751813561</v>
      </c>
      <c r="T41" s="770">
        <v>32.958285740443614</v>
      </c>
      <c r="U41" s="770">
        <v>6.3054285049438423</v>
      </c>
      <c r="V41" s="770">
        <v>12.757261548723429</v>
      </c>
      <c r="W41" s="770">
        <v>1.6808571304593714</v>
      </c>
      <c r="X41" s="770">
        <v>38.451428549630243</v>
      </c>
      <c r="Y41" s="770">
        <v>6.3287143026079411</v>
      </c>
    </row>
    <row r="42" spans="1:25" ht="11.25" customHeight="1">
      <c r="A42" s="136"/>
      <c r="B42" s="138"/>
      <c r="C42" s="138"/>
      <c r="D42" s="138"/>
      <c r="E42" s="138"/>
      <c r="F42" s="138"/>
      <c r="G42" s="138"/>
      <c r="H42" s="138"/>
      <c r="I42" s="138"/>
      <c r="N42" s="771"/>
      <c r="O42" s="771"/>
      <c r="P42" s="773">
        <v>39</v>
      </c>
      <c r="Q42" s="770">
        <v>6.875</v>
      </c>
      <c r="R42" s="770">
        <v>3.7</v>
      </c>
      <c r="S42" s="770">
        <v>75.159429278571437</v>
      </c>
      <c r="T42" s="770">
        <v>41.827428545714284</v>
      </c>
      <c r="U42" s="770">
        <v>7.6855713981428568</v>
      </c>
      <c r="V42" s="770">
        <v>12.744882855714284</v>
      </c>
      <c r="W42" s="770">
        <v>1.6871428661428571</v>
      </c>
      <c r="X42" s="770">
        <v>41.307143075714286</v>
      </c>
      <c r="Y42" s="770">
        <v>7.4534285069999999</v>
      </c>
    </row>
    <row r="43" spans="1:25" ht="11.25" customHeight="1">
      <c r="A43" s="136"/>
      <c r="B43" s="138"/>
      <c r="C43" s="138"/>
      <c r="D43" s="138"/>
      <c r="E43" s="138"/>
      <c r="F43" s="138"/>
      <c r="G43" s="138"/>
      <c r="H43" s="138"/>
      <c r="I43" s="138"/>
      <c r="N43" s="771"/>
      <c r="O43" s="771">
        <v>40</v>
      </c>
      <c r="P43" s="773">
        <v>40</v>
      </c>
      <c r="Q43" s="770">
        <v>6.0911429268571426</v>
      </c>
      <c r="R43" s="770">
        <v>3.501428569857143</v>
      </c>
      <c r="S43" s="770">
        <v>73.523286004285723</v>
      </c>
      <c r="T43" s="770">
        <v>30.178571428571427</v>
      </c>
      <c r="U43" s="770">
        <v>7.8047143392857157</v>
      </c>
      <c r="V43" s="770">
        <v>13.59601129857143</v>
      </c>
      <c r="W43" s="770">
        <v>1.6130000010000001</v>
      </c>
      <c r="X43" s="770">
        <v>45.036428724285713</v>
      </c>
      <c r="Y43" s="770">
        <v>6.0369999748571432</v>
      </c>
    </row>
    <row r="44" spans="1:25" ht="11.25" customHeight="1">
      <c r="A44" s="136"/>
      <c r="B44" s="138"/>
      <c r="C44" s="138"/>
      <c r="D44" s="138"/>
      <c r="E44" s="138"/>
      <c r="F44" s="138"/>
      <c r="G44" s="138"/>
      <c r="H44" s="138"/>
      <c r="I44" s="138"/>
      <c r="N44" s="771"/>
      <c r="O44" s="771"/>
      <c r="P44" s="773">
        <v>41</v>
      </c>
      <c r="Q44" s="770">
        <v>5.8652857372857152</v>
      </c>
      <c r="R44" s="770">
        <v>4.2169999735714283</v>
      </c>
      <c r="S44" s="770">
        <v>67.761285509999993</v>
      </c>
      <c r="T44" s="770">
        <v>24.547571454285713</v>
      </c>
      <c r="U44" s="770">
        <v>6.762428624428571</v>
      </c>
      <c r="V44" s="770">
        <v>13.258037294285714</v>
      </c>
      <c r="W44" s="770">
        <v>1.8452857051428571</v>
      </c>
      <c r="X44" s="770">
        <v>44.255714417142862</v>
      </c>
      <c r="Y44" s="770">
        <v>6.8767141612857143</v>
      </c>
    </row>
    <row r="45" spans="1:25" ht="11.25" customHeight="1">
      <c r="A45" s="136"/>
      <c r="B45" s="138"/>
      <c r="C45" s="138"/>
      <c r="D45" s="138"/>
      <c r="E45" s="138"/>
      <c r="F45" s="138"/>
      <c r="G45" s="138"/>
      <c r="H45" s="138"/>
      <c r="I45" s="138"/>
      <c r="N45" s="771"/>
      <c r="O45" s="771"/>
      <c r="P45" s="773">
        <v>42</v>
      </c>
      <c r="Q45" s="770">
        <v>6.6280000550406255</v>
      </c>
      <c r="R45" s="770">
        <v>4.7599999564034556</v>
      </c>
      <c r="S45" s="770">
        <v>71.132857186453606</v>
      </c>
      <c r="T45" s="770">
        <v>41.773857116699205</v>
      </c>
      <c r="U45" s="770">
        <v>7.8334286553519048</v>
      </c>
      <c r="V45" s="770">
        <v>12.748987061636742</v>
      </c>
      <c r="W45" s="770">
        <v>1.9990000043596503</v>
      </c>
      <c r="X45" s="770">
        <v>49.407857077462303</v>
      </c>
      <c r="Y45" s="770">
        <v>6.4478571755545433</v>
      </c>
    </row>
    <row r="46" spans="1:25" ht="11.25" customHeight="1">
      <c r="A46" s="136"/>
      <c r="B46" s="138"/>
      <c r="C46" s="138"/>
      <c r="D46" s="138"/>
      <c r="E46" s="138"/>
      <c r="F46" s="138"/>
      <c r="G46" s="138"/>
      <c r="H46" s="138"/>
      <c r="I46" s="138"/>
      <c r="N46" s="771"/>
      <c r="O46" s="771"/>
      <c r="P46" s="773">
        <v>43</v>
      </c>
      <c r="Q46" s="770">
        <v>7.1351429394285715</v>
      </c>
      <c r="R46" s="770">
        <v>5.693714175857143</v>
      </c>
      <c r="S46" s="770">
        <v>76.869857788571409</v>
      </c>
      <c r="T46" s="770">
        <v>39.60114288285714</v>
      </c>
      <c r="U46" s="770">
        <v>6.4934286387142857</v>
      </c>
      <c r="V46" s="770">
        <v>12.771309988571426</v>
      </c>
      <c r="W46" s="770">
        <v>1.5481428758571429</v>
      </c>
      <c r="X46" s="770">
        <v>49.056428090000004</v>
      </c>
      <c r="Y46" s="770">
        <v>6.2457143240000006</v>
      </c>
    </row>
    <row r="47" spans="1:25" ht="11.25" customHeight="1">
      <c r="A47" s="136"/>
      <c r="B47" s="138"/>
      <c r="C47" s="138"/>
      <c r="D47" s="138"/>
      <c r="E47" s="138"/>
      <c r="F47" s="138"/>
      <c r="G47" s="138"/>
      <c r="H47" s="138"/>
      <c r="I47" s="138"/>
      <c r="N47" s="771"/>
      <c r="O47" s="771"/>
      <c r="P47" s="773">
        <v>44</v>
      </c>
      <c r="Q47" s="770">
        <v>6.1070000102857147</v>
      </c>
      <c r="R47" s="770">
        <v>4.3958570957142857</v>
      </c>
      <c r="S47" s="770">
        <v>68.664999825714276</v>
      </c>
      <c r="T47" s="770">
        <v>36.702285765714286</v>
      </c>
      <c r="U47" s="770">
        <v>5.6301428931428577</v>
      </c>
      <c r="V47" s="770">
        <v>13.156308445714286</v>
      </c>
      <c r="W47" s="770">
        <v>1.4392857041428573</v>
      </c>
      <c r="X47" s="770">
        <v>48.241428374285711</v>
      </c>
      <c r="Y47" s="770">
        <v>6.5374285491428568</v>
      </c>
    </row>
    <row r="48" spans="1:25">
      <c r="A48" s="136"/>
      <c r="B48" s="138"/>
      <c r="C48" s="138"/>
      <c r="D48" s="138"/>
      <c r="E48" s="138"/>
      <c r="F48" s="138"/>
      <c r="G48" s="138"/>
      <c r="H48" s="138"/>
      <c r="I48" s="138"/>
      <c r="N48" s="771"/>
      <c r="O48" s="771"/>
      <c r="P48" s="773">
        <v>45</v>
      </c>
      <c r="Q48" s="770">
        <v>5.6735714502857144</v>
      </c>
      <c r="R48" s="770">
        <v>4.5134285178571432</v>
      </c>
      <c r="S48" s="770">
        <v>62.049999781428575</v>
      </c>
      <c r="T48" s="770">
        <v>27.797571454285713</v>
      </c>
      <c r="U48" s="770">
        <v>5.3054286411428562</v>
      </c>
      <c r="V48" s="770">
        <v>12.687737055714285</v>
      </c>
      <c r="W48" s="770">
        <v>1.380714297142857</v>
      </c>
      <c r="X48" s="770">
        <v>46.33071463571428</v>
      </c>
      <c r="Y48" s="770">
        <v>6.183142798285715</v>
      </c>
    </row>
    <row r="49" spans="1:25">
      <c r="A49" s="136"/>
      <c r="B49" s="138"/>
      <c r="C49" s="138"/>
      <c r="D49" s="138"/>
      <c r="E49" s="138"/>
      <c r="F49" s="138"/>
      <c r="G49" s="138"/>
      <c r="H49" s="138"/>
      <c r="I49" s="138"/>
      <c r="N49" s="771"/>
      <c r="O49" s="771"/>
      <c r="P49" s="773">
        <v>46</v>
      </c>
      <c r="Q49" s="770">
        <v>5.9637143271428581</v>
      </c>
      <c r="R49" s="770">
        <v>5.3014286587142854</v>
      </c>
      <c r="S49" s="770">
        <v>57.546571460000003</v>
      </c>
      <c r="T49" s="770">
        <v>32.208285740000001</v>
      </c>
      <c r="U49" s="770">
        <v>5.1785714285714288</v>
      </c>
      <c r="V49" s="770">
        <v>13.157975741428572</v>
      </c>
      <c r="W49" s="770">
        <v>1.3845714331428574</v>
      </c>
      <c r="X49" s="770">
        <v>44.693571362857142</v>
      </c>
      <c r="Y49" s="770">
        <v>7.3267143794285712</v>
      </c>
    </row>
    <row r="50" spans="1:25">
      <c r="A50" s="136"/>
      <c r="B50" s="138"/>
      <c r="C50" s="138"/>
      <c r="D50" s="138"/>
      <c r="E50" s="138"/>
      <c r="F50" s="138"/>
      <c r="G50" s="138"/>
      <c r="H50" s="138"/>
      <c r="I50" s="138"/>
      <c r="N50" s="771"/>
      <c r="O50" s="771"/>
      <c r="P50" s="773">
        <v>47</v>
      </c>
      <c r="Q50" s="770">
        <v>6.7792857034285712</v>
      </c>
      <c r="R50" s="770">
        <v>3.8094285555714285</v>
      </c>
      <c r="S50" s="770">
        <v>56.944714135714285</v>
      </c>
      <c r="T50" s="770">
        <v>25.351285662857144</v>
      </c>
      <c r="U50" s="770">
        <v>6.1274285315714279</v>
      </c>
      <c r="V50" s="770">
        <v>12.246785572857144</v>
      </c>
      <c r="W50" s="770">
        <v>1.5065714290000003</v>
      </c>
      <c r="X50" s="770">
        <v>42.967857361428564</v>
      </c>
      <c r="Y50" s="770">
        <v>9.6325714934285713</v>
      </c>
    </row>
    <row r="51" spans="1:25">
      <c r="A51" s="136"/>
      <c r="B51" s="138"/>
      <c r="C51" s="138"/>
      <c r="D51" s="138"/>
      <c r="E51" s="138"/>
      <c r="F51" s="138"/>
      <c r="G51" s="138"/>
      <c r="H51" s="138"/>
      <c r="I51" s="138"/>
      <c r="N51" s="771"/>
      <c r="O51" s="771"/>
      <c r="P51" s="773">
        <v>48</v>
      </c>
      <c r="Q51" s="770">
        <v>8.2138571738571429</v>
      </c>
      <c r="R51" s="770">
        <v>5.0787143024285717</v>
      </c>
      <c r="S51" s="770">
        <v>56.829999651428572</v>
      </c>
      <c r="T51" s="770">
        <v>37.994142805714283</v>
      </c>
      <c r="U51" s="770">
        <v>8.188285623714286</v>
      </c>
      <c r="V51" s="770">
        <v>13.367501529999998</v>
      </c>
      <c r="W51" s="770">
        <v>1.0268571504285715</v>
      </c>
      <c r="X51" s="770">
        <v>63.644285474285716</v>
      </c>
      <c r="Y51" s="770">
        <v>13.102857045714286</v>
      </c>
    </row>
    <row r="52" spans="1:25">
      <c r="A52" s="136"/>
      <c r="B52" s="138"/>
      <c r="C52" s="138"/>
      <c r="D52" s="138"/>
      <c r="E52" s="138"/>
      <c r="F52" s="138"/>
      <c r="G52" s="138"/>
      <c r="H52" s="138"/>
      <c r="I52" s="138"/>
      <c r="N52" s="771"/>
      <c r="O52" s="771"/>
      <c r="P52" s="773">
        <v>49</v>
      </c>
      <c r="Q52" s="770">
        <v>17.68042864142857</v>
      </c>
      <c r="R52" s="770">
        <v>12.998142924285714</v>
      </c>
      <c r="S52" s="770">
        <v>90.966000160000007</v>
      </c>
      <c r="T52" s="770">
        <v>88.630856108571422</v>
      </c>
      <c r="U52" s="770">
        <v>14.530285971857142</v>
      </c>
      <c r="V52" s="770">
        <v>13.053452899999998</v>
      </c>
      <c r="W52" s="770">
        <v>1.0737142817142857</v>
      </c>
      <c r="X52" s="770">
        <v>90.734285625714293</v>
      </c>
      <c r="Y52" s="770">
        <v>17.667142595714285</v>
      </c>
    </row>
    <row r="53" spans="1:25">
      <c r="A53" s="136"/>
      <c r="B53" s="138"/>
      <c r="C53" s="138"/>
      <c r="D53" s="138"/>
      <c r="E53" s="138"/>
      <c r="F53" s="138"/>
      <c r="G53" s="138"/>
      <c r="H53" s="138"/>
      <c r="I53" s="138"/>
      <c r="N53" s="771"/>
      <c r="O53" s="771"/>
      <c r="P53" s="773">
        <v>50</v>
      </c>
      <c r="Q53" s="770">
        <v>12.617142812857141</v>
      </c>
      <c r="R53" s="770">
        <v>11.908142771714285</v>
      </c>
      <c r="S53" s="770">
        <v>83.198000225714296</v>
      </c>
      <c r="T53" s="770">
        <v>44.297571454285716</v>
      </c>
      <c r="U53" s="770">
        <v>9.220428467142856</v>
      </c>
      <c r="V53" s="770">
        <v>13.068511554285712</v>
      </c>
      <c r="W53" s="770">
        <v>1.2921428212857144</v>
      </c>
      <c r="X53" s="770">
        <v>57.20714296714285</v>
      </c>
      <c r="Y53" s="770">
        <v>14.238999775714285</v>
      </c>
    </row>
    <row r="54" spans="1:25">
      <c r="A54" s="136"/>
      <c r="B54" s="138"/>
      <c r="C54" s="138"/>
      <c r="D54" s="138"/>
      <c r="E54" s="138"/>
      <c r="F54" s="138"/>
      <c r="G54" s="138"/>
      <c r="H54" s="138"/>
      <c r="I54" s="138"/>
      <c r="N54" s="771"/>
      <c r="O54" s="771"/>
      <c r="P54" s="773">
        <v>51</v>
      </c>
      <c r="Q54" s="770">
        <v>19.502285685714288</v>
      </c>
      <c r="R54" s="770">
        <v>17.91042859142857</v>
      </c>
      <c r="S54" s="770">
        <v>93.582571842857163</v>
      </c>
      <c r="T54" s="770">
        <v>77.60742949714286</v>
      </c>
      <c r="U54" s="770">
        <v>9.7118571817142847</v>
      </c>
      <c r="V54" s="770">
        <v>12.987917082857143</v>
      </c>
      <c r="W54" s="770">
        <v>1.2780000142857142</v>
      </c>
      <c r="X54" s="770">
        <v>76.025713785714288</v>
      </c>
      <c r="Y54" s="770">
        <v>17.224714688571428</v>
      </c>
    </row>
    <row r="55" spans="1:25">
      <c r="A55" s="136"/>
      <c r="B55" s="138"/>
      <c r="C55" s="138"/>
      <c r="D55" s="138"/>
      <c r="E55" s="138"/>
      <c r="F55" s="138"/>
      <c r="G55" s="138"/>
      <c r="H55" s="138"/>
      <c r="I55" s="138"/>
      <c r="N55" s="771"/>
      <c r="O55" s="771">
        <v>52</v>
      </c>
      <c r="P55" s="773">
        <v>52</v>
      </c>
      <c r="Q55" s="770">
        <v>24.478714262857146</v>
      </c>
      <c r="R55" s="770">
        <v>20.052142824285713</v>
      </c>
      <c r="S55" s="770">
        <v>198.89756992857141</v>
      </c>
      <c r="T55" s="770">
        <v>158.34513965714288</v>
      </c>
      <c r="U55" s="770">
        <v>34.910285677142852</v>
      </c>
      <c r="V55" s="770">
        <v>18.967856814285714</v>
      </c>
      <c r="W55" s="770">
        <v>7.1757142371428566</v>
      </c>
      <c r="X55" s="770">
        <v>180.25785610000003</v>
      </c>
      <c r="Y55" s="770">
        <v>54.019857132857133</v>
      </c>
    </row>
    <row r="56" spans="1:25">
      <c r="A56" s="136"/>
      <c r="B56" s="138"/>
      <c r="C56" s="138"/>
      <c r="D56" s="138"/>
      <c r="E56" s="138"/>
      <c r="F56" s="138"/>
      <c r="G56" s="138"/>
      <c r="H56" s="138"/>
      <c r="I56" s="138"/>
      <c r="N56" s="771">
        <v>2021</v>
      </c>
      <c r="O56" s="771"/>
      <c r="P56" s="773">
        <v>1</v>
      </c>
      <c r="Q56" s="770">
        <v>32.471142904285713</v>
      </c>
      <c r="R56" s="770">
        <v>23.040428705714284</v>
      </c>
      <c r="S56" s="770">
        <v>363.19999692857135</v>
      </c>
      <c r="T56" s="770">
        <v>212.58328465714288</v>
      </c>
      <c r="U56" s="770">
        <v>44.205428261428565</v>
      </c>
      <c r="V56" s="770">
        <v>22.357858387142851</v>
      </c>
      <c r="W56" s="770">
        <v>6.7241427552857145</v>
      </c>
      <c r="X56" s="770">
        <v>233.42357307142856</v>
      </c>
      <c r="Y56" s="770">
        <v>70.259001594285721</v>
      </c>
    </row>
    <row r="57" spans="1:25">
      <c r="A57" s="136"/>
      <c r="B57" s="138"/>
      <c r="C57" s="138"/>
      <c r="D57" s="138"/>
      <c r="E57" s="138"/>
      <c r="F57" s="138"/>
      <c r="G57" s="138"/>
      <c r="H57" s="138"/>
      <c r="I57" s="138"/>
      <c r="N57" s="771"/>
      <c r="O57" s="771"/>
      <c r="P57" s="773">
        <v>2</v>
      </c>
      <c r="Q57" s="770">
        <v>29.357571737142859</v>
      </c>
      <c r="R57" s="770">
        <v>22.506999971428574</v>
      </c>
      <c r="S57" s="770">
        <v>323.79400198571426</v>
      </c>
      <c r="T57" s="770">
        <v>154.41086031428571</v>
      </c>
      <c r="U57" s="770">
        <v>27.91428565857143</v>
      </c>
      <c r="V57" s="770">
        <v>16.044107027142857</v>
      </c>
      <c r="W57" s="770">
        <v>3.2384286270000002</v>
      </c>
      <c r="X57" s="770">
        <v>199.51214380000002</v>
      </c>
      <c r="Y57" s="770">
        <v>58.126999447142857</v>
      </c>
    </row>
    <row r="58" spans="1:25">
      <c r="A58" s="136"/>
      <c r="B58" s="138"/>
      <c r="C58" s="138"/>
      <c r="D58" s="138"/>
      <c r="E58" s="138"/>
      <c r="F58" s="138"/>
      <c r="G58" s="138"/>
      <c r="H58" s="138"/>
      <c r="I58" s="138"/>
      <c r="N58" s="771"/>
      <c r="O58" s="771"/>
      <c r="P58" s="773">
        <v>3</v>
      </c>
      <c r="Q58" s="770">
        <v>27.718428745714288</v>
      </c>
      <c r="R58" s="770">
        <v>21.345142638571424</v>
      </c>
      <c r="S58" s="770">
        <v>401.6544320142857</v>
      </c>
      <c r="T58" s="770">
        <v>185.14285714285714</v>
      </c>
      <c r="U58" s="770">
        <v>39.37385668142857</v>
      </c>
      <c r="V58" s="770">
        <v>18.835116929999998</v>
      </c>
      <c r="W58" s="770">
        <v>6.560571466571429</v>
      </c>
      <c r="X58" s="770">
        <v>380.69428361428572</v>
      </c>
      <c r="Y58" s="770">
        <v>74.927428108571434</v>
      </c>
    </row>
    <row r="59" spans="1:25">
      <c r="A59" s="136"/>
      <c r="B59" s="138"/>
      <c r="C59" s="138"/>
      <c r="D59" s="138"/>
      <c r="E59" s="138"/>
      <c r="F59" s="138"/>
      <c r="G59" s="138"/>
      <c r="H59" s="138"/>
      <c r="I59" s="138"/>
      <c r="N59" s="771"/>
      <c r="O59" s="771"/>
      <c r="P59" s="773">
        <v>4</v>
      </c>
      <c r="Q59" s="770">
        <v>30.739285877142859</v>
      </c>
      <c r="R59" s="770">
        <v>24.126143047142854</v>
      </c>
      <c r="S59" s="770">
        <v>367.00971765714274</v>
      </c>
      <c r="T59" s="770">
        <v>156.14856614285716</v>
      </c>
      <c r="U59" s="770">
        <v>23.497714179999999</v>
      </c>
      <c r="V59" s="770">
        <v>16.004641395714284</v>
      </c>
      <c r="W59" s="770">
        <v>5.1067142825714296</v>
      </c>
      <c r="X59" s="770">
        <v>322.4650006857143</v>
      </c>
      <c r="Y59" s="770">
        <v>68.394571574285706</v>
      </c>
    </row>
    <row r="60" spans="1:25">
      <c r="A60" s="136"/>
      <c r="B60" s="138"/>
      <c r="C60" s="138"/>
      <c r="D60" s="138"/>
      <c r="E60" s="138"/>
      <c r="F60" s="138"/>
      <c r="G60" s="138"/>
      <c r="H60" s="138"/>
      <c r="I60" s="138"/>
      <c r="N60" s="771"/>
      <c r="O60" s="771"/>
      <c r="P60" s="773">
        <v>5</v>
      </c>
      <c r="Q60" s="770">
        <v>25.584571565714288</v>
      </c>
      <c r="R60" s="770">
        <v>22.874571391428567</v>
      </c>
      <c r="S60" s="770">
        <v>260.95085362857145</v>
      </c>
      <c r="T60" s="770">
        <v>108.66671425714286</v>
      </c>
      <c r="U60" s="770">
        <v>21.321428571428573</v>
      </c>
      <c r="V60" s="770">
        <v>16.024463924285715</v>
      </c>
      <c r="W60" s="770">
        <v>3.1654285022857147</v>
      </c>
      <c r="X60" s="770">
        <v>203.94785854285715</v>
      </c>
      <c r="Y60" s="770">
        <v>56.864572254285704</v>
      </c>
    </row>
    <row r="61" spans="1:25">
      <c r="A61" s="136"/>
      <c r="B61" s="138"/>
      <c r="C61" s="138"/>
      <c r="D61" s="138"/>
      <c r="E61" s="138"/>
      <c r="F61" s="138"/>
      <c r="G61" s="138"/>
      <c r="H61" s="138"/>
      <c r="I61" s="138"/>
      <c r="N61" s="771"/>
      <c r="O61" s="771"/>
      <c r="P61" s="773">
        <v>6</v>
      </c>
      <c r="Q61" s="770">
        <v>18.677976190476191</v>
      </c>
      <c r="R61" s="770">
        <v>19.115142824285716</v>
      </c>
      <c r="S61" s="770">
        <v>266.1391427142857</v>
      </c>
      <c r="T61" s="770">
        <v>132.98228671428572</v>
      </c>
      <c r="U61" s="770">
        <v>30.396999359999999</v>
      </c>
      <c r="V61" s="770">
        <v>15.963094302857142</v>
      </c>
      <c r="W61" s="770">
        <v>5.8411428927142861</v>
      </c>
      <c r="X61" s="770">
        <v>317.90785435714287</v>
      </c>
      <c r="Y61" s="770">
        <v>60.405000412857149</v>
      </c>
    </row>
    <row r="62" spans="1:25" ht="19.149999999999999" customHeight="1">
      <c r="A62" s="136"/>
      <c r="B62" s="138"/>
      <c r="C62" s="138"/>
      <c r="D62" s="138"/>
      <c r="E62" s="138"/>
      <c r="F62" s="138"/>
      <c r="G62" s="138"/>
      <c r="H62" s="138"/>
      <c r="I62" s="138"/>
      <c r="N62" s="771"/>
      <c r="O62" s="771"/>
      <c r="P62" s="773">
        <v>7</v>
      </c>
      <c r="Q62" s="770">
        <v>18.677976190476191</v>
      </c>
      <c r="R62" s="770">
        <v>18.677976190476191</v>
      </c>
      <c r="S62" s="770">
        <v>231.286666666667</v>
      </c>
      <c r="T62" s="770">
        <v>91.321428571428569</v>
      </c>
      <c r="U62" s="770">
        <v>18.5625</v>
      </c>
      <c r="V62" s="770">
        <v>14.07</v>
      </c>
      <c r="W62" s="770">
        <v>3.3580000000000001</v>
      </c>
      <c r="X62" s="770">
        <v>339.78</v>
      </c>
      <c r="Y62" s="770">
        <v>76.87</v>
      </c>
    </row>
    <row r="63" spans="1:25">
      <c r="A63" s="136"/>
      <c r="B63" s="138"/>
      <c r="C63" s="138"/>
      <c r="D63" s="138"/>
      <c r="E63" s="138"/>
      <c r="F63" s="138"/>
      <c r="G63" s="138"/>
      <c r="H63" s="138"/>
      <c r="I63" s="138"/>
      <c r="N63" s="771"/>
      <c r="O63" s="771"/>
      <c r="P63" s="773">
        <v>8</v>
      </c>
      <c r="Q63" s="770">
        <v>15.895833333333314</v>
      </c>
      <c r="R63" s="770">
        <v>8.1069999999999993</v>
      </c>
      <c r="S63" s="770">
        <v>131.62660714285707</v>
      </c>
      <c r="T63" s="770">
        <v>104.375</v>
      </c>
      <c r="U63" s="770">
        <v>21.619</v>
      </c>
      <c r="V63" s="770">
        <v>13.162619047619055</v>
      </c>
      <c r="W63" s="770">
        <v>2.181</v>
      </c>
      <c r="X63" s="770">
        <v>264.85700000000003</v>
      </c>
      <c r="Y63" s="770">
        <v>119.958</v>
      </c>
    </row>
    <row r="64" spans="1:25" ht="6" customHeight="1">
      <c r="A64" s="136"/>
      <c r="B64" s="138"/>
      <c r="C64" s="138"/>
      <c r="D64" s="138"/>
      <c r="E64" s="138"/>
      <c r="F64" s="138"/>
      <c r="G64" s="138"/>
      <c r="H64" s="138"/>
      <c r="I64" s="138"/>
      <c r="N64" s="771"/>
      <c r="O64" s="771"/>
      <c r="P64" s="773">
        <v>9</v>
      </c>
      <c r="Q64" s="770">
        <v>16.03157152448377</v>
      </c>
      <c r="R64" s="770">
        <v>10.70885712759833</v>
      </c>
      <c r="S64" s="770">
        <v>115.81614358084498</v>
      </c>
      <c r="T64" s="770">
        <v>81.571428571428527</v>
      </c>
      <c r="U64" s="770">
        <v>19.778999873570012</v>
      </c>
      <c r="V64" s="770">
        <v>11.839642660958372</v>
      </c>
      <c r="W64" s="770">
        <v>2.5798570939472714</v>
      </c>
      <c r="X64" s="770">
        <v>195.40928431919602</v>
      </c>
      <c r="Y64" s="770">
        <v>71.76285661969861</v>
      </c>
    </row>
    <row r="65" spans="1:25" ht="24.75" customHeight="1">
      <c r="A65" s="877" t="s">
        <v>546</v>
      </c>
      <c r="B65" s="877"/>
      <c r="C65" s="877"/>
      <c r="D65" s="877"/>
      <c r="E65" s="877"/>
      <c r="F65" s="877"/>
      <c r="G65" s="877"/>
      <c r="H65" s="877"/>
      <c r="I65" s="877"/>
      <c r="J65" s="877"/>
      <c r="K65" s="877"/>
      <c r="L65" s="877"/>
      <c r="N65" s="771"/>
      <c r="O65" s="771"/>
      <c r="P65" s="773">
        <v>10</v>
      </c>
      <c r="Q65" s="770">
        <v>28.276142392857142</v>
      </c>
      <c r="R65" s="770">
        <v>21.731714248571429</v>
      </c>
      <c r="S65" s="770">
        <v>254.39099884285716</v>
      </c>
      <c r="T65" s="770">
        <v>146.17256928571427</v>
      </c>
      <c r="U65" s="770">
        <v>29.352285658571429</v>
      </c>
      <c r="V65" s="770">
        <v>10.568511418142858</v>
      </c>
      <c r="W65" s="770">
        <v>2.1962857415714288</v>
      </c>
      <c r="X65" s="770">
        <v>212.2000013</v>
      </c>
      <c r="Y65" s="770">
        <v>56.04871422714286</v>
      </c>
    </row>
    <row r="66" spans="1:25" ht="20.25" customHeight="1">
      <c r="N66" s="771"/>
      <c r="O66" s="771"/>
      <c r="P66" s="773">
        <v>11</v>
      </c>
      <c r="Q66" s="770">
        <v>28.634571619999999</v>
      </c>
      <c r="R66" s="770">
        <v>21.524857657142856</v>
      </c>
      <c r="S66" s="770">
        <v>320.82542418571427</v>
      </c>
      <c r="T66" s="770">
        <v>138.12514602857144</v>
      </c>
      <c r="U66" s="770">
        <v>28.100000654285715</v>
      </c>
      <c r="V66" s="770">
        <v>11.367022922857142</v>
      </c>
      <c r="W66" s="770">
        <v>2.7152857098571426</v>
      </c>
      <c r="X66" s="770">
        <v>229.93857247142856</v>
      </c>
      <c r="Y66" s="770">
        <v>63.309571402857145</v>
      </c>
    </row>
    <row r="67" spans="1:25">
      <c r="N67" s="771"/>
      <c r="O67" s="771"/>
      <c r="P67" s="773">
        <v>12</v>
      </c>
      <c r="Q67" s="770">
        <v>28.223285404285715</v>
      </c>
      <c r="R67" s="770">
        <v>22.087285995714286</v>
      </c>
      <c r="S67" s="770">
        <v>295.67700197142852</v>
      </c>
      <c r="T67" s="770">
        <v>176.22028785714286</v>
      </c>
      <c r="U67" s="770">
        <v>43.393999101428577</v>
      </c>
      <c r="V67" s="770">
        <v>14.060239925714285</v>
      </c>
      <c r="W67" s="770">
        <v>3.625</v>
      </c>
      <c r="X67" s="770">
        <v>287.37429152857146</v>
      </c>
      <c r="Y67" s="770">
        <v>68.27</v>
      </c>
    </row>
    <row r="68" spans="1:25">
      <c r="N68" s="771"/>
      <c r="O68" s="771">
        <v>13</v>
      </c>
      <c r="P68" s="773">
        <v>13</v>
      </c>
      <c r="Q68" s="770">
        <v>27.516571317142855</v>
      </c>
      <c r="R68" s="770">
        <v>23.321285792857143</v>
      </c>
      <c r="S68" s="770">
        <v>358.4028538428571</v>
      </c>
      <c r="T68" s="770">
        <v>161.61914497142857</v>
      </c>
      <c r="U68" s="770">
        <v>39.082286288571431</v>
      </c>
      <c r="V68" s="770">
        <v>20.107797215142853</v>
      </c>
      <c r="W68" s="770">
        <v>4.0744285582857147</v>
      </c>
      <c r="X68" s="770">
        <v>292.37857055714284</v>
      </c>
      <c r="Y68" s="770">
        <v>61.654713765714291</v>
      </c>
    </row>
    <row r="69" spans="1:25">
      <c r="N69" s="771"/>
      <c r="O69" s="771"/>
      <c r="P69" s="773">
        <v>14</v>
      </c>
      <c r="Q69" s="770">
        <v>29.126714707142856</v>
      </c>
      <c r="R69" s="770">
        <v>26.810000011428574</v>
      </c>
      <c r="S69" s="770">
        <v>415.37771607142855</v>
      </c>
      <c r="T69" s="770">
        <v>180.97614180000002</v>
      </c>
      <c r="U69" s="770">
        <v>40.325571332857145</v>
      </c>
      <c r="V69" s="770">
        <v>23.453333172857139</v>
      </c>
      <c r="W69" s="770">
        <v>2.8194285800000003</v>
      </c>
      <c r="X69" s="770">
        <v>281.81714740000001</v>
      </c>
      <c r="Y69" s="770">
        <v>68.710573468571425</v>
      </c>
    </row>
    <row r="70" spans="1:25">
      <c r="N70" s="771"/>
      <c r="O70" s="771"/>
      <c r="P70" s="773">
        <v>15</v>
      </c>
      <c r="Q70" s="770">
        <v>28.420428685714288</v>
      </c>
      <c r="R70" s="770">
        <v>22.159857068571426</v>
      </c>
      <c r="S70" s="770">
        <v>388.02957154285713</v>
      </c>
      <c r="T70" s="770">
        <v>187.79186137142855</v>
      </c>
      <c r="U70" s="770">
        <v>52.19757080285715</v>
      </c>
      <c r="V70" s="770">
        <v>23.194762912857147</v>
      </c>
      <c r="W70" s="770">
        <v>2.7518571105714291</v>
      </c>
      <c r="X70" s="770">
        <v>319.64357211428575</v>
      </c>
      <c r="Y70" s="770">
        <v>74.239000592857138</v>
      </c>
    </row>
    <row r="71" spans="1:25">
      <c r="N71" s="771"/>
      <c r="O71" s="771"/>
      <c r="P71" s="773">
        <v>16</v>
      </c>
      <c r="Q71" s="770">
        <v>21.880999702857146</v>
      </c>
      <c r="R71" s="770">
        <v>20.447000231428571</v>
      </c>
      <c r="S71" s="770">
        <v>189.56900242857142</v>
      </c>
      <c r="T71" s="770">
        <v>107.50585611428572</v>
      </c>
      <c r="U71" s="770">
        <v>28.65042877285714</v>
      </c>
      <c r="V71" s="770">
        <v>18.780238424285709</v>
      </c>
      <c r="W71" s="770">
        <v>1.8839999778571432</v>
      </c>
      <c r="X71" s="770">
        <v>174.665717</v>
      </c>
      <c r="Y71" s="770">
        <v>39.415857042857148</v>
      </c>
    </row>
    <row r="72" spans="1:25">
      <c r="N72" s="771"/>
      <c r="O72" s="771"/>
      <c r="P72" s="773">
        <v>17</v>
      </c>
      <c r="Q72" s="770">
        <v>18.000999994285714</v>
      </c>
      <c r="R72" s="770">
        <v>14.095428602857144</v>
      </c>
      <c r="S72" s="770">
        <v>140.97214290000002</v>
      </c>
      <c r="T72" s="770">
        <v>90.738142825714277</v>
      </c>
      <c r="U72" s="770">
        <v>20.563142504285715</v>
      </c>
      <c r="V72" s="770">
        <v>13.920417241428572</v>
      </c>
      <c r="W72" s="770">
        <v>1.7985714162857143</v>
      </c>
      <c r="X72" s="770">
        <v>112.05499922142857</v>
      </c>
      <c r="Y72" s="770">
        <v>25.886856898571434</v>
      </c>
    </row>
    <row r="73" spans="1:25">
      <c r="N73" s="771"/>
      <c r="O73" s="771"/>
      <c r="P73" s="773">
        <v>18</v>
      </c>
      <c r="Q73" s="770">
        <v>16.076714378571427</v>
      </c>
      <c r="R73" s="770">
        <v>12.509142604285715</v>
      </c>
      <c r="S73" s="770">
        <v>114.69700078571428</v>
      </c>
      <c r="T73" s="770">
        <v>67.130999974285714</v>
      </c>
      <c r="U73" s="770">
        <v>16.68214280285714</v>
      </c>
      <c r="V73" s="770">
        <v>10.773084301857143</v>
      </c>
      <c r="W73" s="770">
        <v>1.8058571475714285</v>
      </c>
      <c r="X73" s="770">
        <v>79.242856705714289</v>
      </c>
      <c r="Y73" s="770">
        <v>19.646428789999998</v>
      </c>
    </row>
    <row r="74" spans="1:25">
      <c r="N74" s="771"/>
      <c r="O74" s="771"/>
      <c r="P74" s="773">
        <v>19</v>
      </c>
      <c r="Q74" s="770">
        <v>15.213571411428573</v>
      </c>
      <c r="R74" s="770">
        <v>8.5715713499999993</v>
      </c>
      <c r="S74" s="770">
        <v>99.656284881428547</v>
      </c>
      <c r="T74" s="770">
        <v>64.428571428571431</v>
      </c>
      <c r="U74" s="770">
        <v>17.039285524285713</v>
      </c>
      <c r="V74" s="770">
        <v>11.989167077142856</v>
      </c>
      <c r="W74" s="770">
        <v>1.8551428488571429</v>
      </c>
      <c r="X74" s="770">
        <v>73.040000915714288</v>
      </c>
      <c r="Y74" s="770">
        <v>16.286999974285717</v>
      </c>
    </row>
    <row r="75" spans="1:25">
      <c r="N75" s="771"/>
      <c r="O75" s="771"/>
      <c r="P75" s="773">
        <v>20</v>
      </c>
      <c r="Q75" s="770">
        <v>14.241714205714286</v>
      </c>
      <c r="R75" s="770">
        <v>7.0702857972857149</v>
      </c>
      <c r="S75" s="770">
        <v>88.480572290000026</v>
      </c>
      <c r="T75" s="770">
        <v>61.482142857142854</v>
      </c>
      <c r="U75" s="770">
        <v>13.813714164285713</v>
      </c>
      <c r="V75" s="770">
        <v>12.071368352857144</v>
      </c>
      <c r="W75" s="770">
        <v>1.7121428761428572</v>
      </c>
      <c r="X75" s="770">
        <v>68.874286108571425</v>
      </c>
      <c r="Y75" s="770">
        <v>14.018428667142857</v>
      </c>
    </row>
    <row r="76" spans="1:25">
      <c r="N76" s="771"/>
      <c r="O76" s="771"/>
      <c r="P76" s="773">
        <v>21</v>
      </c>
      <c r="Q76" s="770">
        <v>14.091571398571428</v>
      </c>
      <c r="R76" s="770">
        <v>7.0830000470000005</v>
      </c>
      <c r="S76" s="770">
        <v>98.34657178714285</v>
      </c>
      <c r="T76" s="770">
        <v>63.72614288285714</v>
      </c>
      <c r="U76" s="770">
        <v>14.927285738571429</v>
      </c>
      <c r="V76" s="770">
        <v>12.066725457142857</v>
      </c>
      <c r="W76" s="770">
        <v>1.9470000094285715</v>
      </c>
      <c r="X76" s="770">
        <v>68.332856858571418</v>
      </c>
      <c r="Y76" s="770">
        <v>14.466285705714286</v>
      </c>
    </row>
    <row r="77" spans="1:25">
      <c r="N77" s="771"/>
      <c r="O77" s="771"/>
      <c r="P77" s="773">
        <v>22</v>
      </c>
      <c r="Q77" s="770">
        <v>12.206428662857144</v>
      </c>
      <c r="R77" s="770">
        <v>6.5260000228571426</v>
      </c>
      <c r="S77" s="770">
        <v>88.19400133428573</v>
      </c>
      <c r="T77" s="770">
        <v>49.041857040000004</v>
      </c>
      <c r="U77" s="770">
        <v>12.11642851</v>
      </c>
      <c r="V77" s="770">
        <v>12.046847342857143</v>
      </c>
      <c r="W77" s="770">
        <v>1.9281428372857143</v>
      </c>
      <c r="X77" s="770">
        <v>60.234999522857144</v>
      </c>
      <c r="Y77" s="770">
        <v>11.637142864285716</v>
      </c>
    </row>
    <row r="78" spans="1:25">
      <c r="N78" s="771"/>
      <c r="O78" s="771"/>
      <c r="P78" s="773">
        <v>23</v>
      </c>
      <c r="Q78" s="770">
        <v>10.714285714285714</v>
      </c>
      <c r="R78" s="770">
        <v>6.0984286581428568</v>
      </c>
      <c r="S78" s="770">
        <v>67.392570495714281</v>
      </c>
      <c r="T78" s="770">
        <v>49.232000077142857</v>
      </c>
      <c r="U78" s="770">
        <v>10.973142897142859</v>
      </c>
      <c r="V78" s="770">
        <v>12.030653000000001</v>
      </c>
      <c r="W78" s="770">
        <v>1.8262857195714286</v>
      </c>
      <c r="X78" s="770">
        <v>55.279285977142862</v>
      </c>
      <c r="Y78" s="770">
        <v>10.373285701857142</v>
      </c>
    </row>
    <row r="79" spans="1:25">
      <c r="N79" s="771"/>
      <c r="O79" s="771"/>
      <c r="P79" s="773">
        <v>24</v>
      </c>
      <c r="Q79" s="770">
        <v>10.648285731428571</v>
      </c>
      <c r="R79" s="770">
        <v>5.3554284574285722</v>
      </c>
      <c r="S79" s="770">
        <v>74.302856445714283</v>
      </c>
      <c r="T79" s="770">
        <v>54.952285765714286</v>
      </c>
      <c r="U79" s="770">
        <v>10.649856976285715</v>
      </c>
      <c r="V79" s="770">
        <v>11.902322768571427</v>
      </c>
      <c r="W79" s="770">
        <v>1.3272857154285713</v>
      </c>
      <c r="X79" s="770">
        <v>49.072856904285722</v>
      </c>
      <c r="Y79" s="770">
        <v>9.3365716934285707</v>
      </c>
    </row>
    <row r="80" spans="1:25">
      <c r="N80" s="771"/>
      <c r="O80" s="771"/>
      <c r="P80" s="773">
        <v>25</v>
      </c>
      <c r="Q80" s="770">
        <v>10.931000164428569</v>
      </c>
      <c r="R80" s="770">
        <v>6.0032857149999996</v>
      </c>
      <c r="S80" s="770">
        <v>70.370715551428574</v>
      </c>
      <c r="T80" s="770">
        <v>39.565571377142859</v>
      </c>
      <c r="U80" s="770">
        <v>8.8067141942857141</v>
      </c>
      <c r="V80" s="770">
        <v>11.966488567142857</v>
      </c>
      <c r="W80" s="770">
        <v>1.2890000087142857</v>
      </c>
      <c r="X80" s="770">
        <v>43.960000174285717</v>
      </c>
      <c r="Y80" s="770">
        <v>8.5024284634285721</v>
      </c>
    </row>
    <row r="81" spans="14:25">
      <c r="N81" s="771"/>
      <c r="O81" s="771">
        <v>26</v>
      </c>
      <c r="P81" s="773">
        <v>26</v>
      </c>
      <c r="Q81" s="770">
        <v>9.871286118714286</v>
      </c>
      <c r="R81" s="770">
        <v>4.9715714455714286</v>
      </c>
      <c r="S81" s="770">
        <v>60.400571005714291</v>
      </c>
      <c r="T81" s="770">
        <v>43.083285740000001</v>
      </c>
      <c r="U81" s="770">
        <v>8.6310001098571423</v>
      </c>
      <c r="V81" s="770">
        <v>11.885477065714285</v>
      </c>
      <c r="W81" s="770">
        <v>1.732857125</v>
      </c>
      <c r="X81" s="770">
        <v>41.416428701428572</v>
      </c>
      <c r="Y81" s="770">
        <v>7.8322857448571428</v>
      </c>
    </row>
    <row r="82" spans="14:25">
      <c r="N82" s="771"/>
      <c r="O82" s="771"/>
      <c r="P82" s="773">
        <v>27</v>
      </c>
      <c r="Q82" s="770">
        <v>9.2658571514285715</v>
      </c>
      <c r="R82" s="770">
        <v>4.8162857462857147</v>
      </c>
      <c r="S82" s="770">
        <v>66.665999275714285</v>
      </c>
      <c r="T82" s="770">
        <v>33.029857091428575</v>
      </c>
      <c r="U82" s="770">
        <v>7.6702857698571432</v>
      </c>
      <c r="V82" s="770">
        <v>11.995894294285714</v>
      </c>
      <c r="W82" s="770">
        <v>1.8799999952857143</v>
      </c>
      <c r="X82" s="770">
        <v>38.669285909999992</v>
      </c>
      <c r="Y82" s="770">
        <v>7.0652857510000002</v>
      </c>
    </row>
    <row r="83" spans="14:25">
      <c r="N83" s="771"/>
      <c r="O83" s="771"/>
      <c r="P83" s="773">
        <v>28</v>
      </c>
      <c r="Q83" s="770">
        <v>8.3581429888571428</v>
      </c>
      <c r="R83" s="770">
        <v>4.1457142830000002</v>
      </c>
      <c r="S83" s="770">
        <v>66.009428840000012</v>
      </c>
      <c r="T83" s="770">
        <v>29.922571454285713</v>
      </c>
      <c r="U83" s="770">
        <v>6.9708570752857142</v>
      </c>
      <c r="V83" s="770">
        <v>11.927797181428572</v>
      </c>
      <c r="W83" s="770">
        <v>1.8718571149999998</v>
      </c>
      <c r="X83" s="770">
        <v>36.412143161428574</v>
      </c>
      <c r="Y83" s="770">
        <v>6.2407143457142853</v>
      </c>
    </row>
    <row r="84" spans="14:25">
      <c r="N84" s="771"/>
      <c r="O84" s="771"/>
      <c r="P84" s="773">
        <v>29</v>
      </c>
      <c r="Q84" s="770">
        <v>8.2642856324285709</v>
      </c>
      <c r="R84" s="770">
        <v>4.2404285498571426</v>
      </c>
      <c r="S84" s="770">
        <v>61.976286207142856</v>
      </c>
      <c r="T84" s="770">
        <v>30.851285662857144</v>
      </c>
      <c r="U84" s="770">
        <v>7.1941427504285702</v>
      </c>
      <c r="V84" s="770">
        <v>12.045535904285714</v>
      </c>
      <c r="W84" s="770">
        <v>1.7868571450000001</v>
      </c>
      <c r="X84" s="770">
        <v>36.787142614285713</v>
      </c>
      <c r="Y84" s="770">
        <v>6.221285752</v>
      </c>
    </row>
    <row r="85" spans="14:25">
      <c r="N85" s="771"/>
      <c r="O85" s="771"/>
      <c r="P85" s="773">
        <v>30</v>
      </c>
      <c r="Q85" s="770">
        <v>7.629714148142857</v>
      </c>
      <c r="R85" s="770">
        <v>3.9339999471428575</v>
      </c>
      <c r="S85" s="770">
        <v>56.385429927142859</v>
      </c>
      <c r="T85" s="770">
        <v>26.327428545714287</v>
      </c>
      <c r="U85" s="770">
        <v>6.6857143130000001</v>
      </c>
      <c r="V85" s="770">
        <v>11.927261488571427</v>
      </c>
      <c r="W85" s="770">
        <v>1.8862856968571431</v>
      </c>
      <c r="X85" s="770">
        <v>39.564285824285712</v>
      </c>
      <c r="Y85" s="770">
        <v>5.7022857667142848</v>
      </c>
    </row>
    <row r="86" spans="14:25">
      <c r="N86" s="771"/>
      <c r="O86" s="771"/>
      <c r="P86" s="773">
        <v>31</v>
      </c>
      <c r="Q86" s="770">
        <v>7.8445713860000001</v>
      </c>
      <c r="R86" s="770">
        <v>4.2642856665714284</v>
      </c>
      <c r="S86" s="770">
        <v>63.196000779999999</v>
      </c>
      <c r="T86" s="770">
        <v>30.940428597142859</v>
      </c>
      <c r="U86" s="770">
        <v>7.3144286019999996</v>
      </c>
      <c r="V86" s="770">
        <v>13.712319918571428</v>
      </c>
      <c r="W86" s="770">
        <v>1.8420000075714285</v>
      </c>
      <c r="X86" s="770">
        <v>41.400714874285711</v>
      </c>
      <c r="Y86" s="770">
        <v>7.1649999617142859</v>
      </c>
    </row>
    <row r="87" spans="14:25">
      <c r="N87" s="771"/>
      <c r="O87" s="771"/>
      <c r="P87" s="773">
        <v>32</v>
      </c>
      <c r="Q87" s="770">
        <v>7.8535714147142865</v>
      </c>
      <c r="R87" s="770">
        <v>4.0602857387142857</v>
      </c>
      <c r="S87" s="770">
        <v>61.839428492857145</v>
      </c>
      <c r="T87" s="770">
        <v>23.267714362857141</v>
      </c>
      <c r="U87" s="770">
        <v>6.1658571107142865</v>
      </c>
      <c r="V87" s="770">
        <v>13.989404405714286</v>
      </c>
      <c r="W87" s="770">
        <v>1.8741428512857143</v>
      </c>
      <c r="X87" s="770">
        <v>39.942857471428567</v>
      </c>
      <c r="Y87" s="770">
        <v>7.2785714695714301</v>
      </c>
    </row>
    <row r="88" spans="14:25">
      <c r="N88" s="771"/>
      <c r="O88" s="771">
        <v>33</v>
      </c>
      <c r="P88" s="773">
        <v>33</v>
      </c>
      <c r="Q88" s="770">
        <v>7.8434285441428573</v>
      </c>
      <c r="R88" s="770">
        <v>3.7991428715714286</v>
      </c>
      <c r="S88" s="770">
        <v>59.987286159999996</v>
      </c>
      <c r="T88" s="770">
        <v>22.755999974285714</v>
      </c>
      <c r="U88" s="770">
        <v>5.9981428554285712</v>
      </c>
      <c r="V88" s="770">
        <v>13.973928587142856</v>
      </c>
      <c r="W88" s="770">
        <v>1.871857132285714</v>
      </c>
      <c r="X88" s="770">
        <v>37.965715135714291</v>
      </c>
      <c r="Y88" s="770">
        <v>5.154142958714286</v>
      </c>
    </row>
    <row r="89" spans="14:25">
      <c r="N89" s="771"/>
      <c r="O89" s="771"/>
      <c r="P89" s="773">
        <v>34</v>
      </c>
      <c r="Q89" s="770">
        <v>8.0232857294285722</v>
      </c>
      <c r="R89" s="770">
        <v>3.6017142020000001</v>
      </c>
      <c r="S89" s="770">
        <v>63.141999381428562</v>
      </c>
      <c r="T89" s="770">
        <v>21.678714208571428</v>
      </c>
      <c r="U89" s="770">
        <v>5.9428571975714277</v>
      </c>
      <c r="V89" s="770">
        <v>14.050774301428572</v>
      </c>
      <c r="W89" s="770">
        <v>1.8375714168571429</v>
      </c>
      <c r="X89" s="770">
        <v>37.97857121285714</v>
      </c>
      <c r="Y89" s="770">
        <v>6.0459999357142857</v>
      </c>
    </row>
    <row r="90" spans="14:25">
      <c r="N90" s="771"/>
      <c r="O90" s="771"/>
      <c r="P90" s="773">
        <v>35</v>
      </c>
      <c r="Q90" s="770">
        <v>9.1238570895714286</v>
      </c>
      <c r="R90" s="770">
        <v>6.7515713490000007</v>
      </c>
      <c r="S90" s="770">
        <v>62.449570247142852</v>
      </c>
      <c r="T90" s="770">
        <v>29.398714337142856</v>
      </c>
      <c r="U90" s="770">
        <v>5.5928570885714288</v>
      </c>
      <c r="V90" s="770">
        <v>13.988035748571429</v>
      </c>
      <c r="W90" s="770">
        <v>1.654571413857143</v>
      </c>
      <c r="X90" s="770">
        <v>37.199285234285711</v>
      </c>
      <c r="Y90" s="770">
        <v>5.7705714702857147</v>
      </c>
    </row>
    <row r="91" spans="14:25">
      <c r="N91" s="771"/>
      <c r="O91" s="771"/>
      <c r="P91" s="773">
        <v>36</v>
      </c>
      <c r="Q91" s="770">
        <v>8.2869999062857129</v>
      </c>
      <c r="R91" s="770">
        <v>5.5024285997142854</v>
      </c>
      <c r="S91" s="770">
        <v>62.160142081428567</v>
      </c>
      <c r="T91" s="770">
        <v>24.535714285714285</v>
      </c>
      <c r="U91" s="770">
        <v>5.7147143908571421</v>
      </c>
      <c r="V91" s="770">
        <v>13.989464348571429</v>
      </c>
      <c r="W91" s="770">
        <v>1.7275714362857142</v>
      </c>
      <c r="X91" s="770">
        <v>36.553570882857137</v>
      </c>
      <c r="Y91" s="770">
        <v>7.9151426724285718</v>
      </c>
    </row>
    <row r="92" spans="14:25">
      <c r="N92" s="771"/>
      <c r="O92" s="771"/>
      <c r="P92" s="773">
        <v>37</v>
      </c>
      <c r="Q92" s="770">
        <v>7.2742856564285701</v>
      </c>
      <c r="R92" s="770">
        <v>5.7037142345714287</v>
      </c>
      <c r="S92" s="770">
        <v>63.491571698571427</v>
      </c>
      <c r="T92" s="770">
        <v>33.851285662857144</v>
      </c>
      <c r="U92" s="770">
        <v>6.5815715108571435</v>
      </c>
      <c r="V92" s="770">
        <v>13.932678497142856</v>
      </c>
      <c r="W92" s="770">
        <v>1.6434285640000001</v>
      </c>
      <c r="X92" s="770">
        <v>36.635714938571432</v>
      </c>
      <c r="Y92" s="770">
        <v>5.2711429254285713</v>
      </c>
    </row>
    <row r="93" spans="14:25">
      <c r="N93" s="771"/>
      <c r="O93" s="771"/>
      <c r="P93" s="773">
        <v>38</v>
      </c>
      <c r="Q93" s="770">
        <v>5.7302856442857149</v>
      </c>
      <c r="R93" s="770">
        <v>4.6181428091428574</v>
      </c>
      <c r="S93" s="770">
        <v>66.366000039999989</v>
      </c>
      <c r="T93" s="770">
        <v>30.833285740000001</v>
      </c>
      <c r="U93" s="770">
        <v>6.3408571651428574</v>
      </c>
      <c r="V93" s="770">
        <v>14.030597005714284</v>
      </c>
      <c r="W93" s="770">
        <v>1.7824285711428571</v>
      </c>
      <c r="X93" s="770">
        <v>36.422143117142859</v>
      </c>
      <c r="Y93" s="770">
        <v>4.8772857188571432</v>
      </c>
    </row>
    <row r="94" spans="14:25">
      <c r="N94" s="771"/>
      <c r="O94" s="771"/>
      <c r="P94" s="773">
        <v>39</v>
      </c>
      <c r="Q94" s="770">
        <v>5.3494285172857152</v>
      </c>
      <c r="R94" s="770">
        <v>4.7248570578571423</v>
      </c>
      <c r="S94" s="770">
        <v>75.45028468428572</v>
      </c>
      <c r="T94" s="770">
        <v>25.431428635714287</v>
      </c>
      <c r="U94" s="770">
        <v>6.8902856279999991</v>
      </c>
      <c r="V94" s="770">
        <v>14.026608604285714</v>
      </c>
      <c r="W94" s="770">
        <v>1.7897142852857144</v>
      </c>
      <c r="X94" s="770">
        <v>36.457856858571432</v>
      </c>
      <c r="Y94" s="770">
        <v>6.1969999587142857</v>
      </c>
    </row>
    <row r="95" spans="14:25">
      <c r="N95" s="771"/>
      <c r="O95" s="771"/>
      <c r="P95" s="773">
        <v>40</v>
      </c>
      <c r="Q95" s="770">
        <v>5.4815714698571432</v>
      </c>
      <c r="R95" s="770">
        <v>5.3951427595714279</v>
      </c>
      <c r="S95" s="770">
        <v>78.309284754285713</v>
      </c>
      <c r="T95" s="770">
        <v>54.744000025714286</v>
      </c>
      <c r="U95" s="770">
        <v>7.7940000801428573</v>
      </c>
      <c r="V95" s="770">
        <v>14.026192801428573</v>
      </c>
      <c r="W95" s="770">
        <v>1.7887142725714287</v>
      </c>
      <c r="X95" s="770">
        <v>44.888571058571429</v>
      </c>
      <c r="Y95" s="770">
        <v>10.280285493285716</v>
      </c>
    </row>
    <row r="96" spans="14:25">
      <c r="N96" s="771"/>
      <c r="O96" s="771"/>
      <c r="P96" s="773">
        <v>41</v>
      </c>
      <c r="Q96" s="770">
        <v>6.414142881000001</v>
      </c>
      <c r="R96" s="770">
        <v>5.6744286329999998</v>
      </c>
      <c r="S96" s="770">
        <v>79.701571872857144</v>
      </c>
      <c r="T96" s="770">
        <v>50.934571402857145</v>
      </c>
      <c r="U96" s="770">
        <v>8.9731427602857146</v>
      </c>
      <c r="V96" s="770">
        <v>14.020297051428571</v>
      </c>
      <c r="W96" s="770">
        <v>1.4745714322857144</v>
      </c>
      <c r="X96" s="770">
        <v>49.243571144285717</v>
      </c>
      <c r="Y96" s="770">
        <v>7.658571379714286</v>
      </c>
    </row>
    <row r="97" spans="14:25">
      <c r="N97" s="771"/>
      <c r="O97" s="771"/>
      <c r="P97" s="773">
        <v>42</v>
      </c>
      <c r="Q97" s="770">
        <v>7.0597143174285719</v>
      </c>
      <c r="R97" s="770">
        <v>5.6411428450000001</v>
      </c>
      <c r="S97" s="770">
        <v>71.140427727142864</v>
      </c>
      <c r="T97" s="770">
        <v>43.184428622857141</v>
      </c>
      <c r="U97" s="770">
        <v>9.1315714969999995</v>
      </c>
      <c r="V97" s="770">
        <v>13.992498534285714</v>
      </c>
      <c r="W97" s="770">
        <v>1.325428571</v>
      </c>
      <c r="X97" s="770">
        <v>38.599999562857143</v>
      </c>
      <c r="Y97" s="770">
        <v>5.9647143228571426</v>
      </c>
    </row>
    <row r="98" spans="14:25">
      <c r="N98" s="771"/>
      <c r="O98" s="771"/>
      <c r="P98" s="773">
        <v>43</v>
      </c>
      <c r="Q98" s="770">
        <v>6.5518571988571432</v>
      </c>
      <c r="R98" s="770">
        <v>5.278142861428571</v>
      </c>
      <c r="S98" s="770">
        <v>66.382999420000004</v>
      </c>
      <c r="T98" s="770">
        <v>36.916714259999999</v>
      </c>
      <c r="U98" s="770">
        <v>8.3171428948571435</v>
      </c>
      <c r="V98" s="770">
        <v>14.015835900000001</v>
      </c>
      <c r="W98" s="770">
        <v>1.3259999922857142</v>
      </c>
      <c r="X98" s="770">
        <v>35.493572237142857</v>
      </c>
      <c r="Y98" s="770">
        <v>6.7207142624285723</v>
      </c>
    </row>
    <row r="99" spans="14:25">
      <c r="N99" s="771"/>
      <c r="O99" s="771">
        <v>44</v>
      </c>
      <c r="P99" s="773">
        <v>44</v>
      </c>
      <c r="Q99" s="770">
        <v>6.2178571565714282</v>
      </c>
      <c r="R99" s="770">
        <v>3.7729999678571429</v>
      </c>
      <c r="S99" s="770">
        <v>67.872285570000003</v>
      </c>
      <c r="T99" s="770">
        <v>41.726285662857144</v>
      </c>
      <c r="U99" s="770">
        <v>8.7617143898571435</v>
      </c>
      <c r="V99" s="770">
        <v>13.927204130000002</v>
      </c>
      <c r="W99" s="770">
        <v>1.0918571607142857</v>
      </c>
      <c r="X99" s="770">
        <v>46.067856924285714</v>
      </c>
      <c r="Y99" s="770">
        <v>5.8240000180000004</v>
      </c>
    </row>
    <row r="100" spans="14:25">
      <c r="N100" s="771"/>
      <c r="O100" s="771"/>
      <c r="P100" s="773">
        <v>45</v>
      </c>
      <c r="Q100" s="770">
        <v>5.7207142285714285</v>
      </c>
      <c r="R100" s="770">
        <v>4.0865714210000004</v>
      </c>
      <c r="S100" s="770">
        <v>64.557143075714279</v>
      </c>
      <c r="T100" s="770">
        <v>47.85114288285714</v>
      </c>
      <c r="U100" s="770">
        <v>8.1029998912857142</v>
      </c>
      <c r="V100" s="770">
        <v>13.944405964285716</v>
      </c>
      <c r="W100" s="770">
        <v>1.1197142941428571</v>
      </c>
      <c r="X100" s="770">
        <v>41.25857108142857</v>
      </c>
      <c r="Y100" s="770">
        <v>7.255428586571429</v>
      </c>
    </row>
    <row r="101" spans="14:25">
      <c r="N101" s="771"/>
      <c r="O101" s="771"/>
      <c r="P101" s="773">
        <v>46</v>
      </c>
      <c r="Q101" s="770">
        <v>5.8224285672857139</v>
      </c>
      <c r="R101" s="770">
        <v>4.1967142989999999</v>
      </c>
      <c r="S101" s="770">
        <v>48.114428929999988</v>
      </c>
      <c r="T101" s="770">
        <v>58.976285662857144</v>
      </c>
      <c r="U101" s="770">
        <v>7.6644285747142851</v>
      </c>
      <c r="V101" s="770">
        <v>14.053689955714287</v>
      </c>
      <c r="W101" s="770">
        <v>1.2584285650000002</v>
      </c>
      <c r="X101" s="770">
        <v>59.822143555714284</v>
      </c>
      <c r="Y101" s="770">
        <v>7.569857052142857</v>
      </c>
    </row>
    <row r="102" spans="14:25">
      <c r="N102" s="771"/>
      <c r="O102" s="771"/>
      <c r="P102" s="773">
        <v>47</v>
      </c>
      <c r="Q102" s="770">
        <v>8.7129998894285716</v>
      </c>
      <c r="R102" s="770">
        <v>6.8662857328571425</v>
      </c>
      <c r="S102" s="770">
        <v>75.949856894285716</v>
      </c>
      <c r="T102" s="770">
        <v>107.95228576857143</v>
      </c>
      <c r="U102" s="770">
        <v>21.278142930000001</v>
      </c>
      <c r="V102" s="770">
        <v>14.02023874</v>
      </c>
      <c r="W102" s="770">
        <v>1.6037142788571426</v>
      </c>
      <c r="X102" s="770">
        <v>58.205000194285724</v>
      </c>
      <c r="Y102" s="770">
        <v>11.491143022142859</v>
      </c>
    </row>
    <row r="103" spans="14:25">
      <c r="N103" s="771"/>
      <c r="O103" s="771"/>
      <c r="P103" s="773">
        <v>48</v>
      </c>
      <c r="Q103" s="770">
        <v>9.7443332226190496</v>
      </c>
      <c r="R103" s="770">
        <v>7.8295714628095201</v>
      </c>
      <c r="S103" s="770">
        <v>115.94985689428501</v>
      </c>
      <c r="T103" s="770">
        <v>116.577285768571</v>
      </c>
      <c r="U103" s="770">
        <v>25.523666837380901</v>
      </c>
      <c r="V103" s="770">
        <v>14.0819443290476</v>
      </c>
      <c r="W103" s="770">
        <v>1.686999981</v>
      </c>
      <c r="X103" s="770">
        <v>108.646</v>
      </c>
      <c r="Y103" s="770">
        <v>11.491143022142859</v>
      </c>
    </row>
    <row r="104" spans="14:25">
      <c r="N104" s="771"/>
      <c r="O104" s="771"/>
      <c r="P104" s="773">
        <v>49</v>
      </c>
      <c r="Q104" s="770">
        <v>15.740428922857143</v>
      </c>
      <c r="R104" s="770">
        <v>16.272571155571431</v>
      </c>
      <c r="S104" s="770">
        <v>179.40442985714284</v>
      </c>
      <c r="T104" s="770">
        <v>143.97028568571429</v>
      </c>
      <c r="U104" s="770">
        <v>24.464857102857142</v>
      </c>
      <c r="V104" s="770">
        <v>14.414462907142859</v>
      </c>
      <c r="W104" s="770">
        <v>1.509857126857143</v>
      </c>
      <c r="X104" s="770">
        <v>183.08428410000002</v>
      </c>
      <c r="Y104" s="770">
        <v>11.52</v>
      </c>
    </row>
    <row r="105" spans="14:25">
      <c r="N105" s="771"/>
      <c r="O105" s="771"/>
      <c r="P105" s="773">
        <v>50</v>
      </c>
      <c r="Q105" s="770">
        <v>11.458857127</v>
      </c>
      <c r="R105" s="770">
        <v>8.6871428825714272</v>
      </c>
      <c r="S105" s="770">
        <v>180.05014475714285</v>
      </c>
      <c r="T105" s="770">
        <v>105.38685716857142</v>
      </c>
      <c r="U105" s="770">
        <v>15.326142855714284</v>
      </c>
      <c r="V105" s="770">
        <v>14.382619995714284</v>
      </c>
      <c r="W105" s="770">
        <v>1.5802857021428574</v>
      </c>
      <c r="X105" s="770">
        <v>192.18500408571427</v>
      </c>
      <c r="Y105" s="770">
        <v>63.42214257285714</v>
      </c>
    </row>
    <row r="106" spans="14:25">
      <c r="N106" s="771"/>
      <c r="O106" s="771"/>
      <c r="P106" s="773">
        <v>51</v>
      </c>
      <c r="Q106" s="770">
        <v>9.4554285322857137</v>
      </c>
      <c r="R106" s="770">
        <v>4.7284286361428576</v>
      </c>
      <c r="S106" s="770">
        <v>179.9772862142857</v>
      </c>
      <c r="T106" s="770">
        <v>14.57142870857143</v>
      </c>
      <c r="U106" s="770">
        <v>5</v>
      </c>
      <c r="V106" s="770">
        <v>13.809047154285716</v>
      </c>
      <c r="W106" s="770">
        <v>1.0052857144285714</v>
      </c>
      <c r="X106" s="770">
        <v>189.54214041428571</v>
      </c>
      <c r="Y106" s="770">
        <v>105.71028573142858</v>
      </c>
    </row>
    <row r="107" spans="14:25">
      <c r="N107" s="771"/>
      <c r="O107" s="771">
        <v>52</v>
      </c>
      <c r="P107" s="773">
        <v>52</v>
      </c>
      <c r="Q107" s="770">
        <v>10.030285698</v>
      </c>
      <c r="R107" s="770">
        <v>6.3814284807142858</v>
      </c>
      <c r="S107" s="770">
        <v>180.17299980000001</v>
      </c>
      <c r="T107" s="770">
        <v>59.892857142857146</v>
      </c>
      <c r="U107" s="770">
        <v>9.771428653000001</v>
      </c>
      <c r="V107" s="770">
        <v>13.759048734285715</v>
      </c>
      <c r="W107" s="770">
        <v>1.2590000118571429</v>
      </c>
      <c r="X107" s="770">
        <v>169.73285565714286</v>
      </c>
      <c r="Y107" s="770">
        <v>86.07714135142858</v>
      </c>
    </row>
    <row r="108" spans="14:25">
      <c r="N108" s="771">
        <v>2022</v>
      </c>
      <c r="O108" s="771"/>
      <c r="P108" s="773">
        <v>1</v>
      </c>
      <c r="Q108" s="770">
        <v>11.54385730142857</v>
      </c>
      <c r="R108" s="770">
        <v>6.3410000120000003</v>
      </c>
      <c r="S108" s="770">
        <v>180.25871278571432</v>
      </c>
      <c r="T108" s="770">
        <v>53.005857194285717</v>
      </c>
      <c r="U108" s="770">
        <v>8.6221429277142843</v>
      </c>
      <c r="V108" s="770">
        <v>12.151368549999999</v>
      </c>
      <c r="W108" s="770">
        <v>1.4929999965714287</v>
      </c>
      <c r="X108" s="770">
        <v>101.56500134142858</v>
      </c>
      <c r="Y108" s="770">
        <v>45.721570695714284</v>
      </c>
    </row>
    <row r="109" spans="14:25">
      <c r="N109" s="771"/>
      <c r="O109" s="771"/>
      <c r="P109" s="773">
        <v>2</v>
      </c>
      <c r="Q109" s="770">
        <v>10.532571247428569</v>
      </c>
      <c r="R109" s="770">
        <v>5.6152856691428568</v>
      </c>
      <c r="S109" s="770">
        <v>180.17585754285713</v>
      </c>
      <c r="T109" s="770">
        <v>85.154714317142862</v>
      </c>
      <c r="U109" s="770">
        <v>16.483285767857144</v>
      </c>
      <c r="V109" s="770">
        <v>15.379761560000002</v>
      </c>
      <c r="W109" s="770">
        <v>4.383714250142857</v>
      </c>
      <c r="X109" s="770">
        <v>191.4592830114286</v>
      </c>
      <c r="Y109" s="770">
        <v>44.29957117428571</v>
      </c>
    </row>
    <row r="110" spans="14:25">
      <c r="N110" s="771"/>
      <c r="O110" s="771"/>
      <c r="P110" s="773">
        <v>3</v>
      </c>
      <c r="Q110" s="770">
        <v>12.373285701428571</v>
      </c>
      <c r="R110" s="770">
        <v>6.7777144562857146</v>
      </c>
      <c r="S110" s="770">
        <v>180.45157077142858</v>
      </c>
      <c r="T110" s="770">
        <v>79.166570397142863</v>
      </c>
      <c r="U110" s="770">
        <v>14.234428677142859</v>
      </c>
      <c r="V110" s="770">
        <v>13.331011501428572</v>
      </c>
      <c r="W110" s="770">
        <v>3.4292857477142862</v>
      </c>
      <c r="X110" s="770">
        <v>222.21500070000002</v>
      </c>
      <c r="Y110" s="770">
        <v>55.850142344285707</v>
      </c>
    </row>
    <row r="111" spans="14:25">
      <c r="N111" s="771"/>
      <c r="O111" s="771"/>
      <c r="P111" s="773">
        <v>4</v>
      </c>
      <c r="Q111" s="770">
        <v>13.78142860857143</v>
      </c>
      <c r="R111" s="770">
        <v>10.307714326428572</v>
      </c>
      <c r="S111" s="770">
        <v>200.41585867142899</v>
      </c>
      <c r="T111" s="770">
        <v>156.24399677142856</v>
      </c>
      <c r="U111" s="770">
        <v>35.655428067142857</v>
      </c>
      <c r="V111" s="770">
        <v>12.147084100000001</v>
      </c>
      <c r="W111" s="770">
        <v>5.8837143019999996</v>
      </c>
      <c r="X111" s="770">
        <v>439.25357492857148</v>
      </c>
      <c r="Y111" s="770">
        <v>129.95414407142854</v>
      </c>
    </row>
    <row r="112" spans="14:25">
      <c r="N112" s="771"/>
      <c r="O112" s="771"/>
      <c r="P112" s="773">
        <v>5</v>
      </c>
      <c r="Q112" s="770">
        <v>16.13685744</v>
      </c>
      <c r="R112" s="770">
        <v>10.226857389000001</v>
      </c>
      <c r="S112" s="770">
        <v>288.91129194285719</v>
      </c>
      <c r="T112" s="770">
        <v>182</v>
      </c>
      <c r="U112" s="770">
        <v>43.192856380000002</v>
      </c>
      <c r="V112" s="770">
        <v>11.764999934285715</v>
      </c>
      <c r="W112" s="770">
        <v>5.8837143019999996</v>
      </c>
      <c r="X112" s="770">
        <v>404.03070942857141</v>
      </c>
      <c r="Y112" s="770">
        <v>128.39200045714284</v>
      </c>
    </row>
    <row r="113" spans="14:25">
      <c r="N113" s="771"/>
      <c r="O113" s="772">
        <v>6</v>
      </c>
      <c r="P113" s="771">
        <v>6</v>
      </c>
      <c r="Q113" s="770">
        <v>18.235713957142856</v>
      </c>
      <c r="R113" s="770">
        <v>10.726285798285716</v>
      </c>
      <c r="S113" s="770">
        <v>435.79956928571431</v>
      </c>
      <c r="T113" s="770">
        <v>179.08343068571426</v>
      </c>
      <c r="U113" s="770">
        <v>33.553428921428569</v>
      </c>
      <c r="V113" s="770">
        <v>11.749167034285714</v>
      </c>
      <c r="W113" s="770">
        <v>5.6551427840000006</v>
      </c>
      <c r="X113" s="770">
        <v>420.1207101</v>
      </c>
      <c r="Y113" s="770">
        <v>133.21328737142855</v>
      </c>
    </row>
    <row r="114" spans="14:25">
      <c r="N114" s="771"/>
      <c r="O114" s="771"/>
      <c r="P114" s="771">
        <v>7</v>
      </c>
      <c r="Q114" s="770">
        <v>20.117499826428599</v>
      </c>
      <c r="R114" s="770">
        <v>12.450857264642901</v>
      </c>
      <c r="S114" s="770">
        <v>435.79956928571403</v>
      </c>
      <c r="T114" s="770">
        <v>195.28190973333301</v>
      </c>
      <c r="U114" s="770">
        <v>35.365238643809498</v>
      </c>
      <c r="V114" s="770">
        <v>10.9661612507143</v>
      </c>
      <c r="W114" s="770">
        <v>2.0952857050000002</v>
      </c>
      <c r="X114" s="770">
        <v>427.15742450542803</v>
      </c>
      <c r="Y114" s="770">
        <v>133.77895393333301</v>
      </c>
    </row>
    <row r="115" spans="14:25">
      <c r="N115" s="771"/>
      <c r="O115" s="771"/>
      <c r="P115" s="771">
        <v>8</v>
      </c>
      <c r="Q115" s="770">
        <v>25.340999875749826</v>
      </c>
      <c r="R115" s="770">
        <v>18.084142684936488</v>
      </c>
      <c r="S115" s="770">
        <v>441.50872366768942</v>
      </c>
      <c r="T115" s="770">
        <v>167.45813860212002</v>
      </c>
      <c r="U115" s="770">
        <v>52.961428506033734</v>
      </c>
      <c r="V115" s="770">
        <v>11.586785861424</v>
      </c>
      <c r="W115" s="770">
        <v>3.7204570871142901</v>
      </c>
      <c r="X115" s="770">
        <v>294.89857700892827</v>
      </c>
      <c r="Y115" s="770">
        <v>69.417142050606813</v>
      </c>
    </row>
    <row r="116" spans="14:25">
      <c r="N116" s="771"/>
      <c r="O116" s="771"/>
      <c r="P116" s="771">
        <v>9</v>
      </c>
      <c r="Q116" s="770">
        <v>27.784285954285711</v>
      </c>
      <c r="R116" s="770">
        <v>17.056714467142857</v>
      </c>
      <c r="S116" s="770">
        <v>390.83399745714286</v>
      </c>
      <c r="T116" s="770">
        <v>152.44642748571428</v>
      </c>
      <c r="U116" s="770">
        <v>60.130286080000005</v>
      </c>
      <c r="V116" s="770">
        <v>15.540178571428571</v>
      </c>
      <c r="W116" s="770">
        <v>4.1637142385755217</v>
      </c>
      <c r="X116" s="770">
        <v>302.25500487142864</v>
      </c>
      <c r="Y116" s="770">
        <v>186.68128532857142</v>
      </c>
    </row>
    <row r="117" spans="14:25">
      <c r="N117" s="771"/>
      <c r="O117" s="771"/>
      <c r="P117" s="771">
        <v>10</v>
      </c>
      <c r="Q117" s="770">
        <v>28.093753942631899</v>
      </c>
      <c r="R117" s="770">
        <v>19.095928647332201</v>
      </c>
      <c r="S117" s="770">
        <v>377.74852497494402</v>
      </c>
      <c r="T117" s="770">
        <v>177.15485925714287</v>
      </c>
      <c r="U117" s="770">
        <v>62.624940787617</v>
      </c>
      <c r="V117" s="770">
        <v>12.489226658966601</v>
      </c>
      <c r="W117" s="770">
        <v>4.8724285875714282</v>
      </c>
      <c r="X117" s="770">
        <v>288.89999999999998</v>
      </c>
      <c r="Y117" s="770">
        <v>146.131261154827</v>
      </c>
    </row>
    <row r="118" spans="14:25">
      <c r="N118" s="771"/>
      <c r="O118" s="771"/>
      <c r="P118" s="771">
        <v>11</v>
      </c>
      <c r="Q118" s="770">
        <v>33.420857293265151</v>
      </c>
      <c r="R118" s="770">
        <v>21.210571697780029</v>
      </c>
      <c r="S118" s="770">
        <v>559.81058175223166</v>
      </c>
      <c r="T118" s="770">
        <v>223.70857456752233</v>
      </c>
      <c r="U118" s="770">
        <v>65.082142966134157</v>
      </c>
      <c r="V118" s="770">
        <v>15.861725670950701</v>
      </c>
      <c r="W118" s="770">
        <v>3.3848571777343723</v>
      </c>
      <c r="X118" s="770">
        <v>414.23214285714226</v>
      </c>
      <c r="Y118" s="770">
        <v>110.17142813546286</v>
      </c>
    </row>
    <row r="119" spans="14:25">
      <c r="N119" s="771"/>
      <c r="O119" s="771"/>
      <c r="P119" s="771">
        <v>12</v>
      </c>
      <c r="Q119" s="770">
        <v>23.805857249668641</v>
      </c>
      <c r="R119" s="770">
        <v>19.053143092564113</v>
      </c>
      <c r="S119" s="770">
        <v>323.97713797432982</v>
      </c>
      <c r="T119" s="770">
        <v>151.51800210135301</v>
      </c>
      <c r="U119" s="770">
        <v>38.394142695835612</v>
      </c>
      <c r="V119" s="770">
        <v>15.601665633065315</v>
      </c>
      <c r="W119" s="770">
        <v>2.6404285430908159</v>
      </c>
      <c r="X119" s="770">
        <v>293.36786106654517</v>
      </c>
      <c r="Y119" s="770">
        <v>81.900570460728204</v>
      </c>
    </row>
    <row r="120" spans="14:25">
      <c r="N120" s="771"/>
      <c r="O120" s="771">
        <v>13</v>
      </c>
      <c r="P120" s="771">
        <v>13</v>
      </c>
      <c r="Q120" s="770">
        <v>28.491428571428571</v>
      </c>
      <c r="R120" s="770">
        <v>22.648571428571426</v>
      </c>
      <c r="S120" s="770">
        <v>381.44857142857143</v>
      </c>
      <c r="T120" s="770">
        <v>178.99571428571431</v>
      </c>
      <c r="U120" s="770">
        <v>36.35</v>
      </c>
      <c r="V120" s="770">
        <v>14.272857142857143</v>
      </c>
      <c r="W120" s="770">
        <v>2.0657142857142858</v>
      </c>
      <c r="X120" s="770">
        <v>268.19142857142862</v>
      </c>
      <c r="Y120" s="770">
        <v>61.771428571428579</v>
      </c>
    </row>
    <row r="121" spans="14:25">
      <c r="N121" s="771"/>
      <c r="O121" s="771"/>
      <c r="P121" s="771">
        <v>14</v>
      </c>
      <c r="Q121" s="770">
        <v>27.723999840872604</v>
      </c>
      <c r="R121" s="770">
        <v>25.617999758039169</v>
      </c>
      <c r="S121" s="770">
        <v>593.21614728655084</v>
      </c>
      <c r="T121" s="770">
        <v>183.63700212751101</v>
      </c>
      <c r="U121" s="770">
        <v>45.316000257219557</v>
      </c>
      <c r="V121" s="770">
        <v>12.459285599844744</v>
      </c>
      <c r="W121" s="770">
        <v>1.8045714242117685</v>
      </c>
      <c r="X121" s="770">
        <v>229.34857395717026</v>
      </c>
      <c r="Y121" s="770">
        <v>46.260999952043754</v>
      </c>
    </row>
    <row r="122" spans="14:25">
      <c r="N122" s="771"/>
      <c r="O122" s="771"/>
      <c r="P122" s="771">
        <v>15</v>
      </c>
      <c r="Q122" s="770">
        <v>22.026428767142853</v>
      </c>
      <c r="R122" s="770">
        <v>20.249143055714288</v>
      </c>
      <c r="S122" s="770">
        <v>348.80585371428572</v>
      </c>
      <c r="T122" s="770">
        <v>124.73814282857143</v>
      </c>
      <c r="U122" s="770">
        <v>26.343714578571426</v>
      </c>
      <c r="V122" s="770">
        <v>12.322202818571428</v>
      </c>
      <c r="W122" s="770">
        <v>1.5654285974285713</v>
      </c>
      <c r="X122" s="770">
        <v>215.08928787142855</v>
      </c>
      <c r="Y122" s="770">
        <v>36.220571791428576</v>
      </c>
    </row>
    <row r="123" spans="14:25">
      <c r="N123" s="771"/>
      <c r="O123" s="771"/>
      <c r="P123" s="771">
        <v>16</v>
      </c>
      <c r="Q123" s="770">
        <v>15.928285734994029</v>
      </c>
      <c r="R123" s="770">
        <v>13.163428579057927</v>
      </c>
      <c r="S123" s="770">
        <v>176.68314470563573</v>
      </c>
      <c r="T123" s="770">
        <v>78.339428492954767</v>
      </c>
      <c r="U123" s="770">
        <v>19.653713771275072</v>
      </c>
      <c r="V123" s="770">
        <v>12.955415725707971</v>
      </c>
      <c r="W123" s="770">
        <v>1.6847143173217742</v>
      </c>
      <c r="X123" s="770">
        <v>128.73071398053784</v>
      </c>
      <c r="Y123" s="770">
        <v>27.017142704554924</v>
      </c>
    </row>
    <row r="124" spans="14:25">
      <c r="N124" s="771"/>
      <c r="O124" s="771"/>
      <c r="P124" s="771">
        <v>17</v>
      </c>
      <c r="Q124" s="770">
        <v>14.988285734993999</v>
      </c>
      <c r="R124" s="770">
        <v>14.963714392629401</v>
      </c>
      <c r="S124" s="770">
        <v>174.68314470563601</v>
      </c>
      <c r="T124" s="770">
        <v>73.639428492954806</v>
      </c>
      <c r="U124" s="770">
        <v>18.143000000000001</v>
      </c>
      <c r="V124" s="770">
        <v>13.5886286328445</v>
      </c>
      <c r="W124" s="770">
        <v>1.80400003721498</v>
      </c>
      <c r="X124" s="770">
        <v>118.43833195974599</v>
      </c>
      <c r="Y124" s="770">
        <v>26.255714235187</v>
      </c>
    </row>
    <row r="125" spans="14:25">
      <c r="N125" s="771"/>
      <c r="O125" s="771"/>
      <c r="P125" s="771">
        <v>18</v>
      </c>
      <c r="Q125" s="770">
        <v>13.782857142857143</v>
      </c>
      <c r="R125" s="770">
        <v>9.805714285714286</v>
      </c>
      <c r="S125" s="770">
        <v>119.01714285714286</v>
      </c>
      <c r="T125" s="770">
        <v>55.180000000000007</v>
      </c>
      <c r="U125" s="770">
        <v>17.828571428571429</v>
      </c>
      <c r="V125" s="770">
        <v>12.145714285714286</v>
      </c>
      <c r="W125" s="770">
        <v>1.5071428571428569</v>
      </c>
      <c r="X125" s="770">
        <v>73.115714285714276</v>
      </c>
      <c r="Y125" s="770">
        <v>16.581428571428575</v>
      </c>
    </row>
    <row r="126" spans="14:25">
      <c r="N126" s="771"/>
      <c r="O126" s="771"/>
      <c r="P126" s="771">
        <v>19</v>
      </c>
      <c r="Q126" s="770">
        <v>12.89642851693287</v>
      </c>
      <c r="R126" s="770">
        <v>8.2621427263532308</v>
      </c>
      <c r="S126" s="770">
        <v>110.76885659354043</v>
      </c>
      <c r="T126" s="770">
        <v>59.773714338030103</v>
      </c>
      <c r="U126" s="770">
        <v>15.455142838614288</v>
      </c>
      <c r="V126" s="770">
        <v>11.9720828192574</v>
      </c>
      <c r="W126" s="770">
        <v>1.5408571277345884</v>
      </c>
      <c r="X126" s="770">
        <v>69.296428135463117</v>
      </c>
      <c r="Y126" s="770">
        <v>69.459999084472599</v>
      </c>
    </row>
    <row r="127" spans="14:25">
      <c r="N127" s="771"/>
      <c r="O127" s="771"/>
      <c r="P127" s="771">
        <v>20</v>
      </c>
      <c r="Q127" s="770">
        <v>12.223428453717887</v>
      </c>
      <c r="R127" s="770">
        <v>8.1970000267028773</v>
      </c>
      <c r="S127" s="770">
        <v>101.37014225551034</v>
      </c>
      <c r="T127" s="770">
        <v>76.803571428571416</v>
      </c>
      <c r="U127" s="770">
        <v>17.032571247645741</v>
      </c>
      <c r="V127" s="770">
        <v>12.044524329049228</v>
      </c>
      <c r="W127" s="770">
        <v>1.2638571347509076</v>
      </c>
      <c r="X127" s="770">
        <v>62.86000006539475</v>
      </c>
      <c r="Y127" s="770">
        <v>66.260002136230398</v>
      </c>
    </row>
    <row r="128" spans="14:25">
      <c r="N128" s="771"/>
      <c r="O128" s="771"/>
      <c r="P128" s="771">
        <v>21</v>
      </c>
      <c r="Q128" s="770">
        <v>10.884428433009543</v>
      </c>
      <c r="R128" s="770">
        <v>7.9334286281040693</v>
      </c>
      <c r="S128" s="770">
        <v>97.459857395716909</v>
      </c>
      <c r="T128" s="770">
        <v>50.738285609653985</v>
      </c>
      <c r="U128" s="770">
        <v>13.328000204903701</v>
      </c>
      <c r="V128" s="770">
        <v>12.004824365888286</v>
      </c>
      <c r="W128" s="770">
        <v>1.5594285896846185</v>
      </c>
      <c r="X128" s="770">
        <v>54.305714198521159</v>
      </c>
      <c r="Y128" s="770">
        <v>65.75</v>
      </c>
    </row>
    <row r="129" spans="14:25">
      <c r="N129" s="771"/>
      <c r="O129" s="771">
        <v>22</v>
      </c>
      <c r="P129" s="771">
        <v>22</v>
      </c>
      <c r="Q129" s="770">
        <v>10.348285540285715</v>
      </c>
      <c r="R129" s="770">
        <v>7.5271429334285713</v>
      </c>
      <c r="S129" s="770">
        <v>89.468571255714281</v>
      </c>
      <c r="T129" s="770">
        <v>47.993857245714288</v>
      </c>
      <c r="U129" s="770">
        <v>14.01614271</v>
      </c>
      <c r="V129" s="770">
        <v>12.003629958571429</v>
      </c>
      <c r="W129" s="770">
        <v>1.5562856965714285</v>
      </c>
      <c r="X129" s="770">
        <v>53.467142922857143</v>
      </c>
      <c r="Y129" s="770">
        <v>65.72000122</v>
      </c>
    </row>
    <row r="130" spans="14:25">
      <c r="N130" s="771"/>
      <c r="O130" s="771"/>
      <c r="P130" s="771">
        <v>23</v>
      </c>
      <c r="Q130" s="770">
        <v>9.2024285452706458</v>
      </c>
      <c r="R130" s="770">
        <v>7.8158572060721223</v>
      </c>
      <c r="S130" s="770">
        <v>76.892712184361002</v>
      </c>
      <c r="T130" s="770">
        <v>57.958285740443614</v>
      </c>
      <c r="U130" s="770">
        <v>15.881571360996745</v>
      </c>
      <c r="V130" s="770">
        <v>11.987857137407543</v>
      </c>
      <c r="W130" s="770">
        <v>1.6308571440832915</v>
      </c>
      <c r="X130" s="770">
        <v>51.62714331490649</v>
      </c>
      <c r="Y130" s="770">
        <v>10.504285676138702</v>
      </c>
    </row>
    <row r="131" spans="14:25">
      <c r="N131" s="771"/>
      <c r="O131" s="771"/>
      <c r="P131" s="771">
        <v>24</v>
      </c>
      <c r="Q131" s="770">
        <v>9.7554287231428578</v>
      </c>
      <c r="R131" s="770">
        <v>6.7071426938571426</v>
      </c>
      <c r="S131" s="770">
        <v>81.342571802857151</v>
      </c>
      <c r="T131" s="770">
        <v>44.565714157142857</v>
      </c>
      <c r="U131" s="770">
        <v>11.95571436</v>
      </c>
      <c r="V131" s="770">
        <v>11.995954241428569</v>
      </c>
      <c r="W131" s="770">
        <v>1.5964285474285715</v>
      </c>
      <c r="X131" s="770">
        <v>52.48000008857143</v>
      </c>
      <c r="Y131" s="770">
        <v>8.8472856794285715</v>
      </c>
    </row>
    <row r="132" spans="14:25">
      <c r="N132" s="771"/>
      <c r="O132" s="771"/>
      <c r="P132" s="771">
        <v>25</v>
      </c>
      <c r="Q132" s="770">
        <v>9.0029998505714293</v>
      </c>
      <c r="R132" s="770">
        <v>5.0975714409999995</v>
      </c>
      <c r="S132" s="770">
        <v>74.786714827142859</v>
      </c>
      <c r="T132" s="770">
        <v>37.470142908571425</v>
      </c>
      <c r="U132" s="770">
        <v>10.698285784285716</v>
      </c>
      <c r="V132" s="770">
        <v>12.037141528571428</v>
      </c>
      <c r="W132" s="770">
        <v>1.5865714718571431</v>
      </c>
      <c r="X132" s="770">
        <v>52.899999890000004</v>
      </c>
      <c r="Y132" s="770">
        <v>7.1708572252857135</v>
      </c>
    </row>
    <row r="133" spans="14:25">
      <c r="N133" s="771"/>
      <c r="O133" s="771"/>
      <c r="P133" s="771">
        <v>26</v>
      </c>
      <c r="Q133" s="770">
        <v>8.8088571004285718</v>
      </c>
      <c r="R133" s="770">
        <v>4.9562855787142857</v>
      </c>
      <c r="S133" s="770">
        <v>70.028570991428566</v>
      </c>
      <c r="T133" s="770">
        <v>32.059714182857142</v>
      </c>
      <c r="U133" s="770">
        <v>11.252857207571427</v>
      </c>
      <c r="V133" s="770">
        <v>12.019521304285714</v>
      </c>
      <c r="W133" s="770">
        <v>2.0531428372857143</v>
      </c>
      <c r="X133" s="770">
        <v>50.610000065714296</v>
      </c>
      <c r="Y133" s="770">
        <v>6.7431428091428582</v>
      </c>
    </row>
    <row r="134" spans="14:25">
      <c r="N134" s="771"/>
      <c r="O134" s="771"/>
      <c r="P134" s="771">
        <v>27</v>
      </c>
      <c r="Q134" s="770">
        <v>8.6749999188571429</v>
      </c>
      <c r="R134" s="770">
        <v>5.8004284587142854</v>
      </c>
      <c r="S134" s="770">
        <v>73.483713422857136</v>
      </c>
      <c r="T134" s="770">
        <v>28.196285791428572</v>
      </c>
      <c r="U134" s="770">
        <v>8.894857134285715</v>
      </c>
      <c r="V134" s="770">
        <v>12.048987115714286</v>
      </c>
      <c r="W134" s="770">
        <v>1.7931428807142857</v>
      </c>
      <c r="X134" s="770">
        <v>39.56999969571428</v>
      </c>
      <c r="Y134" s="770">
        <v>6.9555713788571438</v>
      </c>
    </row>
    <row r="135" spans="14:25">
      <c r="N135" s="771"/>
      <c r="O135" s="771"/>
      <c r="P135" s="771">
        <v>28</v>
      </c>
      <c r="Q135" s="770">
        <v>8.5319998604285718</v>
      </c>
      <c r="R135" s="770">
        <v>4.793428557285714</v>
      </c>
      <c r="S135" s="770">
        <v>71.609712874285705</v>
      </c>
      <c r="T135" s="770">
        <v>29.315428597142859</v>
      </c>
      <c r="U135" s="770">
        <v>8.5744282858571417</v>
      </c>
      <c r="V135" s="770">
        <v>13.016607148571428</v>
      </c>
      <c r="W135" s="770">
        <v>1.5484285694285713</v>
      </c>
      <c r="X135" s="770">
        <v>37.367143358571425</v>
      </c>
      <c r="Y135" s="770">
        <v>7.7912856511428572</v>
      </c>
    </row>
    <row r="136" spans="14:25">
      <c r="N136" s="771"/>
      <c r="O136" s="771"/>
      <c r="P136" s="771">
        <v>29</v>
      </c>
      <c r="Q136" s="770">
        <v>7.5015713146754646</v>
      </c>
      <c r="R136" s="770">
        <v>4.1201429026467418</v>
      </c>
      <c r="S136" s="770">
        <v>70.704857962472062</v>
      </c>
      <c r="T136" s="770">
        <v>28.869000026157888</v>
      </c>
      <c r="U136" s="770">
        <v>8.3951428277151887</v>
      </c>
      <c r="V136" s="770">
        <v>11.558748653956785</v>
      </c>
      <c r="W136" s="770">
        <v>1.8301428726741213</v>
      </c>
      <c r="X136" s="770">
        <v>34.207142421177402</v>
      </c>
      <c r="Y136" s="770">
        <v>7.1859999213899801</v>
      </c>
    </row>
    <row r="137" spans="14:25">
      <c r="N137" s="771"/>
      <c r="O137" s="771"/>
      <c r="P137" s="771">
        <v>30</v>
      </c>
      <c r="Q137" s="770">
        <v>6.9631428037142857</v>
      </c>
      <c r="R137" s="770">
        <v>3.7525714465714288</v>
      </c>
      <c r="S137" s="770">
        <v>70.704857962857133</v>
      </c>
      <c r="T137" s="770">
        <v>27.43799999714286</v>
      </c>
      <c r="U137" s="770">
        <v>8.4329999515714285</v>
      </c>
      <c r="V137" s="770">
        <v>11.530537195714285</v>
      </c>
      <c r="W137" s="770">
        <v>1.7351428440000001</v>
      </c>
      <c r="X137" s="770">
        <v>33.177856990000002</v>
      </c>
      <c r="Y137" s="770">
        <v>10.289285525142857</v>
      </c>
    </row>
    <row r="138" spans="14:25">
      <c r="N138" s="771"/>
      <c r="O138" s="771"/>
      <c r="P138" s="771">
        <v>31</v>
      </c>
      <c r="Q138" s="770">
        <v>6.8165713718959227</v>
      </c>
      <c r="R138" s="770">
        <v>3.3494285855974431</v>
      </c>
      <c r="S138" s="770">
        <v>63.379999978201695</v>
      </c>
      <c r="T138" s="770">
        <v>26.440285818917356</v>
      </c>
      <c r="U138" s="770">
        <v>7.6332857949393071</v>
      </c>
      <c r="V138" s="770">
        <v>13.242675645010754</v>
      </c>
      <c r="W138" s="770">
        <v>1.6478571380887672</v>
      </c>
      <c r="X138" s="770">
        <v>31.918571744646293</v>
      </c>
      <c r="Y138" s="770">
        <v>7.0418571063450344</v>
      </c>
    </row>
    <row r="139" spans="14:25">
      <c r="N139" s="771"/>
      <c r="O139" s="771"/>
      <c r="P139" s="771">
        <v>32</v>
      </c>
      <c r="Q139" s="770">
        <v>6.7767143249511674</v>
      </c>
      <c r="R139" s="770">
        <v>3.2958571570260142</v>
      </c>
      <c r="S139" s="770">
        <v>71.012714930943048</v>
      </c>
      <c r="T139" s="770">
        <v>46.172571454729322</v>
      </c>
      <c r="U139" s="770">
        <v>10.471999985831093</v>
      </c>
      <c r="V139" s="770">
        <v>14.178215708051356</v>
      </c>
      <c r="W139" s="770">
        <v>1.7564285823277028</v>
      </c>
      <c r="X139" s="770">
        <v>36.164285932268385</v>
      </c>
      <c r="Y139" s="770">
        <v>6.8281428813934264</v>
      </c>
    </row>
    <row r="140" spans="14:25">
      <c r="N140" s="771"/>
      <c r="O140" s="771"/>
      <c r="P140" s="771">
        <v>33</v>
      </c>
      <c r="Q140" s="770">
        <v>6.6272856167142846</v>
      </c>
      <c r="R140" s="770">
        <v>3.2975714547142858</v>
      </c>
      <c r="S140" s="770">
        <v>68.504143305714294</v>
      </c>
      <c r="T140" s="770">
        <v>27.946428571428573</v>
      </c>
      <c r="U140" s="770">
        <v>7.9560000554285706</v>
      </c>
      <c r="V140" s="770">
        <v>14.038035665714288</v>
      </c>
      <c r="W140" s="770">
        <v>1.7424285411428571</v>
      </c>
      <c r="X140" s="770">
        <v>35.879999975714291</v>
      </c>
      <c r="Y140" s="770">
        <v>5.7674285684285715</v>
      </c>
    </row>
    <row r="141" spans="14:25">
      <c r="N141" s="771"/>
      <c r="O141" s="771">
        <v>34</v>
      </c>
      <c r="P141" s="771">
        <v>34</v>
      </c>
      <c r="Q141" s="770">
        <v>6.5701428822857153</v>
      </c>
      <c r="R141" s="770">
        <v>3.5422857148571425</v>
      </c>
      <c r="S141" s="770">
        <v>67.757142747142865</v>
      </c>
      <c r="T141" s="770">
        <v>25.892714362857141</v>
      </c>
      <c r="U141" s="770">
        <v>7.6575713838571433</v>
      </c>
      <c r="V141" s="770">
        <v>13.967680111428573</v>
      </c>
      <c r="W141" s="770">
        <v>1.731428572</v>
      </c>
      <c r="X141" s="770">
        <v>38.545714242857137</v>
      </c>
      <c r="Y141" s="770">
        <v>2.1432857171428572</v>
      </c>
    </row>
    <row r="142" spans="14:25">
      <c r="N142" s="771"/>
      <c r="O142" s="771"/>
      <c r="P142" s="771">
        <v>35</v>
      </c>
      <c r="Q142" s="770">
        <v>6.5428572382245695</v>
      </c>
      <c r="R142" s="770">
        <v>3.660142830439971</v>
      </c>
      <c r="S142" s="770">
        <v>64.803571428571402</v>
      </c>
      <c r="T142" s="770">
        <v>24.232000078473732</v>
      </c>
      <c r="U142" s="770">
        <v>6.8082856450762028</v>
      </c>
      <c r="V142" s="770">
        <v>14.05898720877507</v>
      </c>
      <c r="W142" s="770">
        <v>1.7037142855780412</v>
      </c>
      <c r="X142" s="770">
        <v>40.62499999999995</v>
      </c>
      <c r="Y142" s="770">
        <v>7.1627143110547582</v>
      </c>
    </row>
    <row r="143" spans="14:25">
      <c r="N143" s="771"/>
      <c r="O143" s="771"/>
      <c r="P143" s="771">
        <v>36</v>
      </c>
      <c r="Q143" s="770">
        <v>6.3227143287142855</v>
      </c>
      <c r="R143" s="770">
        <v>4.3679998937142859</v>
      </c>
      <c r="S143" s="770">
        <v>61.738000054285713</v>
      </c>
      <c r="T143" s="770">
        <v>22.238142831428572</v>
      </c>
      <c r="U143" s="770">
        <v>6.3390000000000004</v>
      </c>
      <c r="V143" s="770">
        <v>14.080715725714285</v>
      </c>
      <c r="W143" s="770">
        <v>1.4800000019999999</v>
      </c>
      <c r="X143" s="770">
        <v>39.675715311428569</v>
      </c>
      <c r="Y143" s="770">
        <v>5.1081428868571424</v>
      </c>
    </row>
    <row r="144" spans="14:25">
      <c r="N144" s="771"/>
      <c r="O144" s="771"/>
      <c r="P144" s="771">
        <v>37</v>
      </c>
      <c r="Q144" s="770">
        <v>6.2865810394126704</v>
      </c>
      <c r="R144" s="770">
        <v>3.77252543796107</v>
      </c>
      <c r="S144" s="770">
        <v>59.887714115714203</v>
      </c>
      <c r="T144" s="770">
        <v>22.866306149296399</v>
      </c>
      <c r="U144" s="770">
        <v>5.7651427948238201</v>
      </c>
      <c r="V144" s="770">
        <v>14.0125123574527</v>
      </c>
      <c r="W144" s="770">
        <v>1.63901983647542</v>
      </c>
      <c r="X144" s="770">
        <v>42.048215323571398</v>
      </c>
      <c r="Y144" s="770">
        <v>5.8057857581702397</v>
      </c>
    </row>
    <row r="145" spans="14:25">
      <c r="N145" s="771"/>
      <c r="O145" s="771"/>
      <c r="P145" s="771">
        <v>38</v>
      </c>
      <c r="Q145" s="770">
        <v>5.793857097625728</v>
      </c>
      <c r="R145" s="770">
        <v>4.5530000073569106</v>
      </c>
      <c r="S145" s="770">
        <v>64.924144199916256</v>
      </c>
      <c r="T145" s="770">
        <v>29.702428545270628</v>
      </c>
      <c r="U145" s="770">
        <v>6.6742858205522735</v>
      </c>
      <c r="V145" s="770">
        <v>13.981904302324526</v>
      </c>
      <c r="W145" s="770">
        <v>1.5090000288827028</v>
      </c>
      <c r="X145" s="770">
        <v>43.403571537562748</v>
      </c>
      <c r="Y145" s="770">
        <v>6.7047142982482857</v>
      </c>
    </row>
    <row r="146" spans="14:25">
      <c r="N146" s="771"/>
      <c r="O146" s="771"/>
      <c r="P146" s="771">
        <v>39</v>
      </c>
      <c r="Q146" s="770">
        <v>5.9811427934285719</v>
      </c>
      <c r="R146" s="770">
        <v>3.9475713797142857</v>
      </c>
      <c r="S146" s="770">
        <v>70.514285495714276</v>
      </c>
      <c r="T146" s="770">
        <v>38.059571402857145</v>
      </c>
      <c r="U146" s="770">
        <v>7.1607142177142862</v>
      </c>
      <c r="V146" s="770">
        <v>14.00559575142857</v>
      </c>
      <c r="W146" s="770">
        <v>1.4841428652857143</v>
      </c>
      <c r="X146" s="770">
        <v>39.662857054285716</v>
      </c>
      <c r="Y146" s="770">
        <v>3.8321428128571426</v>
      </c>
    </row>
    <row r="147" spans="14:25">
      <c r="N147" s="771"/>
      <c r="O147" s="771"/>
      <c r="P147" s="771">
        <v>40</v>
      </c>
      <c r="Q147" s="770">
        <v>5.635571479797358</v>
      </c>
      <c r="R147" s="770">
        <v>4.196571486336838</v>
      </c>
      <c r="S147" s="770">
        <v>63.012999943324473</v>
      </c>
      <c r="T147" s="770">
        <v>36.791714259556329</v>
      </c>
      <c r="U147" s="770">
        <v>7.419142927442274</v>
      </c>
      <c r="V147" s="770">
        <v>14.040832792009573</v>
      </c>
      <c r="W147" s="770">
        <v>1.3278571452413228</v>
      </c>
      <c r="X147" s="770">
        <v>38.878571646554072</v>
      </c>
      <c r="Y147" s="770">
        <v>6.02885715450559</v>
      </c>
    </row>
    <row r="148" spans="14:25">
      <c r="N148" s="771"/>
      <c r="O148" s="771"/>
      <c r="P148" s="771">
        <v>41</v>
      </c>
      <c r="Q148" s="770">
        <v>5.5000561646503403</v>
      </c>
      <c r="R148" s="770">
        <v>4.2840944572134498</v>
      </c>
      <c r="S148" s="770">
        <v>66.388028771146395</v>
      </c>
      <c r="T148" s="770">
        <v>43.221755070626699</v>
      </c>
      <c r="U148" s="770">
        <v>6.8784286265785504</v>
      </c>
      <c r="V148" s="770">
        <v>14.068372771605899</v>
      </c>
      <c r="W148" s="770">
        <v>1.3502551701649099</v>
      </c>
      <c r="X148" s="770">
        <v>39.9741191131004</v>
      </c>
      <c r="Y148" s="770">
        <v>6.1968265237028799</v>
      </c>
    </row>
    <row r="149" spans="14:25">
      <c r="N149" s="771"/>
      <c r="O149" s="771"/>
      <c r="P149" s="771">
        <v>42</v>
      </c>
      <c r="Q149" s="770">
        <v>4.9938571794285718</v>
      </c>
      <c r="R149" s="770">
        <v>4</v>
      </c>
      <c r="S149" s="770">
        <v>62.769999368571426</v>
      </c>
      <c r="T149" s="770">
        <v>38</v>
      </c>
      <c r="U149" s="770">
        <v>9.4662852974285716</v>
      </c>
      <c r="V149" s="770">
        <v>14.016308650000001</v>
      </c>
      <c r="W149" s="770">
        <v>1.3397142717142856</v>
      </c>
      <c r="X149" s="770">
        <v>40.656428200000001</v>
      </c>
      <c r="Y149" s="770">
        <v>9.5699999659999992</v>
      </c>
    </row>
    <row r="150" spans="14:25">
      <c r="N150" s="771"/>
      <c r="O150" s="771"/>
      <c r="P150" s="771">
        <v>43</v>
      </c>
      <c r="Q150" s="770">
        <v>5.6268571444920088</v>
      </c>
      <c r="R150" s="770">
        <v>4.612428597041534</v>
      </c>
      <c r="S150" s="770">
        <v>52.281571524483752</v>
      </c>
      <c r="T150" s="770">
        <v>34.410571507045155</v>
      </c>
      <c r="U150" s="770">
        <v>5.7607142584664448</v>
      </c>
      <c r="V150" s="770">
        <v>14.078072684151758</v>
      </c>
      <c r="W150" s="770">
        <v>1.3554285253797185</v>
      </c>
      <c r="X150" s="770">
        <v>41.783572060721227</v>
      </c>
      <c r="Y150" s="770">
        <v>9.7359999247959532</v>
      </c>
    </row>
    <row r="151" spans="14:25">
      <c r="N151" s="771"/>
      <c r="O151" s="771">
        <v>44</v>
      </c>
      <c r="P151" s="771">
        <v>44</v>
      </c>
      <c r="Q151" s="770">
        <v>5.2291429382857144</v>
      </c>
      <c r="R151" s="770">
        <v>4.4097143239999994</v>
      </c>
      <c r="S151" s="770">
        <v>53.939428057142855</v>
      </c>
      <c r="T151" s="770">
        <v>27.107142857142858</v>
      </c>
      <c r="U151" s="770">
        <v>5.9262857437142857</v>
      </c>
      <c r="V151" s="770">
        <v>13.987262724285713</v>
      </c>
      <c r="W151" s="770">
        <v>1.3972857167142858</v>
      </c>
      <c r="X151" s="770">
        <v>40.991428375714285</v>
      </c>
      <c r="Y151" s="770">
        <v>9.787285668857141</v>
      </c>
    </row>
    <row r="152" spans="14:25">
      <c r="N152" s="771"/>
      <c r="O152" s="771"/>
      <c r="P152" s="771">
        <v>45</v>
      </c>
      <c r="Q152" s="770">
        <v>5.4345714705330943</v>
      </c>
      <c r="R152" s="770">
        <v>3.90100002288818</v>
      </c>
      <c r="S152" s="770">
        <v>62.510428837367428</v>
      </c>
      <c r="T152" s="770">
        <v>29.329142979213128</v>
      </c>
      <c r="U152" s="770">
        <v>5.2147143227713402</v>
      </c>
      <c r="V152" s="770">
        <v>13.874702862330802</v>
      </c>
      <c r="W152" s="770">
        <v>1.3508571045739299</v>
      </c>
      <c r="X152" s="770">
        <v>40.139285496302975</v>
      </c>
      <c r="Y152" s="770">
        <v>8.3278572218758669</v>
      </c>
    </row>
    <row r="153" spans="14:25">
      <c r="N153" s="771"/>
      <c r="O153" s="771"/>
      <c r="P153" s="771">
        <v>46</v>
      </c>
      <c r="Q153" s="770">
        <v>5.3250000135714286</v>
      </c>
      <c r="R153" s="770">
        <v>3.9275713648571431</v>
      </c>
      <c r="S153" s="770">
        <v>53.200286319999996</v>
      </c>
      <c r="T153" s="770">
        <v>26.72028568857143</v>
      </c>
      <c r="U153" s="770">
        <v>6.1838571684285712</v>
      </c>
      <c r="V153" s="770">
        <v>14.021962847142857</v>
      </c>
      <c r="W153" s="770">
        <v>1.3508571042857143</v>
      </c>
      <c r="X153" s="770">
        <v>39.383571627142864</v>
      </c>
      <c r="Y153" s="770">
        <v>8.9714284620000004</v>
      </c>
    </row>
    <row r="154" spans="14:25">
      <c r="N154" s="771"/>
      <c r="O154" s="771"/>
      <c r="P154" s="771">
        <v>47</v>
      </c>
      <c r="Q154" s="770">
        <v>5.2195714201245949</v>
      </c>
      <c r="R154" s="770">
        <v>4.3361428805759958</v>
      </c>
      <c r="S154" s="770">
        <v>58.334714617047958</v>
      </c>
      <c r="T154" s="770">
        <v>27.404714311872173</v>
      </c>
      <c r="U154" s="770">
        <v>5.6749998501368912</v>
      </c>
      <c r="V154" s="770">
        <v>12.869702747889887</v>
      </c>
      <c r="W154" s="770">
        <v>1.3509999513626101</v>
      </c>
      <c r="X154" s="770">
        <v>41.750000544956698</v>
      </c>
      <c r="Y154" s="770">
        <v>7.719999926430833</v>
      </c>
    </row>
    <row r="155" spans="14:25">
      <c r="N155" s="771"/>
      <c r="O155" s="771"/>
      <c r="P155" s="771">
        <v>48</v>
      </c>
      <c r="Q155" s="770">
        <v>5.7077142170497295</v>
      </c>
      <c r="R155" s="770">
        <v>4.0250000272478319</v>
      </c>
      <c r="S155" s="770">
        <v>50.089571816580602</v>
      </c>
      <c r="T155" s="770">
        <v>25.464285714285698</v>
      </c>
      <c r="U155" s="770">
        <v>5.2590000288827037</v>
      </c>
      <c r="V155" s="770">
        <v>12.914761407034687</v>
      </c>
      <c r="W155" s="770">
        <v>1.3509999513626101</v>
      </c>
      <c r="X155" s="770">
        <v>40.275714329310787</v>
      </c>
      <c r="Y155" s="770">
        <v>9.8602855546133554</v>
      </c>
    </row>
    <row r="156" spans="14:25">
      <c r="N156" s="771"/>
      <c r="O156" s="771"/>
      <c r="P156" s="771">
        <v>49</v>
      </c>
      <c r="Q156" s="770">
        <v>6.1595714432857145</v>
      </c>
      <c r="R156" s="770">
        <v>3.979571376428571</v>
      </c>
      <c r="S156" s="770">
        <v>60.034714289999997</v>
      </c>
      <c r="T156" s="770">
        <v>26.208285740000001</v>
      </c>
      <c r="U156" s="770">
        <v>4.6138571330000007</v>
      </c>
      <c r="V156" s="770">
        <v>13.072690148571429</v>
      </c>
      <c r="W156" s="770">
        <v>1.3818571054285713</v>
      </c>
      <c r="X156" s="770">
        <v>41.965714589999997</v>
      </c>
      <c r="Y156" s="770">
        <v>10.514714377142857</v>
      </c>
    </row>
    <row r="157" spans="14:25">
      <c r="N157" s="771"/>
      <c r="O157" s="771"/>
      <c r="P157" s="771">
        <v>50</v>
      </c>
      <c r="Q157" s="770">
        <v>8.2302858491428559</v>
      </c>
      <c r="R157" s="770">
        <v>4.227428538571429</v>
      </c>
      <c r="S157" s="770">
        <v>60.558143069999993</v>
      </c>
      <c r="T157" s="770">
        <v>47.559571402857145</v>
      </c>
      <c r="U157" s="770">
        <v>9.325571467571427</v>
      </c>
      <c r="V157" s="770">
        <v>12.378569737142858</v>
      </c>
      <c r="W157" s="770">
        <v>2.3402857099999999</v>
      </c>
      <c r="X157" s="770">
        <v>44.681428635714283</v>
      </c>
      <c r="Y157" s="770">
        <v>13.792428560000001</v>
      </c>
    </row>
    <row r="158" spans="14:25">
      <c r="N158" s="771"/>
      <c r="O158" s="771"/>
      <c r="P158" s="771">
        <v>51</v>
      </c>
      <c r="Q158" s="770">
        <v>8.6974285665714284</v>
      </c>
      <c r="R158" s="770">
        <v>4.2828571114285712</v>
      </c>
      <c r="S158" s="770">
        <v>76.682998657142861</v>
      </c>
      <c r="T158" s="770">
        <v>47.559571402857145</v>
      </c>
      <c r="U158" s="770">
        <v>9.325571467571427</v>
      </c>
      <c r="V158" s="770">
        <v>13.595178467142899</v>
      </c>
      <c r="W158" s="770">
        <v>2.1075714314285716</v>
      </c>
      <c r="X158" s="770">
        <v>58.199286324285715</v>
      </c>
      <c r="Y158" s="770">
        <v>17.965714182857145</v>
      </c>
    </row>
    <row r="159" spans="14:25">
      <c r="N159" s="771"/>
      <c r="O159" s="771">
        <v>52</v>
      </c>
      <c r="P159" s="771">
        <v>52</v>
      </c>
      <c r="Q159" s="770">
        <v>12.067857061428571</v>
      </c>
      <c r="R159" s="770">
        <v>5.9124286172857135</v>
      </c>
      <c r="S159" s="770">
        <v>82.013715471428569</v>
      </c>
      <c r="T159" s="770">
        <v>71.637142725714284</v>
      </c>
      <c r="U159" s="770">
        <v>27.029714380142856</v>
      </c>
      <c r="V159" s="770">
        <v>13.1345855185714</v>
      </c>
      <c r="W159" s="770">
        <v>1.4207143104285713</v>
      </c>
      <c r="X159" s="770">
        <v>49.959429059999998</v>
      </c>
      <c r="Y159" s="770">
        <v>13.465142795714286</v>
      </c>
    </row>
    <row r="160" spans="14:25">
      <c r="N160" s="277">
        <v>2023</v>
      </c>
      <c r="P160" s="277">
        <v>1</v>
      </c>
      <c r="Q160" s="770">
        <v>15.932143074285715</v>
      </c>
      <c r="R160" s="770">
        <v>11.847142697285713</v>
      </c>
      <c r="S160" s="770">
        <v>128.12399947142856</v>
      </c>
      <c r="T160" s="770">
        <v>120.91071428857143</v>
      </c>
      <c r="U160" s="770">
        <v>7.7642858370000001</v>
      </c>
      <c r="V160" s="770">
        <v>11.095357077142859</v>
      </c>
      <c r="W160" s="770">
        <v>1.6364285774285714</v>
      </c>
      <c r="X160" s="770">
        <v>66.995713914285716</v>
      </c>
      <c r="Y160" s="770">
        <v>22.307714735714285</v>
      </c>
    </row>
    <row r="161" spans="15:25">
      <c r="P161" s="774">
        <v>2</v>
      </c>
      <c r="Q161" s="770">
        <v>13.622000012857143</v>
      </c>
      <c r="R161" s="770">
        <v>10.387571334714284</v>
      </c>
      <c r="S161" s="770">
        <v>121.34800174285715</v>
      </c>
      <c r="T161" s="770">
        <v>63.964285714285715</v>
      </c>
      <c r="U161" s="770">
        <v>8.3012856074285715</v>
      </c>
      <c r="V161" s="770">
        <v>10.665118488571428</v>
      </c>
      <c r="W161" s="770">
        <v>1.4351428745714288</v>
      </c>
      <c r="X161" s="770">
        <v>61.672285351428577</v>
      </c>
      <c r="Y161" s="770">
        <v>20.728857314285712</v>
      </c>
    </row>
    <row r="162" spans="15:25">
      <c r="P162" s="277">
        <v>3</v>
      </c>
      <c r="Q162" s="770">
        <v>14.96771430969237</v>
      </c>
      <c r="R162" s="770">
        <v>12.343428543635765</v>
      </c>
      <c r="S162" s="770">
        <v>86.206856863839235</v>
      </c>
      <c r="T162" s="770">
        <v>66.660714285714292</v>
      </c>
      <c r="U162" s="770">
        <v>13.8641426903861</v>
      </c>
      <c r="V162" s="770">
        <v>10.825061389378083</v>
      </c>
      <c r="W162" s="770">
        <v>1.1248571532113172</v>
      </c>
      <c r="X162" s="770">
        <v>45.978571755545445</v>
      </c>
      <c r="Y162" s="770">
        <v>14.135142598833328</v>
      </c>
    </row>
    <row r="163" spans="15:25">
      <c r="P163" s="277">
        <v>4</v>
      </c>
      <c r="Q163" s="770">
        <v>13.91128580857143</v>
      </c>
      <c r="R163" s="770">
        <v>11.180999892285714</v>
      </c>
      <c r="S163" s="770">
        <v>104.57885634428571</v>
      </c>
      <c r="T163" s="770">
        <v>85.190571371428561</v>
      </c>
      <c r="U163" s="770">
        <v>19.117857387142859</v>
      </c>
      <c r="V163" s="770">
        <v>11.076488631428571</v>
      </c>
      <c r="W163" s="770">
        <v>1.6419999940000001</v>
      </c>
      <c r="X163" s="770">
        <v>48.097142900000001</v>
      </c>
      <c r="Y163" s="770">
        <v>12.892857279999999</v>
      </c>
    </row>
    <row r="164" spans="15:25">
      <c r="P164" s="277">
        <v>5</v>
      </c>
      <c r="Q164" s="770">
        <v>16.3</v>
      </c>
      <c r="R164" s="770">
        <v>12.37</v>
      </c>
      <c r="S164" s="770">
        <v>154.74</v>
      </c>
      <c r="T164" s="770">
        <v>146.63999999999999</v>
      </c>
      <c r="U164" s="770">
        <v>16.501999999999999</v>
      </c>
      <c r="V164" s="770">
        <v>11.3279158734791</v>
      </c>
      <c r="W164" s="770">
        <v>3.9329999999999998</v>
      </c>
      <c r="X164" s="770">
        <v>92.98</v>
      </c>
      <c r="Y164" s="770">
        <v>30.6</v>
      </c>
    </row>
    <row r="165" spans="15:25">
      <c r="P165" s="277">
        <v>6</v>
      </c>
      <c r="Q165" s="770">
        <v>21.669000080653571</v>
      </c>
      <c r="R165" s="770">
        <v>15.139999934605159</v>
      </c>
      <c r="S165" s="770">
        <v>309.78528267996586</v>
      </c>
      <c r="T165" s="770">
        <v>176.99399893624403</v>
      </c>
      <c r="U165" s="770">
        <v>28.743571690150638</v>
      </c>
      <c r="V165" s="770">
        <v>20.581607409885926</v>
      </c>
      <c r="W165" s="770">
        <v>7.3275715282985106</v>
      </c>
      <c r="X165" s="770">
        <v>131.38999938964815</v>
      </c>
      <c r="Y165" s="770">
        <v>52.329999651227638</v>
      </c>
    </row>
    <row r="166" spans="15:25">
      <c r="P166" s="277">
        <v>7</v>
      </c>
      <c r="Q166" s="770">
        <v>23.23</v>
      </c>
      <c r="R166" s="770">
        <v>16.53</v>
      </c>
      <c r="S166" s="770">
        <v>292.54257421428571</v>
      </c>
      <c r="T166" s="770">
        <v>150.71</v>
      </c>
      <c r="U166" s="770">
        <v>26.15</v>
      </c>
      <c r="V166" s="770">
        <v>23.86</v>
      </c>
      <c r="W166" s="770">
        <v>5.78</v>
      </c>
      <c r="X166" s="770">
        <v>150.34</v>
      </c>
      <c r="Y166" s="770">
        <v>59.46</v>
      </c>
    </row>
    <row r="167" spans="15:25">
      <c r="O167" s="277">
        <v>8</v>
      </c>
      <c r="P167" s="277">
        <v>8</v>
      </c>
      <c r="Q167" s="770">
        <v>30.719714572857139</v>
      </c>
      <c r="R167" s="770">
        <v>21.736999784285718</v>
      </c>
      <c r="S167" s="770">
        <v>394.95185634285707</v>
      </c>
      <c r="T167" s="770">
        <v>196.54171534285712</v>
      </c>
      <c r="U167" s="770">
        <v>45.88742882857143</v>
      </c>
      <c r="V167" s="770">
        <v>17.428035462857142</v>
      </c>
      <c r="W167" s="770">
        <v>2.5667143377142865</v>
      </c>
      <c r="X167" s="770">
        <v>130.17400032857142</v>
      </c>
      <c r="Y167" s="770">
        <v>32.804857528571425</v>
      </c>
    </row>
    <row r="168" spans="15:25">
      <c r="P168" s="277">
        <v>9</v>
      </c>
      <c r="Q168" s="770">
        <v>22.826571600777726</v>
      </c>
      <c r="R168" s="770">
        <v>16.407857349940684</v>
      </c>
      <c r="S168" s="770">
        <v>266.61928667340914</v>
      </c>
      <c r="T168" s="770">
        <v>110.57742745535673</v>
      </c>
      <c r="U168" s="770">
        <v>28.721428462437206</v>
      </c>
      <c r="V168" s="770">
        <v>10.229164259774327</v>
      </c>
      <c r="W168" s="770">
        <v>1.7610000031334958</v>
      </c>
      <c r="X168" s="770">
        <v>94.120000566754854</v>
      </c>
      <c r="Y168" s="770">
        <v>24.390714100428941</v>
      </c>
    </row>
    <row r="169" spans="15:25">
      <c r="P169" s="277">
        <v>10</v>
      </c>
      <c r="Q169" s="770">
        <v>21.89857155857143</v>
      </c>
      <c r="R169" s="770">
        <v>14.010285651428573</v>
      </c>
      <c r="S169" s="770">
        <v>184.85557120000001</v>
      </c>
      <c r="T169" s="770">
        <v>94.220285682857138</v>
      </c>
      <c r="U169" s="770">
        <v>24.092285701428573</v>
      </c>
      <c r="V169" s="770">
        <v>9.952202933142857</v>
      </c>
      <c r="W169" s="770">
        <v>1.6931428228105772</v>
      </c>
      <c r="X169" s="770">
        <v>64.657857077142864</v>
      </c>
      <c r="Y169" s="770">
        <v>22.884571348571431</v>
      </c>
    </row>
    <row r="170" spans="15:25">
      <c r="P170" s="277">
        <v>11</v>
      </c>
      <c r="Q170" s="770">
        <v>27.571428843906915</v>
      </c>
      <c r="R170" s="770">
        <v>20.770999908447244</v>
      </c>
      <c r="S170" s="770">
        <v>247.99328395298497</v>
      </c>
      <c r="T170" s="770">
        <v>119.81542750767285</v>
      </c>
      <c r="U170" s="770">
        <v>36.970714841570135</v>
      </c>
      <c r="V170" s="770">
        <v>10.030357224600632</v>
      </c>
      <c r="W170" s="770">
        <v>1.6931428228105772</v>
      </c>
      <c r="X170" s="770">
        <v>92.970001220702912</v>
      </c>
      <c r="Y170" s="770">
        <v>34.45442908150806</v>
      </c>
    </row>
    <row r="171" spans="15:25">
      <c r="P171" s="277">
        <v>12</v>
      </c>
      <c r="Q171" s="770">
        <v>24.635714395714281</v>
      </c>
      <c r="R171" s="770">
        <v>20.710142951428569</v>
      </c>
      <c r="S171" s="770">
        <v>277.09400067142855</v>
      </c>
      <c r="T171" s="770">
        <v>120.231999</v>
      </c>
      <c r="U171" s="770">
        <v>35.331428525714287</v>
      </c>
      <c r="V171" s="770">
        <v>9.9896429611428594</v>
      </c>
      <c r="W171" s="770">
        <v>3.407428588428572</v>
      </c>
      <c r="X171" s="770">
        <v>280.39857048571423</v>
      </c>
      <c r="Y171" s="770">
        <v>76.830001284285714</v>
      </c>
    </row>
    <row r="172" spans="15:25">
      <c r="P172" s="277">
        <v>13</v>
      </c>
      <c r="Q172" s="770">
        <v>20.13</v>
      </c>
      <c r="R172" s="770">
        <v>17.697571481428572</v>
      </c>
      <c r="S172" s="770">
        <v>314.86642892857134</v>
      </c>
      <c r="T172" s="770">
        <v>181.93442862857142</v>
      </c>
      <c r="U172" s="770">
        <v>43.063000269999996</v>
      </c>
      <c r="V172" s="770">
        <v>16.947618347857141</v>
      </c>
      <c r="W172" s="770">
        <v>8.7692857471428578</v>
      </c>
      <c r="X172" s="770">
        <v>214.80214364285712</v>
      </c>
      <c r="Y172" s="770">
        <v>62.251857214285721</v>
      </c>
    </row>
    <row r="173" spans="15:25">
      <c r="P173" s="277">
        <v>14</v>
      </c>
      <c r="Q173" s="770">
        <v>19.794714245714285</v>
      </c>
      <c r="R173" s="770">
        <v>15.424571310000001</v>
      </c>
      <c r="S173" s="770">
        <v>246.36571175714286</v>
      </c>
      <c r="T173" s="770">
        <v>126.89285714285714</v>
      </c>
      <c r="U173" s="770">
        <v>36.577857699999996</v>
      </c>
      <c r="V173" s="770">
        <v>11.487677300714285</v>
      </c>
      <c r="W173" s="770">
        <v>4.3440000669999996</v>
      </c>
      <c r="X173" s="770">
        <v>185.27571324285717</v>
      </c>
      <c r="Y173" s="770">
        <v>47.981285095714284</v>
      </c>
    </row>
    <row r="174" spans="15:25">
      <c r="P174" s="277">
        <v>15</v>
      </c>
      <c r="Q174" s="770">
        <v>16.827428545270614</v>
      </c>
      <c r="R174" s="770">
        <v>13.644285610743902</v>
      </c>
      <c r="S174" s="770">
        <v>194.54785592215356</v>
      </c>
      <c r="T174" s="770">
        <v>95.922428676060008</v>
      </c>
      <c r="U174" s="770">
        <v>21.657714026314832</v>
      </c>
      <c r="V174" s="770">
        <v>9.0023798261369929</v>
      </c>
      <c r="W174" s="770">
        <v>2.7139999525887584</v>
      </c>
      <c r="X174" s="770">
        <v>140.86500113350971</v>
      </c>
      <c r="Y174" s="770">
        <v>40.005713871547108</v>
      </c>
    </row>
    <row r="175" spans="15:25">
      <c r="P175" s="277">
        <v>16</v>
      </c>
      <c r="Q175" s="770">
        <v>16.516999999999999</v>
      </c>
      <c r="R175" s="770">
        <v>13.566000000000001</v>
      </c>
      <c r="S175" s="770">
        <v>124.93465999999998</v>
      </c>
      <c r="T175" s="770">
        <v>80.701999999999998</v>
      </c>
      <c r="U175" s="770">
        <v>17.350999999999999</v>
      </c>
      <c r="V175" s="770">
        <v>9.1519999999999992</v>
      </c>
      <c r="W175" s="770">
        <v>1.9339999999999999</v>
      </c>
      <c r="X175" s="770">
        <v>94.683000000000007</v>
      </c>
      <c r="Y175" s="770">
        <v>25.149166666666666</v>
      </c>
    </row>
    <row r="176" spans="15:25">
      <c r="P176" s="277">
        <v>17</v>
      </c>
      <c r="Q176" s="770">
        <v>15.246857370000001</v>
      </c>
      <c r="R176" s="770">
        <v>10.292142732428571</v>
      </c>
      <c r="S176" s="770">
        <v>97.393165588333332</v>
      </c>
      <c r="T176" s="770">
        <v>55.785714285714285</v>
      </c>
      <c r="U176" s="770">
        <v>13.676856995714287</v>
      </c>
      <c r="V176" s="770">
        <v>9.4439299447142862</v>
      </c>
      <c r="W176" s="770">
        <v>1.63</v>
      </c>
      <c r="X176" s="770">
        <v>65.052142551428574</v>
      </c>
      <c r="Y176" s="770">
        <v>19.712285721428572</v>
      </c>
    </row>
    <row r="177" spans="15:25">
      <c r="P177" s="277">
        <v>18</v>
      </c>
      <c r="Q177" s="770">
        <v>14.46657139914373</v>
      </c>
      <c r="R177" s="770">
        <v>9.2318571635654951</v>
      </c>
      <c r="S177" s="770">
        <v>77.381712777273933</v>
      </c>
      <c r="T177" s="770">
        <v>45.077285766601527</v>
      </c>
      <c r="U177" s="770">
        <v>11.102999959673172</v>
      </c>
      <c r="V177" s="770">
        <v>9.9751769474574132</v>
      </c>
      <c r="W177" s="770">
        <v>1.68928570406777</v>
      </c>
      <c r="X177" s="770">
        <v>54.70571463448654</v>
      </c>
      <c r="Y177" s="770">
        <v>14.60414287022177</v>
      </c>
    </row>
    <row r="178" spans="15:25">
      <c r="P178" s="277">
        <v>19</v>
      </c>
      <c r="Q178" s="770">
        <v>14.411857195714287</v>
      </c>
      <c r="R178" s="770">
        <v>11.184000082714286</v>
      </c>
      <c r="S178" s="770">
        <v>111.58071461571429</v>
      </c>
      <c r="T178" s="770">
        <v>143.95242746</v>
      </c>
      <c r="U178" s="770">
        <v>28.217143328571431</v>
      </c>
      <c r="V178" s="770">
        <v>10.429345675714286</v>
      </c>
      <c r="W178" s="770">
        <v>1.6611428601428571</v>
      </c>
      <c r="X178" s="770">
        <v>100.44000134428572</v>
      </c>
      <c r="Y178" s="770">
        <v>19.104285921428573</v>
      </c>
    </row>
    <row r="179" spans="15:25">
      <c r="P179" s="277">
        <v>20</v>
      </c>
      <c r="Q179" s="770">
        <v>13.445142882210858</v>
      </c>
      <c r="R179" s="770">
        <v>7.7474286215645893</v>
      </c>
      <c r="S179" s="770">
        <v>89.146713256835753</v>
      </c>
      <c r="T179" s="770">
        <v>64.565428597586461</v>
      </c>
      <c r="U179" s="770">
        <v>16.260714122227231</v>
      </c>
      <c r="V179" s="770">
        <v>10.446011407034684</v>
      </c>
      <c r="W179" s="770">
        <v>1.8321428469249157</v>
      </c>
      <c r="X179" s="770">
        <v>77.941428048270041</v>
      </c>
      <c r="Y179" s="770">
        <v>15.358714376177058</v>
      </c>
    </row>
    <row r="180" spans="15:25">
      <c r="P180" s="277">
        <v>21</v>
      </c>
      <c r="Q180" s="770">
        <v>11.638999999999999</v>
      </c>
      <c r="R180" s="770">
        <v>7.3238333333333339</v>
      </c>
      <c r="S180" s="770">
        <v>78.5</v>
      </c>
      <c r="T180" s="770">
        <v>46.94</v>
      </c>
      <c r="U180" s="770">
        <v>12.207000000000001</v>
      </c>
      <c r="V180" s="770">
        <v>10.39517857142857</v>
      </c>
      <c r="W180" s="770">
        <v>1.5392857142857144</v>
      </c>
      <c r="X180" s="770">
        <v>57.008000000000003</v>
      </c>
      <c r="Y180" s="770">
        <v>11.814404761904761</v>
      </c>
    </row>
    <row r="181" spans="15:25">
      <c r="P181" s="277">
        <v>22</v>
      </c>
      <c r="Q181" s="770">
        <v>12.144000052857143</v>
      </c>
      <c r="R181" s="770">
        <v>8.7331427847142855</v>
      </c>
      <c r="S181" s="770">
        <v>72.335334774999993</v>
      </c>
      <c r="T181" s="770">
        <v>42.863000051428571</v>
      </c>
      <c r="U181" s="770">
        <v>12.157142775857142</v>
      </c>
      <c r="V181" s="770">
        <v>10.565415654285715</v>
      </c>
      <c r="W181" s="770">
        <v>1.8451428412857145</v>
      </c>
      <c r="X181" s="770">
        <v>50.488571167142858</v>
      </c>
      <c r="Y181" s="770">
        <v>10.892857143142859</v>
      </c>
    </row>
    <row r="182" spans="15:25">
      <c r="P182" s="277">
        <v>23</v>
      </c>
      <c r="Q182" s="770">
        <v>11.882714407784578</v>
      </c>
      <c r="R182" s="770">
        <v>9.8902856963021399</v>
      </c>
      <c r="S182" s="770">
        <v>67.575428553989909</v>
      </c>
      <c r="T182" s="770">
        <v>37.190428597586461</v>
      </c>
      <c r="U182" s="770">
        <v>9.1034287043980147</v>
      </c>
      <c r="V182" s="770">
        <v>10.358035632542157</v>
      </c>
      <c r="W182" s="770">
        <v>1.6434285470417513</v>
      </c>
      <c r="X182" s="770">
        <v>42.077856881277846</v>
      </c>
      <c r="Y182" s="770">
        <v>8.5582857131957972</v>
      </c>
    </row>
    <row r="183" spans="15:25">
      <c r="O183" s="277">
        <v>24</v>
      </c>
      <c r="P183" s="277">
        <v>24</v>
      </c>
      <c r="Q183" s="770">
        <v>11.349571364571428</v>
      </c>
      <c r="R183" s="770">
        <v>7.1754286628571426</v>
      </c>
      <c r="S183" s="770">
        <v>61.094286782857139</v>
      </c>
      <c r="T183" s="770">
        <v>34.446571351428574</v>
      </c>
      <c r="U183" s="770">
        <v>8.6151429584285726</v>
      </c>
      <c r="V183" s="770">
        <v>10.618989942857143</v>
      </c>
      <c r="W183" s="770">
        <v>1.6729999951428574</v>
      </c>
      <c r="X183" s="770">
        <v>37.627999442857138</v>
      </c>
      <c r="Y183" s="770">
        <v>7.9084286007142861</v>
      </c>
    </row>
    <row r="184" spans="15:25">
      <c r="P184" s="277">
        <v>25</v>
      </c>
      <c r="Q184" s="770">
        <v>10.676285608285713</v>
      </c>
      <c r="R184" s="770">
        <v>5.9687142712857142</v>
      </c>
      <c r="S184" s="770">
        <v>62.802570887142849</v>
      </c>
      <c r="T184" s="770">
        <v>30.250142780000001</v>
      </c>
      <c r="U184" s="770">
        <v>7.9434285844285721</v>
      </c>
      <c r="V184" s="770">
        <v>10.550834245714286</v>
      </c>
      <c r="W184" s="770">
        <v>1.6924285804285712</v>
      </c>
      <c r="X184" s="770">
        <v>34.431428635714283</v>
      </c>
      <c r="Y184" s="770">
        <v>6.9182857105714293</v>
      </c>
    </row>
    <row r="185" spans="15:25">
      <c r="P185" s="277">
        <v>26</v>
      </c>
      <c r="Q185" s="770">
        <v>10.526285716428571</v>
      </c>
      <c r="R185" s="770">
        <v>7.0281428774285715</v>
      </c>
      <c r="S185" s="770">
        <v>57.371285574285714</v>
      </c>
      <c r="T185" s="770">
        <v>27.273857117142857</v>
      </c>
      <c r="U185" s="770">
        <v>7.2757142611428574</v>
      </c>
      <c r="V185" s="770">
        <v>10.577082905714287</v>
      </c>
      <c r="W185" s="770">
        <v>1.6492857082857142</v>
      </c>
      <c r="X185" s="770">
        <v>33.420857565714293</v>
      </c>
      <c r="Y185" s="770">
        <v>6.4889999999999999</v>
      </c>
    </row>
    <row r="186" spans="15:25">
      <c r="P186" s="277">
        <v>27</v>
      </c>
      <c r="Q186" s="770">
        <v>10.480428559439513</v>
      </c>
      <c r="R186" s="770">
        <v>6.6732856546129415</v>
      </c>
      <c r="S186" s="770">
        <v>54.740000043596503</v>
      </c>
      <c r="T186" s="770">
        <v>24.833428519112715</v>
      </c>
      <c r="U186" s="770">
        <v>6.8057142666407975</v>
      </c>
      <c r="V186" s="770">
        <v>10.403569902692471</v>
      </c>
      <c r="W186" s="770">
        <v>1.6811428410666298</v>
      </c>
      <c r="X186" s="770">
        <v>29.930713926042788</v>
      </c>
      <c r="Y186" s="770">
        <v>6.4041427884783033</v>
      </c>
    </row>
    <row r="187" spans="15:25">
      <c r="P187" s="277">
        <v>28</v>
      </c>
      <c r="Q187" s="770">
        <v>10.320000103428571</v>
      </c>
      <c r="R187" s="770">
        <v>6.1684285575714286</v>
      </c>
      <c r="S187" s="770">
        <v>56.718999589999996</v>
      </c>
      <c r="T187" s="770">
        <v>23.232142857142858</v>
      </c>
      <c r="U187" s="770">
        <v>6.3595714567142849</v>
      </c>
      <c r="V187" s="770">
        <v>10.362797193</v>
      </c>
      <c r="W187" s="770">
        <v>1.8932857174285711</v>
      </c>
      <c r="X187" s="770">
        <v>29.310714177142859</v>
      </c>
      <c r="Y187" s="770">
        <v>6.0921429905714293</v>
      </c>
    </row>
    <row r="188" spans="15:25">
      <c r="P188" s="277">
        <v>29</v>
      </c>
      <c r="Q188" s="770">
        <v>9.7921428681428573</v>
      </c>
      <c r="R188" s="770">
        <v>6.7612857135714277</v>
      </c>
      <c r="S188" s="770">
        <v>50.593142918571424</v>
      </c>
      <c r="T188" s="770">
        <v>22.916714259999999</v>
      </c>
      <c r="U188" s="770">
        <v>6.3718571662857135</v>
      </c>
      <c r="V188" s="770">
        <v>10.495358602857142</v>
      </c>
      <c r="W188" s="770">
        <v>1.7762857165714283</v>
      </c>
      <c r="X188" s="770">
        <v>30.493714469999997</v>
      </c>
      <c r="Y188" s="770">
        <v>7.2885714941428574</v>
      </c>
    </row>
    <row r="189" spans="15:25">
      <c r="P189" s="277">
        <v>30</v>
      </c>
      <c r="Q189" s="770">
        <v>9.35528571265084</v>
      </c>
      <c r="R189" s="770">
        <v>6.0741428307124519</v>
      </c>
      <c r="S189" s="770">
        <v>46.488000052315826</v>
      </c>
      <c r="T189" s="770">
        <v>22</v>
      </c>
      <c r="U189" s="770">
        <v>5.9559999193463957</v>
      </c>
      <c r="V189" s="770">
        <v>10.428927012852231</v>
      </c>
      <c r="W189" s="770">
        <v>1.9438571589333615</v>
      </c>
      <c r="X189" s="770">
        <v>33.544999803815529</v>
      </c>
      <c r="Y189" s="770">
        <v>5.8061428751264241</v>
      </c>
    </row>
    <row r="190" spans="15:25">
      <c r="P190" s="277">
        <v>31</v>
      </c>
      <c r="Q190" s="770">
        <v>9.1287142208571428</v>
      </c>
      <c r="R190" s="770">
        <v>5.9202857185714288</v>
      </c>
      <c r="S190" s="770">
        <v>54.620999472857143</v>
      </c>
      <c r="T190" s="770">
        <v>24.68</v>
      </c>
      <c r="U190" s="770">
        <v>6.04</v>
      </c>
      <c r="V190" s="770">
        <v>10.61</v>
      </c>
      <c r="W190" s="770">
        <v>1.68</v>
      </c>
      <c r="X190" s="770">
        <v>33.45214326</v>
      </c>
      <c r="Y190" s="770">
        <v>5.0824285232857136</v>
      </c>
    </row>
    <row r="191" spans="15:25">
      <c r="P191" s="277">
        <v>32</v>
      </c>
      <c r="Q191" s="770">
        <v>10.410142898142855</v>
      </c>
      <c r="R191" s="770">
        <v>8.706571510571429</v>
      </c>
      <c r="S191" s="770">
        <v>55.236999511428571</v>
      </c>
      <c r="T191" s="770">
        <v>23.392857142857142</v>
      </c>
      <c r="U191" s="770">
        <v>5.9088572092857135</v>
      </c>
      <c r="V191" s="770">
        <v>10.808095795714285</v>
      </c>
      <c r="W191" s="770">
        <v>2.3351428848571425</v>
      </c>
      <c r="X191" s="770">
        <v>31.390000479999998</v>
      </c>
      <c r="Y191" s="770">
        <v>4.508571420428571</v>
      </c>
    </row>
    <row r="192" spans="15:25">
      <c r="P192" s="277">
        <v>33</v>
      </c>
      <c r="Q192" s="770">
        <v>10.199999999999999</v>
      </c>
      <c r="R192" s="770">
        <v>8.41</v>
      </c>
      <c r="S192" s="770">
        <v>53.810428074285717</v>
      </c>
      <c r="T192" s="770">
        <v>24.42</v>
      </c>
      <c r="U192" s="770">
        <v>5.98</v>
      </c>
      <c r="V192" s="770">
        <v>10.5</v>
      </c>
      <c r="W192" s="770">
        <v>1.73</v>
      </c>
      <c r="X192" s="770">
        <v>31.28</v>
      </c>
      <c r="Y192" s="770">
        <v>3.9767142705714287</v>
      </c>
    </row>
    <row r="193" spans="15:25">
      <c r="P193" s="277">
        <v>34</v>
      </c>
      <c r="Q193" s="770">
        <v>9.1905714443751698</v>
      </c>
      <c r="R193" s="770">
        <v>8.1155714307512543</v>
      </c>
      <c r="S193" s="770">
        <v>40.789714540754005</v>
      </c>
      <c r="T193" s="770">
        <v>21.785714285714285</v>
      </c>
      <c r="U193" s="770">
        <v>5.2142857142857082</v>
      </c>
      <c r="V193" s="770">
        <v>10.503272874014685</v>
      </c>
      <c r="W193" s="770">
        <v>1.816857167652671</v>
      </c>
      <c r="X193" s="770">
        <v>28.420714514596082</v>
      </c>
      <c r="Y193" s="770">
        <v>4.4771428108215305</v>
      </c>
    </row>
    <row r="194" spans="15:25">
      <c r="P194" s="277">
        <v>35</v>
      </c>
      <c r="Q194" s="770">
        <v>10.158285617428572</v>
      </c>
      <c r="R194" s="770">
        <v>6.5357143197142857</v>
      </c>
      <c r="S194" s="770">
        <v>48.304999762857143</v>
      </c>
      <c r="T194" s="770">
        <v>20.910714285714285</v>
      </c>
      <c r="U194" s="770">
        <v>5.0938570840000006</v>
      </c>
      <c r="V194" s="770">
        <v>10.503272872857142</v>
      </c>
      <c r="W194" s="770">
        <v>1.8871428627142859</v>
      </c>
      <c r="X194" s="770">
        <v>28.787142890000002</v>
      </c>
      <c r="Y194" s="770">
        <v>4.497571468285714</v>
      </c>
    </row>
    <row r="195" spans="15:25">
      <c r="P195" s="277">
        <v>36</v>
      </c>
      <c r="Q195" s="770">
        <v>9.3601428440638905</v>
      </c>
      <c r="R195" s="770">
        <v>8.0917142459324314</v>
      </c>
      <c r="S195" s="770">
        <v>53.258429391043485</v>
      </c>
      <c r="T195" s="770">
        <v>24.636999947684114</v>
      </c>
      <c r="U195" s="770">
        <v>5.3142857551574654</v>
      </c>
      <c r="V195" s="770">
        <v>11.495652879987402</v>
      </c>
      <c r="W195" s="770">
        <v>1.7399999925068426</v>
      </c>
      <c r="X195" s="770">
        <v>30.971428734915527</v>
      </c>
      <c r="Y195" s="770">
        <v>5.5058571270533934</v>
      </c>
    </row>
    <row r="196" spans="15:25">
      <c r="P196" s="277">
        <v>37</v>
      </c>
      <c r="Q196" s="770">
        <v>8.5821428980146095</v>
      </c>
      <c r="R196" s="770">
        <v>6.6917142868041966</v>
      </c>
      <c r="S196" s="770">
        <v>53.451428549630251</v>
      </c>
      <c r="T196" s="770">
        <v>22.750142778669073</v>
      </c>
      <c r="U196" s="770">
        <v>5.3054285730634376</v>
      </c>
      <c r="V196" s="770">
        <v>11.481129918779585</v>
      </c>
      <c r="W196" s="770">
        <v>1.696142843791413</v>
      </c>
      <c r="X196" s="770">
        <v>30.611428669520759</v>
      </c>
      <c r="Y196" s="770">
        <v>5.4837142399379157</v>
      </c>
    </row>
    <row r="197" spans="15:25">
      <c r="P197" s="277">
        <v>38</v>
      </c>
      <c r="Q197" s="770">
        <v>9.3485714285714288</v>
      </c>
      <c r="R197" s="770">
        <v>7.9328571428571424</v>
      </c>
      <c r="S197" s="770">
        <v>54.767142857142858</v>
      </c>
      <c r="T197" s="770">
        <v>28.702857142857145</v>
      </c>
      <c r="U197" s="770">
        <v>5.7485714285714282</v>
      </c>
      <c r="V197" s="770">
        <v>11.507142857142854</v>
      </c>
      <c r="W197" s="770">
        <v>1.5471428571428572</v>
      </c>
      <c r="X197" s="770">
        <v>31.034285714285716</v>
      </c>
      <c r="Y197" s="770">
        <v>5.3471428571428579</v>
      </c>
    </row>
    <row r="198" spans="15:25">
      <c r="O198" s="277">
        <v>39</v>
      </c>
      <c r="P198" s="277">
        <v>39</v>
      </c>
      <c r="Q198" s="770">
        <v>9.5744284901428589</v>
      </c>
      <c r="R198" s="770">
        <v>9.1379999428571423</v>
      </c>
      <c r="S198" s="770">
        <v>47.86300059714285</v>
      </c>
      <c r="T198" s="770">
        <v>24.255999974285714</v>
      </c>
      <c r="U198" s="770">
        <v>5.1301428250000001</v>
      </c>
      <c r="V198" s="770">
        <v>11.565774237142858</v>
      </c>
      <c r="W198" s="770">
        <v>1.4987142768571426</v>
      </c>
      <c r="X198" s="770">
        <v>32.111428942857138</v>
      </c>
      <c r="Y198" s="770">
        <v>5.3</v>
      </c>
    </row>
    <row r="199" spans="15:25">
      <c r="P199" s="582"/>
      <c r="Q199" s="750"/>
      <c r="R199" s="750"/>
      <c r="S199" s="750"/>
      <c r="T199" s="750"/>
      <c r="U199" s="750"/>
      <c r="V199" s="750"/>
      <c r="W199" s="750"/>
      <c r="X199" s="750"/>
      <c r="Y199" s="750"/>
    </row>
    <row r="200" spans="15:25">
      <c r="P200" s="582"/>
      <c r="Q200" s="277" t="s">
        <v>529</v>
      </c>
      <c r="R200" s="277" t="s">
        <v>530</v>
      </c>
      <c r="S200" s="277" t="s">
        <v>259</v>
      </c>
      <c r="T200" s="277" t="s">
        <v>260</v>
      </c>
      <c r="U200" s="277" t="s">
        <v>261</v>
      </c>
      <c r="V200" s="277" t="s">
        <v>262</v>
      </c>
      <c r="W200" s="277" t="s">
        <v>533</v>
      </c>
      <c r="X200" s="277" t="s">
        <v>534</v>
      </c>
      <c r="Y200" s="277" t="s">
        <v>535</v>
      </c>
    </row>
    <row r="201" spans="15:25">
      <c r="P201" s="582"/>
      <c r="Q201" s="750"/>
      <c r="R201" s="750"/>
      <c r="S201" s="750"/>
      <c r="T201" s="750"/>
      <c r="U201" s="750"/>
      <c r="V201" s="750"/>
      <c r="W201" s="750"/>
      <c r="X201" s="750"/>
      <c r="Y201" s="750"/>
    </row>
    <row r="202" spans="15:25">
      <c r="P202" s="582"/>
      <c r="Q202" s="750"/>
      <c r="R202" s="750"/>
      <c r="S202" s="750"/>
      <c r="T202" s="750"/>
      <c r="U202" s="750"/>
      <c r="V202" s="750"/>
      <c r="W202" s="750"/>
      <c r="X202" s="750"/>
      <c r="Y202" s="750"/>
    </row>
    <row r="203" spans="15:25">
      <c r="P203" s="582"/>
      <c r="Q203" s="750"/>
      <c r="R203" s="750"/>
      <c r="S203" s="750"/>
      <c r="T203" s="750"/>
      <c r="U203" s="750"/>
      <c r="V203" s="750"/>
      <c r="W203" s="750"/>
      <c r="X203" s="750"/>
      <c r="Y203" s="750"/>
    </row>
    <row r="204" spans="15:25">
      <c r="P204" s="582"/>
      <c r="Q204" s="750"/>
      <c r="R204" s="750"/>
      <c r="S204" s="750"/>
      <c r="T204" s="750"/>
      <c r="U204" s="750"/>
      <c r="V204" s="750"/>
      <c r="W204" s="750"/>
      <c r="X204" s="750"/>
      <c r="Y204" s="750"/>
    </row>
    <row r="205" spans="15:25">
      <c r="P205" s="582"/>
      <c r="Q205" s="750"/>
      <c r="R205" s="750"/>
      <c r="S205" s="750"/>
      <c r="T205" s="750"/>
      <c r="U205" s="750"/>
      <c r="V205" s="750"/>
      <c r="W205" s="750"/>
      <c r="X205" s="750"/>
      <c r="Y205" s="750"/>
    </row>
    <row r="206" spans="15:25">
      <c r="P206" s="582"/>
      <c r="Q206" s="750"/>
      <c r="R206" s="750"/>
      <c r="S206" s="750"/>
      <c r="T206" s="750"/>
      <c r="U206" s="750"/>
      <c r="V206" s="750"/>
      <c r="W206" s="750"/>
      <c r="X206" s="750"/>
      <c r="Y206" s="750"/>
    </row>
    <row r="207" spans="15:25">
      <c r="P207" s="582"/>
      <c r="Q207" s="750"/>
      <c r="R207" s="750"/>
      <c r="S207" s="750"/>
      <c r="T207" s="750"/>
      <c r="U207" s="750"/>
      <c r="V207" s="750"/>
      <c r="W207" s="750"/>
      <c r="X207" s="750"/>
      <c r="Y207" s="750"/>
    </row>
    <row r="208" spans="15:25">
      <c r="P208" s="582"/>
      <c r="Q208" s="750"/>
      <c r="R208" s="750"/>
      <c r="S208" s="750"/>
      <c r="T208" s="750"/>
      <c r="U208" s="750"/>
      <c r="V208" s="750"/>
      <c r="W208" s="750"/>
      <c r="X208" s="750"/>
      <c r="Y208" s="750"/>
    </row>
    <row r="209" spans="16:25">
      <c r="P209" s="582"/>
      <c r="Q209" s="750"/>
      <c r="R209" s="750"/>
      <c r="S209" s="750"/>
      <c r="T209" s="750"/>
      <c r="U209" s="750"/>
      <c r="V209" s="750"/>
      <c r="W209" s="750"/>
      <c r="X209" s="750"/>
      <c r="Y209" s="750"/>
    </row>
    <row r="210" spans="16:25">
      <c r="P210" s="582"/>
      <c r="Q210" s="750"/>
      <c r="R210" s="750"/>
      <c r="S210" s="750"/>
      <c r="T210" s="750"/>
      <c r="U210" s="750"/>
      <c r="V210" s="750"/>
      <c r="W210" s="750"/>
      <c r="X210" s="750"/>
      <c r="Y210" s="750"/>
    </row>
    <row r="211" spans="16:25">
      <c r="P211" s="582"/>
      <c r="Q211" s="750"/>
      <c r="R211" s="750"/>
      <c r="S211" s="750"/>
      <c r="T211" s="750"/>
      <c r="U211" s="750"/>
      <c r="V211" s="750"/>
      <c r="W211" s="750"/>
      <c r="X211" s="750"/>
      <c r="Y211" s="750"/>
    </row>
    <row r="212" spans="16:25">
      <c r="P212" s="582"/>
      <c r="Q212" s="750"/>
      <c r="R212" s="750"/>
      <c r="S212" s="750"/>
      <c r="T212" s="750"/>
      <c r="U212" s="750"/>
      <c r="V212" s="750"/>
      <c r="W212" s="750"/>
      <c r="X212" s="750"/>
      <c r="Y212" s="750"/>
    </row>
    <row r="213" spans="16:25">
      <c r="P213" s="582"/>
      <c r="Q213" s="750"/>
      <c r="R213" s="750"/>
      <c r="S213" s="750"/>
      <c r="T213" s="750"/>
      <c r="U213" s="750"/>
      <c r="V213" s="750"/>
      <c r="W213" s="750"/>
      <c r="X213" s="750"/>
      <c r="Y213" s="750"/>
    </row>
    <row r="214" spans="16:25">
      <c r="P214" s="582"/>
      <c r="Q214" s="750"/>
      <c r="R214" s="750"/>
      <c r="S214" s="750"/>
      <c r="T214" s="750"/>
      <c r="U214" s="750"/>
      <c r="V214" s="750"/>
      <c r="W214" s="750"/>
      <c r="X214" s="750"/>
      <c r="Y214" s="750"/>
    </row>
    <row r="215" spans="16:25">
      <c r="P215" s="582"/>
      <c r="Q215" s="750"/>
      <c r="R215" s="750"/>
      <c r="S215" s="750"/>
      <c r="T215" s="750"/>
      <c r="U215" s="750"/>
      <c r="V215" s="750"/>
      <c r="W215" s="750"/>
      <c r="X215" s="750"/>
      <c r="Y215" s="750"/>
    </row>
    <row r="216" spans="16:25">
      <c r="P216" s="582"/>
      <c r="Q216" s="750"/>
      <c r="R216" s="750"/>
      <c r="S216" s="750"/>
      <c r="T216" s="750"/>
      <c r="U216" s="750"/>
      <c r="V216" s="750"/>
      <c r="W216" s="750"/>
      <c r="X216" s="750"/>
      <c r="Y216" s="750"/>
    </row>
    <row r="217" spans="16:25">
      <c r="P217" s="582"/>
      <c r="Q217" s="750"/>
      <c r="R217" s="750"/>
      <c r="S217" s="750"/>
      <c r="T217" s="750"/>
      <c r="U217" s="750"/>
      <c r="V217" s="750"/>
      <c r="W217" s="750"/>
      <c r="X217" s="750"/>
      <c r="Y217" s="750"/>
    </row>
    <row r="218" spans="16:25">
      <c r="P218" s="582"/>
      <c r="Q218" s="750"/>
      <c r="R218" s="750"/>
      <c r="S218" s="750"/>
      <c r="T218" s="750"/>
      <c r="U218" s="750"/>
      <c r="V218" s="750"/>
      <c r="W218" s="750"/>
      <c r="X218" s="750"/>
      <c r="Y218" s="750"/>
    </row>
    <row r="219" spans="16:25">
      <c r="P219" s="582"/>
      <c r="Q219" s="750"/>
      <c r="R219" s="750"/>
      <c r="S219" s="750"/>
      <c r="T219" s="750"/>
      <c r="U219" s="750"/>
      <c r="V219" s="750"/>
      <c r="W219" s="750"/>
      <c r="X219" s="750"/>
      <c r="Y219" s="750"/>
    </row>
    <row r="220" spans="16:25">
      <c r="P220" s="582"/>
      <c r="Q220" s="750"/>
      <c r="R220" s="750"/>
      <c r="S220" s="750"/>
      <c r="T220" s="750"/>
      <c r="U220" s="750"/>
      <c r="V220" s="750"/>
      <c r="W220" s="750"/>
      <c r="X220" s="750"/>
      <c r="Y220" s="750"/>
    </row>
    <row r="221" spans="16:25">
      <c r="P221" s="582"/>
      <c r="Q221" s="750"/>
      <c r="R221" s="750"/>
      <c r="S221" s="750"/>
      <c r="T221" s="750"/>
      <c r="U221" s="750"/>
      <c r="V221" s="750"/>
      <c r="W221" s="750"/>
      <c r="X221" s="750"/>
      <c r="Y221" s="750"/>
    </row>
    <row r="222" spans="16:25">
      <c r="P222" s="582"/>
      <c r="Q222" s="750"/>
      <c r="R222" s="750"/>
      <c r="S222" s="750"/>
      <c r="T222" s="750"/>
      <c r="U222" s="750"/>
      <c r="V222" s="750"/>
      <c r="W222" s="750"/>
      <c r="X222" s="750"/>
      <c r="Y222" s="750"/>
    </row>
    <row r="223" spans="16:25">
      <c r="P223" s="582"/>
      <c r="Q223" s="750"/>
      <c r="R223" s="750"/>
      <c r="S223" s="750"/>
      <c r="T223" s="750"/>
      <c r="U223" s="750"/>
      <c r="V223" s="750"/>
      <c r="W223" s="750"/>
      <c r="X223" s="750"/>
      <c r="Y223" s="750"/>
    </row>
    <row r="224" spans="16:25">
      <c r="P224" s="582"/>
      <c r="Q224" s="750"/>
      <c r="R224" s="750"/>
      <c r="S224" s="750"/>
      <c r="T224" s="750"/>
      <c r="U224" s="750"/>
      <c r="V224" s="750"/>
      <c r="W224" s="750"/>
      <c r="X224" s="750"/>
      <c r="Y224" s="750"/>
    </row>
    <row r="225" spans="16:25">
      <c r="P225" s="582"/>
      <c r="Q225" s="750"/>
      <c r="R225" s="750"/>
      <c r="S225" s="750"/>
      <c r="T225" s="750"/>
      <c r="U225" s="750"/>
      <c r="V225" s="750"/>
      <c r="W225" s="750"/>
      <c r="X225" s="750"/>
      <c r="Y225" s="750"/>
    </row>
    <row r="226" spans="16:25">
      <c r="P226" s="582"/>
      <c r="Q226" s="750"/>
      <c r="R226" s="750"/>
      <c r="S226" s="750"/>
      <c r="T226" s="750"/>
      <c r="U226" s="750"/>
      <c r="V226" s="750"/>
      <c r="W226" s="750"/>
      <c r="X226" s="750"/>
      <c r="Y226" s="750"/>
    </row>
    <row r="227" spans="16:25">
      <c r="P227" s="582"/>
      <c r="Q227" s="750"/>
      <c r="R227" s="750"/>
      <c r="S227" s="750"/>
      <c r="T227" s="750"/>
      <c r="U227" s="750"/>
      <c r="V227" s="750"/>
      <c r="W227" s="750"/>
      <c r="X227" s="750"/>
      <c r="Y227" s="750"/>
    </row>
    <row r="228" spans="16:25">
      <c r="P228" s="582"/>
      <c r="Q228" s="750"/>
      <c r="R228" s="750"/>
      <c r="S228" s="750"/>
      <c r="T228" s="750"/>
      <c r="U228" s="750"/>
      <c r="V228" s="750"/>
      <c r="W228" s="750"/>
      <c r="X228" s="750"/>
      <c r="Y228" s="750"/>
    </row>
    <row r="229" spans="16:25">
      <c r="P229"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J21" sqref="J21"/>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2" max="12" width="9.33203125" style="662"/>
    <col min="13" max="13" width="20.5" style="518" customWidth="1"/>
    <col min="14" max="15" width="9.33203125" style="277"/>
    <col min="16" max="19" width="9.33203125" style="662"/>
    <col min="20" max="21" width="9.33203125" style="546"/>
  </cols>
  <sheetData>
    <row r="1" spans="1:15" ht="11.25" customHeight="1"/>
    <row r="2" spans="1:15" ht="11.25" customHeight="1">
      <c r="A2" s="881" t="s">
        <v>426</v>
      </c>
      <c r="B2" s="881"/>
      <c r="C2" s="881"/>
      <c r="D2" s="881"/>
      <c r="E2" s="881"/>
      <c r="F2" s="881"/>
      <c r="G2" s="881"/>
      <c r="H2" s="881"/>
      <c r="I2" s="881"/>
      <c r="J2" s="881"/>
      <c r="K2" s="881"/>
    </row>
    <row r="3" spans="1:15" ht="11.25" customHeight="1">
      <c r="A3" s="18"/>
      <c r="B3" s="18"/>
      <c r="C3" s="18"/>
      <c r="D3" s="18"/>
      <c r="E3" s="18"/>
      <c r="F3" s="18"/>
      <c r="G3" s="18"/>
      <c r="H3" s="18"/>
      <c r="I3" s="18"/>
      <c r="J3" s="509"/>
      <c r="K3" s="509"/>
      <c r="L3" s="664"/>
    </row>
    <row r="4" spans="1:15" ht="11.25" customHeight="1">
      <c r="A4" s="869" t="s">
        <v>367</v>
      </c>
      <c r="B4" s="869"/>
      <c r="C4" s="869"/>
      <c r="D4" s="869"/>
      <c r="E4" s="869"/>
      <c r="F4" s="869"/>
      <c r="G4" s="869"/>
      <c r="H4" s="869"/>
      <c r="I4" s="183"/>
      <c r="J4" s="510"/>
      <c r="L4" s="664"/>
    </row>
    <row r="5" spans="1:15" ht="7.5" customHeight="1">
      <c r="A5" s="184"/>
      <c r="B5" s="184"/>
      <c r="C5" s="184"/>
      <c r="D5" s="184"/>
      <c r="E5" s="184"/>
      <c r="F5" s="184"/>
      <c r="G5" s="184"/>
      <c r="H5" s="184"/>
      <c r="I5" s="184"/>
      <c r="J5" s="511"/>
      <c r="L5" s="720"/>
    </row>
    <row r="6" spans="1:15" ht="11.25" customHeight="1">
      <c r="A6" s="184"/>
      <c r="B6" s="188" t="s">
        <v>368</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(198,58 USD/MWh)</v>
      </c>
    </row>
    <row r="9" spans="1:15" ht="18" customHeight="1">
      <c r="A9" s="184"/>
      <c r="B9" s="382" t="s">
        <v>165</v>
      </c>
      <c r="C9" s="266">
        <v>198.58090977142069</v>
      </c>
      <c r="D9" s="266">
        <v>196.90426633544706</v>
      </c>
      <c r="E9" s="266">
        <v>192.51935919585591</v>
      </c>
      <c r="F9" s="266">
        <v>190.65306149774679</v>
      </c>
      <c r="G9" s="266">
        <v>195.43341855787079</v>
      </c>
      <c r="H9" s="180"/>
      <c r="I9" s="180"/>
      <c r="J9" s="512"/>
      <c r="K9" s="512"/>
      <c r="L9" s="723"/>
      <c r="M9" s="519" t="s">
        <v>161</v>
      </c>
      <c r="N9" s="547" t="str">
        <f>M9&amp;"
("&amp;ROUND(HLOOKUP(M9,$C$8:$G$9,2,0),2)&amp;" USD/MWh)"</f>
        <v>CHICLAYO 220
(196,9 USD/MWh)</v>
      </c>
    </row>
    <row r="10" spans="1:15" ht="14.25" customHeight="1">
      <c r="A10" s="184"/>
      <c r="B10" s="905"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905"/>
      <c r="D10" s="905"/>
      <c r="E10" s="905"/>
      <c r="F10" s="905"/>
      <c r="G10" s="905"/>
      <c r="H10" s="905"/>
      <c r="I10" s="905"/>
      <c r="J10" s="512"/>
      <c r="K10" s="512"/>
      <c r="L10" s="723"/>
      <c r="M10" s="519" t="s">
        <v>163</v>
      </c>
      <c r="N10" s="547" t="str">
        <f>M10&amp;"
("&amp;ROUND(HLOOKUP(M10,$C$8:$G$9,2,0),2)&amp;" USD/MWh)"</f>
        <v>TRUJILLO 220
(192,52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(190,65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(195,43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420</v>
      </c>
      <c r="N14" s="547" t="str">
        <f>M14&amp;"
("&amp;ROUND(HLOOKUP(M14,$C$26:$I$27,2,0),2)&amp;" USD/MWh)"</f>
        <v>CHAVARRIA 220
(174,39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(179,6 USD/MWh)</v>
      </c>
    </row>
    <row r="16" spans="1:15" ht="11.25" customHeight="1">
      <c r="A16" s="184"/>
      <c r="B16" s="180"/>
      <c r="C16" s="180"/>
      <c r="D16" s="180"/>
      <c r="E16" s="180"/>
      <c r="F16" s="180"/>
      <c r="G16" s="180"/>
      <c r="H16" s="180"/>
      <c r="I16" s="180"/>
      <c r="J16" s="512"/>
      <c r="K16" s="512"/>
      <c r="L16" s="723"/>
      <c r="M16" s="519" t="s">
        <v>169</v>
      </c>
      <c r="N16" s="547" t="str">
        <f t="shared" si="0"/>
        <v>CARABAYLLO 220
(181,36 USD/MWh)</v>
      </c>
    </row>
    <row r="17" spans="1:14" ht="11.25" customHeight="1">
      <c r="A17" s="184"/>
      <c r="B17" s="180"/>
      <c r="C17" s="180"/>
      <c r="D17" s="180"/>
      <c r="E17" s="180"/>
      <c r="F17" s="180"/>
      <c r="G17" s="180"/>
      <c r="H17" s="180"/>
      <c r="I17" s="180"/>
      <c r="J17" s="512"/>
      <c r="K17" s="512"/>
      <c r="L17" s="723"/>
      <c r="M17" s="519" t="s">
        <v>166</v>
      </c>
      <c r="N17" s="547" t="str">
        <f t="shared" si="0"/>
        <v>SANTA ROSA 220
(179,13 USD/MWh)</v>
      </c>
    </row>
    <row r="18" spans="1:14" ht="11.25" customHeight="1">
      <c r="A18" s="184"/>
      <c r="B18" s="180"/>
      <c r="C18" s="180"/>
      <c r="D18" s="180"/>
      <c r="E18" s="180"/>
      <c r="F18" s="180"/>
      <c r="G18" s="180"/>
      <c r="H18" s="180"/>
      <c r="I18" s="180"/>
      <c r="J18" s="512"/>
      <c r="K18" s="512"/>
      <c r="L18" s="723"/>
      <c r="M18" s="519" t="s">
        <v>167</v>
      </c>
      <c r="N18" s="547" t="str">
        <f t="shared" si="0"/>
        <v>SAN JUAN 220
(177,39 USD/MWh)</v>
      </c>
    </row>
    <row r="19" spans="1:14" ht="11.25" customHeight="1">
      <c r="A19" s="184"/>
      <c r="B19" s="180"/>
      <c r="C19" s="180"/>
      <c r="D19" s="180"/>
      <c r="E19" s="180"/>
      <c r="F19" s="180"/>
      <c r="G19" s="180"/>
      <c r="H19" s="180"/>
      <c r="I19" s="180"/>
      <c r="J19" s="512"/>
      <c r="K19" s="512"/>
      <c r="L19" s="725"/>
      <c r="M19" s="519" t="s">
        <v>170</v>
      </c>
      <c r="N19" s="547" t="str">
        <f t="shared" si="0"/>
        <v>POMACOCHA 220
(180,35 USD/MWh)</v>
      </c>
    </row>
    <row r="20" spans="1:14" ht="11.25" customHeight="1">
      <c r="A20" s="184"/>
      <c r="B20" s="190"/>
      <c r="C20" s="190"/>
      <c r="D20" s="190"/>
      <c r="E20" s="190"/>
      <c r="F20" s="190"/>
      <c r="G20" s="180"/>
      <c r="H20" s="180"/>
      <c r="I20" s="180"/>
      <c r="J20" s="512"/>
      <c r="K20" s="512"/>
      <c r="L20" s="723"/>
      <c r="M20" s="519" t="s">
        <v>171</v>
      </c>
      <c r="N20" s="547" t="str">
        <f t="shared" si="0"/>
        <v>OROYA NUEVA 50
(180,22 USD/MWh)</v>
      </c>
    </row>
    <row r="21" spans="1:14" ht="11.25" customHeight="1">
      <c r="A21" s="184"/>
      <c r="B21" s="906" t="str">
        <f>"Gráfico N°20: Costos marginales medios registrados en las principales barras del área norte durante el mes de "&amp;'1. Resumen'!Q4</f>
        <v>Gráfico N°20: Costos marginales medios registrados en las principales barras del área norte durante el mes de setiembre</v>
      </c>
      <c r="C21" s="906"/>
      <c r="D21" s="906"/>
      <c r="E21" s="906"/>
      <c r="F21" s="906"/>
      <c r="G21" s="906"/>
      <c r="H21" s="906"/>
      <c r="I21" s="906"/>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(204,98 USD/MWh)</v>
      </c>
    </row>
    <row r="24" spans="1:14" ht="11.25" customHeight="1">
      <c r="A24" s="184"/>
      <c r="B24" s="189" t="s">
        <v>369</v>
      </c>
      <c r="C24" s="186"/>
      <c r="D24" s="186"/>
      <c r="E24" s="186"/>
      <c r="F24" s="186"/>
      <c r="G24" s="184"/>
      <c r="H24" s="184"/>
      <c r="I24" s="184"/>
      <c r="J24" s="511"/>
      <c r="K24" s="511"/>
      <c r="L24" s="721"/>
      <c r="M24" s="519" t="s">
        <v>173</v>
      </c>
      <c r="N24" s="547" t="str">
        <f t="shared" si="1"/>
        <v>PUNO 138
(202,95 USD/MWh)</v>
      </c>
    </row>
    <row r="25" spans="1:14" ht="6.75" customHeight="1">
      <c r="A25" s="184"/>
      <c r="B25" s="186"/>
      <c r="C25" s="186"/>
      <c r="D25" s="186"/>
      <c r="E25" s="186"/>
      <c r="F25" s="186"/>
      <c r="G25" s="184"/>
      <c r="H25" s="184"/>
      <c r="I25" s="184"/>
      <c r="J25" s="511"/>
      <c r="K25" s="511"/>
      <c r="L25" s="721"/>
      <c r="M25" s="519" t="s">
        <v>174</v>
      </c>
      <c r="N25" s="547" t="str">
        <f t="shared" si="1"/>
        <v>SOCABAYA 220
(197,45 USD/MWh)</v>
      </c>
    </row>
    <row r="26" spans="1:14" ht="25.5" customHeight="1">
      <c r="A26" s="184"/>
      <c r="B26" s="383" t="s">
        <v>159</v>
      </c>
      <c r="C26" s="380" t="s">
        <v>420</v>
      </c>
      <c r="D26" s="380" t="s">
        <v>166</v>
      </c>
      <c r="E26" s="380" t="s">
        <v>169</v>
      </c>
      <c r="F26" s="380" t="s">
        <v>167</v>
      </c>
      <c r="G26" s="380" t="s">
        <v>168</v>
      </c>
      <c r="H26" s="380" t="s">
        <v>170</v>
      </c>
      <c r="I26" s="381" t="s">
        <v>171</v>
      </c>
      <c r="J26" s="514"/>
      <c r="K26" s="512"/>
      <c r="L26" s="723"/>
      <c r="M26" s="519" t="s">
        <v>175</v>
      </c>
      <c r="N26" s="547" t="str">
        <f t="shared" si="1"/>
        <v>MOQUEGUA 138
(197,61 USD/MWh)</v>
      </c>
    </row>
    <row r="27" spans="1:14" ht="18" customHeight="1">
      <c r="A27" s="184"/>
      <c r="B27" s="384" t="s">
        <v>165</v>
      </c>
      <c r="C27" s="266">
        <v>174.39365413557445</v>
      </c>
      <c r="D27" s="266">
        <v>179.1296956047174</v>
      </c>
      <c r="E27" s="266">
        <v>181.3565630186842</v>
      </c>
      <c r="F27" s="266">
        <v>177.39034191174335</v>
      </c>
      <c r="G27" s="266">
        <v>179.60233153439796</v>
      </c>
      <c r="H27" s="266">
        <v>180.35495872819928</v>
      </c>
      <c r="I27" s="266">
        <v>180.21675594273989</v>
      </c>
      <c r="J27" s="515"/>
      <c r="K27" s="512"/>
      <c r="L27" s="723"/>
      <c r="M27" s="519" t="s">
        <v>176</v>
      </c>
      <c r="N27" s="547" t="str">
        <f t="shared" si="1"/>
        <v>DOLORESPATA 138
(196,36 USD/MWh)</v>
      </c>
    </row>
    <row r="28" spans="1:14" ht="19.5" customHeight="1">
      <c r="A28" s="184"/>
      <c r="B28" s="907"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907"/>
      <c r="D28" s="907"/>
      <c r="E28" s="907"/>
      <c r="F28" s="907"/>
      <c r="G28" s="907"/>
      <c r="H28" s="907"/>
      <c r="I28" s="907"/>
      <c r="J28" s="512"/>
      <c r="K28" s="512"/>
      <c r="L28" s="723"/>
      <c r="M28" s="519" t="s">
        <v>177</v>
      </c>
      <c r="N28" s="547" t="str">
        <f t="shared" si="1"/>
        <v>COTARUSE 220
(191,12 USD/MWh)</v>
      </c>
    </row>
    <row r="29" spans="1:14" ht="11.25" customHeight="1">
      <c r="A29" s="184"/>
      <c r="B29" s="190"/>
      <c r="C29" s="190"/>
      <c r="D29" s="190"/>
      <c r="E29" s="190"/>
      <c r="F29" s="190"/>
      <c r="G29" s="190"/>
      <c r="H29" s="190"/>
      <c r="I29" s="190"/>
      <c r="J29" s="516"/>
      <c r="K29" s="516"/>
      <c r="L29" s="723"/>
      <c r="M29" s="519" t="s">
        <v>178</v>
      </c>
      <c r="N29" s="547" t="str">
        <f t="shared" si="1"/>
        <v>SAN GABAN 138
(200,39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05" t="str">
        <f>"Gráfico N°21: Costos marginales medios registrados en las principales barras del área centro durante el mes de "&amp;'1. Resumen'!Q4</f>
        <v>Gráfico N°21: Costos marginales medios registrados en las principales barras del área centro durante el mes de setiembre</v>
      </c>
      <c r="C40" s="905"/>
      <c r="D40" s="905"/>
      <c r="E40" s="905"/>
      <c r="F40" s="905"/>
      <c r="G40" s="905"/>
      <c r="H40" s="905"/>
      <c r="I40" s="905"/>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370</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204.9817299787118</v>
      </c>
      <c r="D46" s="266">
        <v>197.45435657938944</v>
      </c>
      <c r="E46" s="266">
        <v>197.61354937340874</v>
      </c>
      <c r="F46" s="266">
        <v>202.95245768753799</v>
      </c>
      <c r="G46" s="266">
        <v>196.36399401263407</v>
      </c>
      <c r="H46" s="266">
        <v>191.12080486714711</v>
      </c>
      <c r="I46" s="266">
        <v>200.39035852024983</v>
      </c>
      <c r="J46" s="515"/>
      <c r="K46" s="516"/>
    </row>
    <row r="47" spans="1:12" ht="18" customHeight="1">
      <c r="A47" s="184"/>
      <c r="B47" s="907"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907"/>
      <c r="D47" s="907"/>
      <c r="E47" s="907"/>
      <c r="F47" s="907"/>
      <c r="G47" s="907"/>
      <c r="H47" s="907"/>
      <c r="I47" s="907"/>
      <c r="J47" s="515"/>
      <c r="K47" s="516"/>
    </row>
    <row r="48" spans="1:12" ht="12.75">
      <c r="A48" s="184"/>
      <c r="B48" s="190"/>
      <c r="C48" s="190"/>
      <c r="D48" s="190"/>
      <c r="E48" s="190"/>
      <c r="F48" s="190"/>
      <c r="G48" s="180"/>
      <c r="H48" s="180"/>
      <c r="I48" s="180"/>
      <c r="J48" s="512"/>
      <c r="K48" s="516"/>
    </row>
    <row r="49" spans="1:11" ht="12.75">
      <c r="A49" s="184"/>
      <c r="B49" s="180"/>
      <c r="C49" s="180"/>
      <c r="D49" s="180"/>
      <c r="E49" s="180"/>
      <c r="F49" s="180"/>
      <c r="G49" s="180"/>
      <c r="H49" s="180"/>
      <c r="I49" s="180"/>
      <c r="J49" s="512"/>
      <c r="K49" s="516"/>
    </row>
    <row r="50" spans="1:11" ht="12.75">
      <c r="A50" s="184"/>
      <c r="B50" s="111"/>
      <c r="C50" s="111"/>
      <c r="D50" s="111"/>
      <c r="E50" s="111"/>
      <c r="F50" s="111"/>
      <c r="G50" s="111"/>
      <c r="H50" s="111"/>
      <c r="I50" s="111"/>
      <c r="J50" s="46"/>
      <c r="K50" s="516"/>
    </row>
    <row r="51" spans="1:11" ht="12.75">
      <c r="A51" s="184"/>
      <c r="B51" s="111"/>
      <c r="C51" s="111"/>
      <c r="D51" s="111"/>
      <c r="E51" s="111"/>
      <c r="F51" s="111"/>
      <c r="G51" s="111"/>
      <c r="H51" s="111"/>
      <c r="I51" s="111"/>
      <c r="J51" s="46"/>
      <c r="K51" s="516"/>
    </row>
    <row r="52" spans="1:11" ht="12.75">
      <c r="A52" s="184"/>
      <c r="B52" s="111"/>
      <c r="C52" s="111"/>
      <c r="D52" s="111"/>
      <c r="E52" s="111"/>
      <c r="F52" s="111"/>
      <c r="G52" s="111"/>
      <c r="H52" s="111"/>
      <c r="I52" s="111"/>
      <c r="J52" s="46"/>
      <c r="K52" s="516"/>
    </row>
    <row r="53" spans="1:11" ht="12.75">
      <c r="A53" s="184"/>
      <c r="B53" s="111"/>
      <c r="C53" s="111"/>
      <c r="D53" s="111"/>
      <c r="E53" s="111"/>
      <c r="F53" s="111"/>
      <c r="G53" s="111"/>
      <c r="H53" s="111"/>
      <c r="I53" s="111"/>
      <c r="J53" s="46"/>
      <c r="K53" s="516"/>
    </row>
    <row r="54" spans="1:11" ht="12.75">
      <c r="A54" s="184"/>
      <c r="B54" s="111"/>
      <c r="C54" s="111"/>
      <c r="D54" s="111"/>
      <c r="E54" s="111"/>
      <c r="F54" s="111"/>
      <c r="G54" s="111"/>
      <c r="H54" s="111"/>
      <c r="I54" s="111"/>
      <c r="J54" s="46"/>
      <c r="K54" s="516"/>
    </row>
    <row r="55" spans="1:11" ht="12.75">
      <c r="A55" s="184"/>
      <c r="B55" s="111"/>
      <c r="C55" s="111"/>
      <c r="D55" s="111"/>
      <c r="E55" s="111"/>
      <c r="F55" s="111"/>
      <c r="G55" s="111"/>
      <c r="H55" s="111"/>
      <c r="I55" s="111"/>
      <c r="J55" s="46"/>
      <c r="K55" s="516"/>
    </row>
    <row r="56" spans="1:11" ht="12.75">
      <c r="A56" s="184"/>
      <c r="B56" s="180"/>
      <c r="C56" s="180"/>
      <c r="D56" s="180"/>
      <c r="E56" s="180"/>
      <c r="F56" s="180"/>
      <c r="G56" s="180"/>
      <c r="H56" s="180"/>
      <c r="I56" s="180"/>
      <c r="J56" s="512"/>
      <c r="K56" s="516"/>
    </row>
    <row r="57" spans="1:11" ht="12.75">
      <c r="A57" s="184"/>
      <c r="B57" s="180"/>
      <c r="C57" s="180"/>
      <c r="D57" s="180"/>
      <c r="E57" s="180"/>
      <c r="F57" s="180"/>
      <c r="G57" s="180"/>
      <c r="H57" s="180"/>
      <c r="I57" s="180"/>
      <c r="J57" s="512"/>
      <c r="K57" s="516"/>
    </row>
    <row r="58" spans="1:11" ht="12.75">
      <c r="A58" s="184"/>
      <c r="B58" s="905" t="str">
        <f>"Gráfico N°22: Costos marginales medios registrados en las principales barras del área sur durante el mes de "&amp;'1. Resumen'!Q4</f>
        <v>Gráfico N°22: Costos marginales medios registrados en las principales barras del área sur durante el mes de setiembre</v>
      </c>
      <c r="C58" s="905"/>
      <c r="D58" s="905"/>
      <c r="E58" s="905"/>
      <c r="F58" s="905"/>
      <c r="G58" s="905"/>
      <c r="H58" s="905"/>
      <c r="I58" s="905"/>
      <c r="J58" s="512"/>
      <c r="K58" s="516"/>
    </row>
    <row r="59" spans="1:11" ht="12.75">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C46" sqref="C46:I46"/>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13.15" customHeight="1">
      <c r="A2" s="869" t="s">
        <v>372</v>
      </c>
      <c r="B2" s="869"/>
      <c r="C2" s="869"/>
      <c r="D2" s="869"/>
      <c r="E2" s="869"/>
      <c r="F2" s="869"/>
      <c r="G2" s="869"/>
      <c r="H2" s="869"/>
      <c r="I2" s="869"/>
      <c r="J2" s="869"/>
      <c r="K2" s="869"/>
      <c r="L2" s="869"/>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9"/>
  <sheetViews>
    <sheetView showGridLines="0" view="pageBreakPreview" zoomScale="115" zoomScaleNormal="100" zoomScaleSheetLayoutView="115" zoomScalePageLayoutView="115" workbookViewId="0">
      <selection activeCell="D12" sqref="D12"/>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32.450000000000003" customHeight="1">
      <c r="A2" s="908" t="s">
        <v>371</v>
      </c>
      <c r="B2" s="908"/>
      <c r="C2" s="908"/>
      <c r="D2" s="908"/>
      <c r="E2" s="908"/>
      <c r="F2" s="908"/>
      <c r="G2" s="908"/>
      <c r="H2" s="908"/>
      <c r="I2" s="203"/>
      <c r="J2" s="203"/>
      <c r="K2" s="203"/>
    </row>
    <row r="3" spans="1:12" ht="3" customHeight="1">
      <c r="A3" s="77"/>
      <c r="B3" s="77"/>
      <c r="C3" s="77"/>
      <c r="D3" s="77"/>
      <c r="E3" s="77"/>
      <c r="F3" s="77"/>
      <c r="G3" s="77"/>
      <c r="H3" s="77"/>
      <c r="I3" s="204"/>
      <c r="J3" s="204"/>
      <c r="K3" s="204"/>
      <c r="L3" s="36"/>
    </row>
    <row r="4" spans="1:12" ht="15" customHeight="1">
      <c r="A4" s="899" t="s">
        <v>417</v>
      </c>
      <c r="B4" s="899"/>
      <c r="C4" s="899"/>
      <c r="D4" s="899"/>
      <c r="E4" s="899"/>
      <c r="F4" s="899"/>
      <c r="G4" s="899"/>
      <c r="H4" s="899"/>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SETIEMBRE
 2023</v>
      </c>
      <c r="E6" s="402" t="str">
        <f>UPPER('1. Resumen'!Q4)&amp;"
 "&amp;'1. Resumen'!Q5-1</f>
        <v>SETIEMBRE
 2022</v>
      </c>
      <c r="F6" s="402" t="str">
        <f>UPPER('1. Resumen'!Q4)&amp;"
 "&amp;'1. Resumen'!Q5-2</f>
        <v>SETIEMBRE
 2021</v>
      </c>
      <c r="G6" s="403" t="s">
        <v>567</v>
      </c>
      <c r="H6" s="404" t="s">
        <v>521</v>
      </c>
      <c r="I6" s="196"/>
      <c r="J6" s="196"/>
      <c r="K6" s="196"/>
      <c r="L6" s="166"/>
    </row>
    <row r="7" spans="1:12" ht="21.6" customHeight="1">
      <c r="A7" s="909" t="s">
        <v>182</v>
      </c>
      <c r="B7" s="577" t="s">
        <v>628</v>
      </c>
      <c r="C7" s="578" t="s">
        <v>585</v>
      </c>
      <c r="D7" s="579"/>
      <c r="E7" s="579">
        <v>20.18333333333333</v>
      </c>
      <c r="F7" s="579"/>
      <c r="G7" s="765"/>
      <c r="H7" s="765"/>
      <c r="I7" s="196"/>
      <c r="J7" s="196"/>
      <c r="K7" s="196"/>
      <c r="L7" s="58"/>
    </row>
    <row r="8" spans="1:12" ht="21.6" customHeight="1">
      <c r="A8" s="910"/>
      <c r="B8" s="577" t="s">
        <v>629</v>
      </c>
      <c r="C8" s="578" t="s">
        <v>630</v>
      </c>
      <c r="D8" s="579">
        <v>1.3666666666666671</v>
      </c>
      <c r="E8" s="579"/>
      <c r="F8" s="579"/>
      <c r="G8" s="765"/>
      <c r="H8" s="765"/>
      <c r="I8" s="196"/>
      <c r="J8" s="196"/>
      <c r="K8" s="196"/>
      <c r="L8" s="58"/>
    </row>
    <row r="9" spans="1:12" ht="21.6" customHeight="1">
      <c r="A9" s="910"/>
      <c r="B9" s="577" t="s">
        <v>631</v>
      </c>
      <c r="C9" s="578" t="s">
        <v>572</v>
      </c>
      <c r="D9" s="579">
        <v>0.43333333333333179</v>
      </c>
      <c r="E9" s="579"/>
      <c r="F9" s="579"/>
      <c r="G9" s="765"/>
      <c r="H9" s="765"/>
      <c r="I9" s="196"/>
      <c r="J9" s="196"/>
      <c r="K9" s="196"/>
      <c r="L9" s="58"/>
    </row>
    <row r="10" spans="1:12" ht="21.6" customHeight="1">
      <c r="A10" s="910"/>
      <c r="B10" s="577" t="s">
        <v>632</v>
      </c>
      <c r="C10" s="578" t="s">
        <v>633</v>
      </c>
      <c r="D10" s="579">
        <v>1.8166666666666669</v>
      </c>
      <c r="E10" s="579"/>
      <c r="F10" s="579"/>
      <c r="G10" s="765"/>
      <c r="H10" s="765"/>
      <c r="I10" s="196"/>
      <c r="J10" s="196"/>
      <c r="K10" s="196"/>
      <c r="L10" s="58"/>
    </row>
    <row r="11" spans="1:12" ht="21.6" customHeight="1">
      <c r="A11" s="910"/>
      <c r="B11" s="577" t="s">
        <v>634</v>
      </c>
      <c r="C11" s="578" t="s">
        <v>635</v>
      </c>
      <c r="D11" s="579">
        <v>6.6999999999999993</v>
      </c>
      <c r="E11" s="579"/>
      <c r="F11" s="579"/>
      <c r="G11" s="765"/>
      <c r="H11" s="765"/>
      <c r="I11" s="196"/>
      <c r="J11" s="196"/>
      <c r="K11" s="196"/>
      <c r="L11" s="58"/>
    </row>
    <row r="12" spans="1:12" ht="21.6" customHeight="1">
      <c r="A12" s="910"/>
      <c r="B12" s="577" t="s">
        <v>636</v>
      </c>
      <c r="C12" s="578" t="s">
        <v>633</v>
      </c>
      <c r="D12" s="579">
        <v>4.4333333333333353</v>
      </c>
      <c r="E12" s="579"/>
      <c r="F12" s="579"/>
      <c r="G12" s="765"/>
      <c r="H12" s="765"/>
      <c r="I12" s="196"/>
      <c r="J12" s="196"/>
      <c r="K12" s="196"/>
      <c r="L12" s="58"/>
    </row>
    <row r="13" spans="1:12" ht="21.6" customHeight="1">
      <c r="A13" s="910"/>
      <c r="B13" s="577" t="s">
        <v>637</v>
      </c>
      <c r="C13" s="578" t="s">
        <v>572</v>
      </c>
      <c r="D13" s="579">
        <v>8.3333333333333037E-2</v>
      </c>
      <c r="E13" s="579"/>
      <c r="F13" s="579"/>
      <c r="G13" s="765"/>
      <c r="H13" s="765"/>
      <c r="I13" s="196"/>
      <c r="J13" s="196"/>
      <c r="K13" s="196"/>
      <c r="L13" s="58"/>
    </row>
    <row r="14" spans="1:12" ht="21.6" customHeight="1">
      <c r="A14" s="910"/>
      <c r="B14" s="577" t="s">
        <v>638</v>
      </c>
      <c r="C14" s="578" t="s">
        <v>572</v>
      </c>
      <c r="D14" s="579">
        <v>0.44999999999999996</v>
      </c>
      <c r="E14" s="579"/>
      <c r="F14" s="579"/>
      <c r="G14" s="765"/>
      <c r="H14" s="765"/>
      <c r="I14" s="196"/>
      <c r="J14" s="196"/>
      <c r="K14" s="196"/>
      <c r="L14" s="58"/>
    </row>
    <row r="15" spans="1:12" ht="18.75" customHeight="1">
      <c r="A15" s="396" t="s">
        <v>183</v>
      </c>
      <c r="B15" s="397"/>
      <c r="C15" s="398"/>
      <c r="D15" s="399">
        <f>SUM(D7:D14)</f>
        <v>15.283333333333331</v>
      </c>
      <c r="E15" s="399">
        <f>SUM(E7:E14)</f>
        <v>20.18333333333333</v>
      </c>
      <c r="F15" s="399">
        <f>SUM(F7:F14)</f>
        <v>0</v>
      </c>
      <c r="G15" s="544"/>
      <c r="H15" s="544"/>
      <c r="I15" s="196"/>
      <c r="J15" s="196"/>
      <c r="K15" s="197"/>
      <c r="L15" s="206"/>
    </row>
    <row r="16" spans="1:12" ht="11.25" customHeight="1">
      <c r="A16" s="264" t="str">
        <f>"Cuadro N° 14: Horas de operación de los principales equipos de congestión en "&amp;'1. Resumen'!Q4</f>
        <v>Cuadro N° 14: Horas de operación de los principales equipos de congestión en setiembre</v>
      </c>
      <c r="B16" s="208"/>
      <c r="C16" s="209"/>
      <c r="D16" s="210"/>
      <c r="E16" s="210"/>
      <c r="F16" s="211"/>
      <c r="G16" s="76"/>
      <c r="H16" s="82"/>
      <c r="I16" s="196"/>
      <c r="J16" s="196"/>
      <c r="K16" s="197"/>
      <c r="L16" s="206"/>
    </row>
    <row r="17" spans="1:12" ht="11.25" customHeight="1">
      <c r="A17" s="137"/>
      <c r="B17" s="208"/>
      <c r="C17" s="209"/>
      <c r="D17" s="210"/>
      <c r="E17" s="210"/>
      <c r="F17" s="211"/>
      <c r="G17" s="76"/>
      <c r="H17" s="76"/>
      <c r="I17" s="196"/>
      <c r="J17" s="196"/>
      <c r="K17" s="197"/>
      <c r="L17" s="206"/>
    </row>
    <row r="18" spans="1:12" ht="11.25" customHeight="1">
      <c r="A18" s="137"/>
      <c r="B18" s="208"/>
      <c r="C18" s="209"/>
      <c r="D18" s="210"/>
      <c r="E18" s="210"/>
      <c r="F18" s="211"/>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7"/>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6"/>
      <c r="L24" s="58"/>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8.600000000000001"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1">
      <c r="A49" s="264" t="str">
        <f>"Gráfico N° 23: Comparación de las horas de operación de los principales equipos de congestión en "&amp;'1. Resumen'!Q4&amp;"."</f>
        <v>Gráfico N° 23: Comparación de las horas de operación de los principales equipos de congestión en setiembre.</v>
      </c>
      <c r="B49" s="31"/>
      <c r="C49" s="31"/>
      <c r="D49" s="31"/>
      <c r="E49" s="31"/>
      <c r="F49" s="31"/>
      <c r="G49" s="31"/>
      <c r="H49" s="197"/>
      <c r="I49" s="197"/>
      <c r="J49" s="197"/>
      <c r="K49" s="197"/>
    </row>
  </sheetData>
  <mergeCells count="3">
    <mergeCell ref="A4:H4"/>
    <mergeCell ref="A2:H2"/>
    <mergeCell ref="A7:A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15" zoomScaleNormal="160" zoomScaleSheetLayoutView="115" zoomScalePageLayoutView="130" workbookViewId="0">
      <selection activeCell="K6" sqref="K6"/>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13" t="s">
        <v>398</v>
      </c>
      <c r="B2" s="913"/>
      <c r="C2" s="913"/>
      <c r="D2" s="913"/>
      <c r="E2" s="913"/>
      <c r="F2" s="913"/>
      <c r="G2" s="913"/>
      <c r="H2" s="913"/>
      <c r="I2" s="913"/>
      <c r="J2" s="913"/>
      <c r="K2" s="163"/>
    </row>
    <row r="3" spans="1:12" ht="6.75" customHeight="1">
      <c r="A3" s="17"/>
      <c r="B3" s="159"/>
      <c r="C3" s="212"/>
      <c r="D3" s="18"/>
      <c r="E3" s="18"/>
      <c r="F3" s="192"/>
      <c r="G3" s="66"/>
      <c r="H3" s="66"/>
      <c r="I3" s="71"/>
      <c r="J3" s="163"/>
      <c r="K3" s="163"/>
      <c r="L3" s="36"/>
    </row>
    <row r="4" spans="1:12" ht="15" customHeight="1">
      <c r="A4" s="914" t="s">
        <v>416</v>
      </c>
      <c r="B4" s="914"/>
      <c r="C4" s="914"/>
      <c r="D4" s="914"/>
      <c r="E4" s="914"/>
      <c r="F4" s="914"/>
      <c r="G4" s="914"/>
      <c r="H4" s="914"/>
      <c r="I4" s="914"/>
      <c r="J4" s="914"/>
      <c r="K4" s="163"/>
      <c r="L4" s="36"/>
    </row>
    <row r="5" spans="1:12" ht="38.25" customHeight="1">
      <c r="A5" s="911" t="s">
        <v>184</v>
      </c>
      <c r="B5" s="406" t="s">
        <v>185</v>
      </c>
      <c r="C5" s="407" t="s">
        <v>186</v>
      </c>
      <c r="D5" s="407" t="s">
        <v>187</v>
      </c>
      <c r="E5" s="407" t="s">
        <v>188</v>
      </c>
      <c r="F5" s="407" t="s">
        <v>189</v>
      </c>
      <c r="G5" s="407" t="s">
        <v>190</v>
      </c>
      <c r="H5" s="407" t="s">
        <v>191</v>
      </c>
      <c r="I5" s="408" t="s">
        <v>192</v>
      </c>
      <c r="J5" s="409" t="s">
        <v>193</v>
      </c>
      <c r="K5" s="131"/>
    </row>
    <row r="6" spans="1:12" ht="11.25" customHeight="1">
      <c r="A6" s="912"/>
      <c r="B6" s="529" t="s">
        <v>194</v>
      </c>
      <c r="C6" s="408" t="s">
        <v>195</v>
      </c>
      <c r="D6" s="408" t="s">
        <v>196</v>
      </c>
      <c r="E6" s="408" t="s">
        <v>197</v>
      </c>
      <c r="F6" s="408" t="s">
        <v>198</v>
      </c>
      <c r="G6" s="408" t="s">
        <v>199</v>
      </c>
      <c r="H6" s="408" t="s">
        <v>200</v>
      </c>
      <c r="I6" s="530"/>
      <c r="J6" s="531" t="s">
        <v>201</v>
      </c>
      <c r="K6" s="19"/>
    </row>
    <row r="7" spans="1:12" ht="12.75" customHeight="1">
      <c r="A7" s="535" t="s">
        <v>618</v>
      </c>
      <c r="B7" s="536">
        <v>16</v>
      </c>
      <c r="C7" s="536">
        <v>5</v>
      </c>
      <c r="D7" s="536"/>
      <c r="E7" s="536">
        <v>8</v>
      </c>
      <c r="F7" s="536">
        <v>3</v>
      </c>
      <c r="G7" s="536">
        <v>2</v>
      </c>
      <c r="H7" s="536"/>
      <c r="I7" s="537">
        <f>+SUM(B7:H7)</f>
        <v>34</v>
      </c>
      <c r="J7" s="538">
        <v>431.88</v>
      </c>
      <c r="K7" s="22"/>
    </row>
    <row r="8" spans="1:12" ht="12.75" customHeight="1">
      <c r="A8" s="535" t="s">
        <v>619</v>
      </c>
      <c r="B8" s="536"/>
      <c r="C8" s="536"/>
      <c r="D8" s="536"/>
      <c r="E8" s="536">
        <v>1</v>
      </c>
      <c r="F8" s="536"/>
      <c r="G8" s="536">
        <v>1</v>
      </c>
      <c r="H8" s="536"/>
      <c r="I8" s="537">
        <f t="shared" ref="I8:I10" si="0">+SUM(B8:H8)</f>
        <v>2</v>
      </c>
      <c r="J8" s="538">
        <v>84.73</v>
      </c>
      <c r="K8" s="22"/>
    </row>
    <row r="9" spans="1:12" ht="12.75" customHeight="1">
      <c r="A9" s="535" t="s">
        <v>639</v>
      </c>
      <c r="B9" s="536"/>
      <c r="C9" s="536">
        <v>1</v>
      </c>
      <c r="D9" s="536"/>
      <c r="E9" s="536"/>
      <c r="F9" s="536"/>
      <c r="G9" s="536"/>
      <c r="H9" s="536"/>
      <c r="I9" s="537">
        <f t="shared" si="0"/>
        <v>1</v>
      </c>
      <c r="J9" s="538">
        <v>0.32</v>
      </c>
      <c r="K9" s="22"/>
    </row>
    <row r="10" spans="1:12" ht="12.75" customHeight="1">
      <c r="A10" s="535" t="s">
        <v>640</v>
      </c>
      <c r="B10" s="536">
        <v>1</v>
      </c>
      <c r="C10" s="536"/>
      <c r="D10" s="536"/>
      <c r="E10" s="536"/>
      <c r="F10" s="536"/>
      <c r="G10" s="536"/>
      <c r="H10" s="536"/>
      <c r="I10" s="537">
        <f t="shared" si="0"/>
        <v>1</v>
      </c>
      <c r="J10" s="538">
        <v>0.13</v>
      </c>
      <c r="K10" s="22"/>
    </row>
    <row r="11" spans="1:12" ht="14.25" customHeight="1">
      <c r="A11" s="534" t="s">
        <v>192</v>
      </c>
      <c r="B11" s="532">
        <f t="shared" ref="B11:J11" si="1">+SUM(B7:B10)</f>
        <v>17</v>
      </c>
      <c r="C11" s="532">
        <f t="shared" si="1"/>
        <v>6</v>
      </c>
      <c r="D11" s="532">
        <f t="shared" si="1"/>
        <v>0</v>
      </c>
      <c r="E11" s="532">
        <f t="shared" si="1"/>
        <v>9</v>
      </c>
      <c r="F11" s="532">
        <f t="shared" si="1"/>
        <v>3</v>
      </c>
      <c r="G11" s="532">
        <f t="shared" si="1"/>
        <v>3</v>
      </c>
      <c r="H11" s="532">
        <f t="shared" si="1"/>
        <v>0</v>
      </c>
      <c r="I11" s="532">
        <f t="shared" si="1"/>
        <v>38</v>
      </c>
      <c r="J11" s="532">
        <f t="shared" si="1"/>
        <v>517.06000000000006</v>
      </c>
      <c r="K11" s="22"/>
    </row>
    <row r="12" spans="1:12" ht="11.25" customHeight="1">
      <c r="A12" s="91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2023</v>
      </c>
      <c r="B12" s="915"/>
      <c r="C12" s="915"/>
      <c r="D12" s="915"/>
      <c r="E12" s="915"/>
      <c r="F12" s="915"/>
      <c r="G12" s="915"/>
      <c r="H12" s="915"/>
      <c r="I12" s="915"/>
      <c r="J12" s="915"/>
      <c r="K12" s="22"/>
    </row>
    <row r="13" spans="1:12" ht="11.25" customHeight="1">
      <c r="K13" s="22"/>
    </row>
    <row r="14" spans="1:12" ht="11.25" customHeight="1">
      <c r="A14" s="17"/>
      <c r="B14" s="214"/>
      <c r="C14" s="213"/>
      <c r="D14" s="213"/>
      <c r="E14" s="213"/>
      <c r="F14" s="213"/>
      <c r="G14" s="178"/>
      <c r="H14" s="178"/>
      <c r="I14" s="138"/>
      <c r="J14" s="25"/>
      <c r="K14" s="25"/>
      <c r="L14" s="22"/>
    </row>
    <row r="15" spans="1:12" ht="11.25" customHeight="1">
      <c r="A15" s="919" t="str">
        <f>"FALLAS  POR TIPO DE CAUSA  -  "&amp;UPPER('1. Resumen'!Q4)&amp;" "&amp;'1. Resumen'!Q5</f>
        <v>FALLAS  POR TIPO DE CAUSA  -  SETIEMBRE 2023</v>
      </c>
      <c r="B15" s="919"/>
      <c r="C15" s="919"/>
      <c r="D15" s="919"/>
      <c r="E15" s="919" t="str">
        <f>"FALLAS  POR TIPO DE EQUIPO  -  "&amp;UPPER('1. Resumen'!Q4)&amp;" "&amp;'1. Resumen'!Q5</f>
        <v>FALLAS  POR TIPO DE EQUIPO  -  SETIEMBRE 2023</v>
      </c>
      <c r="F15" s="919"/>
      <c r="G15" s="919"/>
      <c r="H15" s="919"/>
      <c r="I15" s="919"/>
      <c r="J15" s="919"/>
      <c r="K15" s="25"/>
      <c r="L15" s="22"/>
    </row>
    <row r="16" spans="1:12" ht="11.25" customHeight="1">
      <c r="A16" s="17"/>
      <c r="E16" s="213"/>
      <c r="F16" s="213"/>
      <c r="G16" s="178"/>
      <c r="H16" s="178"/>
      <c r="I16" s="138"/>
      <c r="J16" s="111"/>
      <c r="K16" s="111"/>
      <c r="L16" s="22"/>
    </row>
    <row r="17" spans="1:12" ht="11.25" customHeight="1">
      <c r="A17" s="17"/>
      <c r="B17" s="214"/>
      <c r="C17" s="213"/>
      <c r="D17" s="213"/>
      <c r="E17" s="213"/>
      <c r="F17" s="213"/>
      <c r="G17" s="178"/>
      <c r="H17" s="178"/>
      <c r="I17" s="138"/>
      <c r="J17" s="111"/>
      <c r="K17" s="111"/>
      <c r="L17" s="30"/>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30"/>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23.25" customHeight="1">
      <c r="A33" s="918" t="s">
        <v>387</v>
      </c>
      <c r="B33" s="918"/>
      <c r="C33" s="918"/>
      <c r="D33" s="267"/>
      <c r="E33" s="921" t="s">
        <v>388</v>
      </c>
      <c r="F33" s="921"/>
      <c r="G33" s="921"/>
      <c r="H33" s="921"/>
      <c r="I33" s="921"/>
      <c r="J33" s="921"/>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5"/>
    </row>
    <row r="36" spans="1:12" ht="11.25" customHeight="1">
      <c r="A36" s="920" t="str">
        <f>"ENERGÍA INTERRUMPIDA APROXIMADA POR TIPO DE EQUIPO (MWh)  -  "&amp;UPPER('1. Resumen'!Q4)&amp;" "&amp;'1. Resumen'!Q5</f>
        <v>ENERGÍA INTERRUMPIDA APROXIMADA POR TIPO DE EQUIPO (MWh)  -  SETIEMBRE 2023</v>
      </c>
      <c r="B36" s="920"/>
      <c r="C36" s="920"/>
      <c r="D36" s="920"/>
      <c r="E36" s="920"/>
      <c r="F36" s="920"/>
      <c r="G36" s="920"/>
      <c r="H36" s="920"/>
      <c r="I36" s="920"/>
      <c r="J36" s="920"/>
      <c r="K36" s="25"/>
      <c r="L36" s="215"/>
    </row>
    <row r="37" spans="1:12" ht="11.25" customHeight="1">
      <c r="A37" s="17"/>
      <c r="B37" s="132"/>
      <c r="C37" s="132"/>
      <c r="D37" s="132"/>
      <c r="E37" s="132"/>
      <c r="F37" s="132"/>
      <c r="G37" s="25"/>
      <c r="H37" s="25"/>
      <c r="I37" s="25"/>
      <c r="J37" s="25"/>
      <c r="K37" s="25"/>
      <c r="L37" s="215"/>
    </row>
    <row r="38" spans="1:12" ht="11.25" customHeight="1">
      <c r="A38" s="17"/>
      <c r="B38" s="132"/>
      <c r="C38" s="25"/>
      <c r="D38" s="25"/>
      <c r="E38" s="25"/>
      <c r="F38" s="25"/>
      <c r="G38" s="25"/>
      <c r="H38" s="25"/>
      <c r="I38" s="25"/>
      <c r="J38" s="25"/>
      <c r="K38" s="25"/>
      <c r="L38" s="215"/>
    </row>
    <row r="39" spans="1:12" ht="11.25" customHeight="1">
      <c r="A39" s="17"/>
      <c r="B39" s="132"/>
      <c r="C39" s="25"/>
      <c r="D39" s="25"/>
      <c r="E39" s="25"/>
      <c r="F39" s="25"/>
      <c r="G39" s="25"/>
      <c r="H39" s="25"/>
    </row>
    <row r="40" spans="1:12" ht="12.75">
      <c r="A40" s="17"/>
      <c r="B40" s="132"/>
      <c r="J40" s="25"/>
      <c r="K40" s="25"/>
      <c r="L40" s="215"/>
    </row>
    <row r="41" spans="1:12" ht="12.75">
      <c r="A41" s="17"/>
      <c r="B41" s="132"/>
      <c r="J41" s="25"/>
      <c r="K41" s="25"/>
      <c r="L41" s="215"/>
    </row>
    <row r="42" spans="1:12" ht="12.75">
      <c r="A42" s="17"/>
      <c r="B42" s="132"/>
      <c r="J42" s="25"/>
      <c r="K42" s="25"/>
      <c r="L42" s="215"/>
    </row>
    <row r="43" spans="1:12" ht="12.75">
      <c r="A43" s="17"/>
      <c r="B43" s="132"/>
      <c r="J43" s="25"/>
      <c r="K43" s="25"/>
      <c r="L43" s="215"/>
    </row>
    <row r="44" spans="1:12" ht="12.75">
      <c r="A44" s="17"/>
      <c r="B44" s="132"/>
      <c r="C44" s="132"/>
      <c r="D44" s="132"/>
      <c r="E44" s="132"/>
      <c r="F44" s="132"/>
      <c r="G44" s="25"/>
      <c r="H44" s="25"/>
      <c r="I44" s="25"/>
      <c r="J44" s="25"/>
      <c r="K44" s="25"/>
      <c r="L44" s="215"/>
    </row>
    <row r="45" spans="1:12" ht="12.75">
      <c r="A45" s="163"/>
      <c r="B45" s="25"/>
      <c r="C45" s="25"/>
      <c r="D45" s="25"/>
      <c r="E45" s="25"/>
      <c r="F45" s="25"/>
      <c r="G45" s="25"/>
      <c r="H45" s="25"/>
      <c r="I45" s="25"/>
      <c r="J45" s="25"/>
      <c r="K45" s="25"/>
      <c r="L45" s="215"/>
    </row>
    <row r="46" spans="1:12" ht="12.75">
      <c r="A46" s="163"/>
      <c r="B46" s="25"/>
      <c r="C46" s="25"/>
      <c r="D46" s="25"/>
      <c r="E46" s="25"/>
      <c r="F46" s="25"/>
      <c r="G46" s="25"/>
      <c r="H46" s="25"/>
      <c r="I46" s="25"/>
      <c r="J46" s="25"/>
      <c r="K46" s="25"/>
      <c r="L46" s="215"/>
    </row>
    <row r="47" spans="1:12" ht="12.75">
      <c r="A47" s="163"/>
      <c r="B47" s="25"/>
      <c r="C47" s="25"/>
      <c r="D47" s="25"/>
      <c r="E47" s="25"/>
      <c r="F47" s="25"/>
      <c r="G47" s="25"/>
      <c r="H47" s="25"/>
      <c r="I47" s="25"/>
      <c r="J47" s="25"/>
      <c r="K47" s="25"/>
      <c r="L47" s="215"/>
    </row>
    <row r="48" spans="1:12" ht="12.75">
      <c r="A48" s="163"/>
      <c r="B48" s="25"/>
      <c r="C48" s="25"/>
      <c r="D48" s="25"/>
      <c r="E48" s="25"/>
      <c r="F48" s="25"/>
      <c r="G48" s="25"/>
      <c r="H48" s="25"/>
      <c r="I48" s="25"/>
      <c r="J48" s="25"/>
      <c r="K48" s="25"/>
      <c r="L48" s="215"/>
    </row>
    <row r="49" spans="1:12" ht="12.75">
      <c r="A49" s="163"/>
      <c r="B49" s="25"/>
      <c r="C49" s="25"/>
      <c r="D49" s="25"/>
      <c r="E49" s="25"/>
      <c r="F49" s="25"/>
      <c r="G49" s="25"/>
      <c r="H49" s="25"/>
      <c r="I49" s="25"/>
      <c r="J49" s="25"/>
      <c r="K49" s="25"/>
      <c r="L49" s="215"/>
    </row>
    <row r="50" spans="1:12" ht="9" customHeight="1">
      <c r="A50" s="163"/>
      <c r="B50" s="25"/>
      <c r="C50" s="25"/>
      <c r="D50" s="25"/>
      <c r="E50" s="25"/>
      <c r="F50" s="25"/>
      <c r="G50" s="25"/>
      <c r="H50" s="25"/>
      <c r="I50" s="25"/>
      <c r="J50" s="25"/>
      <c r="K50" s="25"/>
      <c r="L50" s="215"/>
    </row>
    <row r="51" spans="1:12" ht="22.15" customHeight="1">
      <c r="A51" s="267" t="str">
        <f>"Gráfico N°26: Comparación de la energía interrumpida aproximada por tipo de equipo en "&amp;'1. Resumen'!Q4&amp;" "&amp;'1. Resumen'!Q5</f>
        <v>Gráfico N°26: Comparación de la energía interrumpida aproximada por tipo de equipo en setiembre 2023</v>
      </c>
      <c r="B51" s="25"/>
      <c r="C51" s="25"/>
      <c r="D51" s="25"/>
      <c r="E51" s="25"/>
      <c r="F51" s="25"/>
      <c r="G51" s="25"/>
      <c r="H51" s="25"/>
      <c r="I51" s="25"/>
      <c r="J51" s="25"/>
      <c r="K51" s="25"/>
      <c r="L51" s="215"/>
    </row>
    <row r="52" spans="1:12" ht="15" customHeight="1">
      <c r="B52" s="25"/>
      <c r="C52" s="25"/>
      <c r="D52" s="25"/>
      <c r="E52" s="25"/>
      <c r="F52" s="25"/>
      <c r="G52" s="25"/>
      <c r="H52" s="25"/>
      <c r="I52" s="25"/>
      <c r="J52" s="25"/>
      <c r="K52" s="25"/>
      <c r="L52" s="215"/>
    </row>
    <row r="53" spans="1:12" ht="24" customHeight="1">
      <c r="A53" s="916" t="s">
        <v>202</v>
      </c>
      <c r="B53" s="916"/>
      <c r="C53" s="916"/>
      <c r="D53" s="916"/>
      <c r="E53" s="916"/>
      <c r="F53" s="916"/>
      <c r="G53" s="916"/>
      <c r="H53" s="916"/>
      <c r="I53" s="916"/>
      <c r="J53" s="916"/>
      <c r="K53" s="25"/>
      <c r="L53" s="215"/>
    </row>
    <row r="54" spans="1:12" ht="11.25" customHeight="1">
      <c r="A54" s="917" t="s">
        <v>203</v>
      </c>
      <c r="B54" s="917"/>
      <c r="C54" s="917"/>
      <c r="D54" s="917"/>
      <c r="E54" s="917"/>
      <c r="F54" s="917"/>
      <c r="G54" s="917"/>
      <c r="H54" s="917"/>
      <c r="I54" s="917"/>
      <c r="J54" s="917"/>
      <c r="K54" s="25"/>
      <c r="L54" s="215"/>
    </row>
    <row r="55" spans="1:12" ht="12.75">
      <c r="A55" s="163"/>
      <c r="B55" s="25"/>
      <c r="C55" s="25"/>
      <c r="D55" s="25"/>
      <c r="E55" s="25"/>
      <c r="F55" s="25"/>
      <c r="G55" s="25"/>
      <c r="H55" s="25"/>
      <c r="I55" s="25"/>
      <c r="J55" s="25"/>
      <c r="K55" s="25"/>
      <c r="L55" s="215"/>
    </row>
    <row r="56" spans="1:12" ht="12.75">
      <c r="A56" s="163"/>
      <c r="B56" s="25"/>
      <c r="C56" s="25"/>
      <c r="D56" s="25"/>
      <c r="E56" s="25"/>
      <c r="F56" s="25"/>
      <c r="G56" s="25"/>
      <c r="H56" s="25"/>
      <c r="I56" s="25"/>
      <c r="J56" s="25"/>
      <c r="K56" s="25"/>
      <c r="L56" s="215"/>
    </row>
    <row r="57" spans="1:12" ht="12.75">
      <c r="A57" s="163"/>
      <c r="B57" s="25"/>
      <c r="C57" s="25"/>
      <c r="D57" s="25"/>
      <c r="E57" s="25"/>
      <c r="F57" s="25"/>
      <c r="G57" s="25"/>
      <c r="H57" s="25"/>
      <c r="I57" s="25"/>
      <c r="J57" s="25"/>
      <c r="K57" s="25"/>
      <c r="L57" s="215"/>
    </row>
    <row r="58" spans="1:12" ht="12.75">
      <c r="A58" s="163"/>
      <c r="B58" s="25"/>
      <c r="C58" s="25"/>
      <c r="D58" s="25"/>
      <c r="E58" s="25"/>
      <c r="F58" s="25"/>
      <c r="G58" s="25"/>
      <c r="H58" s="25"/>
      <c r="I58" s="25"/>
      <c r="J58" s="25"/>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J65" s="25"/>
      <c r="K65" s="25"/>
      <c r="L65" s="215"/>
    </row>
    <row r="66" spans="1:12" ht="12.75">
      <c r="A66" s="163"/>
      <c r="B66" s="25"/>
      <c r="J66" s="25"/>
      <c r="K66" s="25"/>
      <c r="L66" s="215"/>
    </row>
    <row r="67" spans="1:12" ht="12.75">
      <c r="A67" s="163"/>
      <c r="B67" s="25"/>
      <c r="J67" s="25"/>
      <c r="K67" s="25"/>
      <c r="L67" s="215"/>
    </row>
    <row r="68" spans="1:12" ht="12.75">
      <c r="A68" s="163"/>
      <c r="B68" s="25"/>
      <c r="J68" s="25"/>
      <c r="K68" s="2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C16" sqref="C16"/>
    </sheetView>
  </sheetViews>
  <sheetFormatPr baseColWidth="10" defaultColWidth="9.33203125" defaultRowHeight="11.25"/>
  <cols>
    <col min="8" max="10" width="11.1640625" customWidth="1"/>
    <col min="11" max="11" width="12.5" customWidth="1"/>
    <col min="12" max="12" width="9.33203125" customWidth="1"/>
  </cols>
  <sheetData>
    <row r="3" spans="1:12">
      <c r="A3" s="828" t="s">
        <v>0</v>
      </c>
      <c r="B3" s="828"/>
      <c r="C3" s="828"/>
      <c r="D3" s="828"/>
      <c r="E3" s="828"/>
      <c r="F3" s="828"/>
      <c r="G3" s="828"/>
      <c r="H3" s="828"/>
      <c r="I3" s="828"/>
      <c r="J3" s="828"/>
      <c r="K3" s="828"/>
      <c r="L3" s="828"/>
    </row>
    <row r="4" spans="1:12">
      <c r="A4" s="828"/>
      <c r="B4" s="828"/>
      <c r="C4" s="828"/>
      <c r="D4" s="828"/>
      <c r="E4" s="828"/>
      <c r="F4" s="828"/>
      <c r="G4" s="828"/>
      <c r="H4" s="828"/>
      <c r="I4" s="828"/>
      <c r="J4" s="828"/>
      <c r="K4" s="828"/>
      <c r="L4" s="828"/>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381</v>
      </c>
      <c r="B7" s="217"/>
      <c r="C7" s="25"/>
      <c r="D7" s="25"/>
      <c r="E7" s="25"/>
      <c r="F7" s="25"/>
      <c r="G7" s="25"/>
      <c r="H7" s="25"/>
      <c r="I7" s="25"/>
      <c r="J7" s="25"/>
      <c r="K7" s="25"/>
      <c r="L7" s="25"/>
    </row>
    <row r="8" spans="1:12" ht="17.25" customHeight="1">
      <c r="A8" s="25"/>
      <c r="B8" s="25" t="s">
        <v>624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565</v>
      </c>
      <c r="B10" s="217"/>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6"/>
  <sheetViews>
    <sheetView showGridLines="0" view="pageBreakPreview" zoomScale="115" zoomScaleNormal="100" zoomScaleSheetLayoutView="115" zoomScalePageLayoutView="115" workbookViewId="0">
      <selection activeCell="D60" sqref="D60"/>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 min="9" max="9" width="11.6640625" bestFit="1" customWidth="1"/>
  </cols>
  <sheetData>
    <row r="1" spans="1:8" ht="11.25" customHeight="1">
      <c r="A1" s="269" t="s">
        <v>263</v>
      </c>
      <c r="B1" s="268"/>
      <c r="C1" s="268"/>
      <c r="D1" s="268"/>
      <c r="E1" s="268"/>
      <c r="F1" s="268"/>
      <c r="G1" s="268"/>
    </row>
    <row r="2" spans="1:8" ht="14.25" customHeight="1">
      <c r="A2" s="922" t="s">
        <v>243</v>
      </c>
      <c r="B2" s="925" t="s">
        <v>52</v>
      </c>
      <c r="C2" s="928" t="str">
        <f>"ENERGÍA PRODUCIDA "&amp;UPPER('1. Resumen'!Q4)&amp;" "&amp;'1. Resumen'!Q5</f>
        <v>ENERGÍA PRODUCIDA SETIEMBRE 2023</v>
      </c>
      <c r="D2" s="928"/>
      <c r="E2" s="928"/>
      <c r="F2" s="928"/>
      <c r="G2" s="494" t="s">
        <v>264</v>
      </c>
      <c r="H2" s="203"/>
    </row>
    <row r="3" spans="1:8" ht="11.25" customHeight="1">
      <c r="A3" s="923"/>
      <c r="B3" s="926"/>
      <c r="C3" s="929" t="s">
        <v>265</v>
      </c>
      <c r="D3" s="929"/>
      <c r="E3" s="929"/>
      <c r="F3" s="930" t="str">
        <f>"TOTAL 
"&amp;UPPER('1. Resumen'!Q4)</f>
        <v>TOTAL 
SETIEMBRE</v>
      </c>
      <c r="G3" s="495" t="s">
        <v>266</v>
      </c>
      <c r="H3" s="194"/>
    </row>
    <row r="4" spans="1:8" ht="12.75" customHeight="1">
      <c r="A4" s="923"/>
      <c r="B4" s="926"/>
      <c r="C4" s="490" t="s">
        <v>208</v>
      </c>
      <c r="D4" s="490" t="s">
        <v>209</v>
      </c>
      <c r="E4" s="490" t="s">
        <v>267</v>
      </c>
      <c r="F4" s="931"/>
      <c r="G4" s="495">
        <v>2023</v>
      </c>
      <c r="H4" s="196"/>
    </row>
    <row r="5" spans="1:8" ht="11.25" customHeight="1">
      <c r="A5" s="924"/>
      <c r="B5" s="927"/>
      <c r="C5" s="491" t="s">
        <v>268</v>
      </c>
      <c r="D5" s="491" t="s">
        <v>268</v>
      </c>
      <c r="E5" s="491" t="s">
        <v>268</v>
      </c>
      <c r="F5" s="491" t="s">
        <v>268</v>
      </c>
      <c r="G5" s="496" t="s">
        <v>201</v>
      </c>
      <c r="H5" s="196"/>
    </row>
    <row r="6" spans="1:8" ht="8.4499999999999993" customHeight="1">
      <c r="A6" s="525" t="s">
        <v>117</v>
      </c>
      <c r="B6" s="335" t="s">
        <v>84</v>
      </c>
      <c r="C6" s="336"/>
      <c r="D6" s="336"/>
      <c r="E6" s="336">
        <v>9832.3643049999991</v>
      </c>
      <c r="F6" s="336">
        <v>9832.3643049999991</v>
      </c>
      <c r="G6" s="524">
        <v>34560.355564999998</v>
      </c>
      <c r="H6" s="196"/>
    </row>
    <row r="7" spans="1:8" ht="8.4499999999999993" customHeight="1">
      <c r="A7" s="521" t="s">
        <v>454</v>
      </c>
      <c r="B7" s="400"/>
      <c r="C7" s="401"/>
      <c r="D7" s="401"/>
      <c r="E7" s="401">
        <v>9832.3643049999991</v>
      </c>
      <c r="F7" s="401">
        <v>9832.3643049999991</v>
      </c>
      <c r="G7" s="523">
        <v>34560.355564999998</v>
      </c>
      <c r="H7" s="196"/>
    </row>
    <row r="8" spans="1:8" ht="8.4499999999999993" customHeight="1">
      <c r="A8" s="525" t="s">
        <v>116</v>
      </c>
      <c r="B8" s="335" t="s">
        <v>61</v>
      </c>
      <c r="C8" s="336"/>
      <c r="D8" s="336"/>
      <c r="E8" s="336">
        <v>870.52809750000006</v>
      </c>
      <c r="F8" s="336">
        <v>870.52809750000006</v>
      </c>
      <c r="G8" s="524">
        <v>80480.215995000006</v>
      </c>
      <c r="H8" s="196"/>
    </row>
    <row r="9" spans="1:8" ht="8.4499999999999993" customHeight="1">
      <c r="A9" s="521" t="s">
        <v>455</v>
      </c>
      <c r="B9" s="400"/>
      <c r="C9" s="401"/>
      <c r="D9" s="401"/>
      <c r="E9" s="401">
        <v>870.52809750000006</v>
      </c>
      <c r="F9" s="401">
        <v>870.52809750000006</v>
      </c>
      <c r="G9" s="523">
        <v>80480.215995000006</v>
      </c>
      <c r="H9" s="196"/>
    </row>
    <row r="10" spans="1:8" ht="8.4499999999999993" customHeight="1">
      <c r="A10" s="520" t="s">
        <v>104</v>
      </c>
      <c r="B10" s="299" t="s">
        <v>81</v>
      </c>
      <c r="C10" s="493"/>
      <c r="D10" s="493"/>
      <c r="E10" s="493">
        <v>9872.5716799999991</v>
      </c>
      <c r="F10" s="493">
        <v>9872.5716799999991</v>
      </c>
      <c r="G10" s="522">
        <v>77054.226637499989</v>
      </c>
      <c r="H10" s="196"/>
    </row>
    <row r="11" spans="1:8" ht="8.4499999999999993" customHeight="1">
      <c r="A11" s="521" t="s">
        <v>456</v>
      </c>
      <c r="B11" s="400"/>
      <c r="C11" s="401"/>
      <c r="D11" s="401"/>
      <c r="E11" s="401">
        <v>9872.5716799999991</v>
      </c>
      <c r="F11" s="401">
        <v>9872.5716799999991</v>
      </c>
      <c r="G11" s="523">
        <v>77054.226637499989</v>
      </c>
      <c r="H11" s="196"/>
    </row>
    <row r="12" spans="1:8" ht="8.4499999999999993" customHeight="1">
      <c r="A12" s="520" t="s">
        <v>397</v>
      </c>
      <c r="B12" s="299" t="s">
        <v>399</v>
      </c>
      <c r="C12" s="493"/>
      <c r="D12" s="493"/>
      <c r="E12" s="493">
        <v>7731.9830474999999</v>
      </c>
      <c r="F12" s="493">
        <v>7731.9830474999999</v>
      </c>
      <c r="G12" s="522">
        <v>75979.975325000007</v>
      </c>
      <c r="H12" s="196"/>
    </row>
    <row r="13" spans="1:8" ht="8.4499999999999993" customHeight="1">
      <c r="A13" s="521" t="s">
        <v>457</v>
      </c>
      <c r="B13" s="400"/>
      <c r="C13" s="401"/>
      <c r="D13" s="401"/>
      <c r="E13" s="401">
        <v>7731.9830474999999</v>
      </c>
      <c r="F13" s="401">
        <v>7731.9830474999999</v>
      </c>
      <c r="G13" s="523">
        <v>75979.975325000007</v>
      </c>
      <c r="H13" s="196"/>
    </row>
    <row r="14" spans="1:8" ht="8.4499999999999993" customHeight="1">
      <c r="A14" s="520" t="s">
        <v>446</v>
      </c>
      <c r="B14" s="299" t="s">
        <v>73</v>
      </c>
      <c r="C14" s="493"/>
      <c r="D14" s="493"/>
      <c r="E14" s="493">
        <v>220.91166999999999</v>
      </c>
      <c r="F14" s="493">
        <v>220.91166999999999</v>
      </c>
      <c r="G14" s="522">
        <v>3427.5467074999997</v>
      </c>
      <c r="H14" s="196"/>
    </row>
    <row r="15" spans="1:8" ht="8.4499999999999993" customHeight="1">
      <c r="A15" s="521" t="s">
        <v>458</v>
      </c>
      <c r="B15" s="400"/>
      <c r="C15" s="401"/>
      <c r="D15" s="401"/>
      <c r="E15" s="401">
        <v>220.91166999999999</v>
      </c>
      <c r="F15" s="401">
        <v>220.91166999999999</v>
      </c>
      <c r="G15" s="523">
        <v>3427.5467074999997</v>
      </c>
      <c r="H15" s="196"/>
    </row>
    <row r="16" spans="1:8" ht="8.4499999999999993" customHeight="1">
      <c r="A16" s="520" t="s">
        <v>427</v>
      </c>
      <c r="B16" s="299" t="s">
        <v>433</v>
      </c>
      <c r="C16" s="493"/>
      <c r="D16" s="493"/>
      <c r="E16" s="493">
        <v>6175.5749999999998</v>
      </c>
      <c r="F16" s="493">
        <v>6175.5749999999998</v>
      </c>
      <c r="G16" s="522">
        <v>47078.362224999997</v>
      </c>
      <c r="H16" s="196"/>
    </row>
    <row r="17" spans="1:8" ht="8.4499999999999993" customHeight="1">
      <c r="A17" s="521" t="s">
        <v>459</v>
      </c>
      <c r="B17" s="400"/>
      <c r="C17" s="401"/>
      <c r="D17" s="401"/>
      <c r="E17" s="401">
        <v>6175.5749999999998</v>
      </c>
      <c r="F17" s="401">
        <v>6175.5749999999998</v>
      </c>
      <c r="G17" s="523">
        <v>47078.362224999997</v>
      </c>
      <c r="H17" s="196"/>
    </row>
    <row r="18" spans="1:8" ht="8.4499999999999993" customHeight="1">
      <c r="A18" s="520" t="s">
        <v>92</v>
      </c>
      <c r="B18" s="299" t="s">
        <v>269</v>
      </c>
      <c r="C18" s="493">
        <v>36077.453074999998</v>
      </c>
      <c r="D18" s="493"/>
      <c r="E18" s="493"/>
      <c r="F18" s="493">
        <v>36077.453074999998</v>
      </c>
      <c r="G18" s="522">
        <v>859713.73715249985</v>
      </c>
      <c r="H18" s="196"/>
    </row>
    <row r="19" spans="1:8" ht="8.4499999999999993" customHeight="1">
      <c r="A19" s="521" t="s">
        <v>460</v>
      </c>
      <c r="B19" s="400"/>
      <c r="C19" s="401">
        <v>36077.453074999998</v>
      </c>
      <c r="D19" s="401"/>
      <c r="E19" s="401"/>
      <c r="F19" s="401">
        <v>36077.453074999998</v>
      </c>
      <c r="G19" s="523">
        <v>859713.73715249985</v>
      </c>
      <c r="H19" s="196"/>
    </row>
    <row r="20" spans="1:8" ht="8.4499999999999993" customHeight="1">
      <c r="A20" s="520" t="s">
        <v>448</v>
      </c>
      <c r="B20" s="299" t="s">
        <v>306</v>
      </c>
      <c r="C20" s="493">
        <v>7675.6467649999995</v>
      </c>
      <c r="D20" s="493"/>
      <c r="E20" s="493"/>
      <c r="F20" s="493">
        <v>7675.6467649999995</v>
      </c>
      <c r="G20" s="522">
        <v>105313.19742749998</v>
      </c>
      <c r="H20" s="196"/>
    </row>
    <row r="21" spans="1:8" ht="8.4499999999999993" customHeight="1">
      <c r="A21" s="521" t="s">
        <v>461</v>
      </c>
      <c r="B21" s="400"/>
      <c r="C21" s="401">
        <v>7675.6467649999995</v>
      </c>
      <c r="D21" s="401"/>
      <c r="E21" s="401"/>
      <c r="F21" s="401">
        <v>7675.6467649999995</v>
      </c>
      <c r="G21" s="523">
        <v>105313.19742749998</v>
      </c>
      <c r="H21" s="196"/>
    </row>
    <row r="22" spans="1:8" ht="8.4499999999999993" customHeight="1">
      <c r="A22" s="520" t="s">
        <v>516</v>
      </c>
      <c r="B22" s="299" t="s">
        <v>522</v>
      </c>
      <c r="C22" s="493">
        <v>351.51307000000003</v>
      </c>
      <c r="D22" s="493"/>
      <c r="E22" s="493"/>
      <c r="F22" s="493">
        <v>351.51307000000003</v>
      </c>
      <c r="G22" s="522">
        <v>4171.8156450000006</v>
      </c>
      <c r="H22" s="196"/>
    </row>
    <row r="23" spans="1:8" ht="8.4499999999999993" customHeight="1">
      <c r="A23" s="520"/>
      <c r="B23" s="299" t="s">
        <v>523</v>
      </c>
      <c r="C23" s="493">
        <v>589.20335999999998</v>
      </c>
      <c r="D23" s="493"/>
      <c r="E23" s="493"/>
      <c r="F23" s="493">
        <v>589.20335999999998</v>
      </c>
      <c r="G23" s="522">
        <v>6572.6491024999996</v>
      </c>
      <c r="H23" s="196"/>
    </row>
    <row r="24" spans="1:8" ht="8.4499999999999993" customHeight="1">
      <c r="A24" s="521" t="s">
        <v>518</v>
      </c>
      <c r="B24" s="400"/>
      <c r="C24" s="401">
        <v>940.71642999999995</v>
      </c>
      <c r="D24" s="401"/>
      <c r="E24" s="401"/>
      <c r="F24" s="401">
        <v>940.71642999999995</v>
      </c>
      <c r="G24" s="523">
        <v>10744.4647475</v>
      </c>
      <c r="H24" s="196"/>
    </row>
    <row r="25" spans="1:8" ht="8.4499999999999993" customHeight="1">
      <c r="A25" s="520" t="s">
        <v>229</v>
      </c>
      <c r="B25" s="299" t="s">
        <v>270</v>
      </c>
      <c r="C25" s="493"/>
      <c r="D25" s="493">
        <v>1160.8021025</v>
      </c>
      <c r="E25" s="493"/>
      <c r="F25" s="493">
        <v>1160.8021025</v>
      </c>
      <c r="G25" s="522">
        <v>10023.271235</v>
      </c>
      <c r="H25" s="196"/>
    </row>
    <row r="26" spans="1:8" ht="8.4499999999999993" customHeight="1">
      <c r="A26" s="521" t="s">
        <v>462</v>
      </c>
      <c r="B26" s="400"/>
      <c r="C26" s="401"/>
      <c r="D26" s="401">
        <v>1160.8021025</v>
      </c>
      <c r="E26" s="401"/>
      <c r="F26" s="401">
        <v>1160.8021025</v>
      </c>
      <c r="G26" s="523">
        <v>10023.271235</v>
      </c>
      <c r="H26" s="196"/>
    </row>
    <row r="27" spans="1:8" ht="8.4499999999999993" customHeight="1">
      <c r="A27" s="520" t="s">
        <v>91</v>
      </c>
      <c r="B27" s="299" t="s">
        <v>271</v>
      </c>
      <c r="C27" s="493">
        <v>30079.231499999998</v>
      </c>
      <c r="D27" s="493"/>
      <c r="E27" s="493"/>
      <c r="F27" s="493">
        <v>30079.231499999998</v>
      </c>
      <c r="G27" s="522">
        <v>551966.44275000005</v>
      </c>
      <c r="H27" s="196"/>
    </row>
    <row r="28" spans="1:8" ht="8.4499999999999993" customHeight="1">
      <c r="A28" s="520"/>
      <c r="B28" s="299" t="s">
        <v>272</v>
      </c>
      <c r="C28" s="493">
        <v>7361.8355000000001</v>
      </c>
      <c r="D28" s="493"/>
      <c r="E28" s="493"/>
      <c r="F28" s="493">
        <v>7361.8355000000001</v>
      </c>
      <c r="G28" s="522">
        <v>157981.10674999998</v>
      </c>
      <c r="H28" s="196"/>
    </row>
    <row r="29" spans="1:8" ht="8.4499999999999993" customHeight="1">
      <c r="A29" s="521" t="s">
        <v>463</v>
      </c>
      <c r="B29" s="400"/>
      <c r="C29" s="401">
        <v>37441.066999999995</v>
      </c>
      <c r="D29" s="401"/>
      <c r="E29" s="401"/>
      <c r="F29" s="401">
        <v>37441.066999999995</v>
      </c>
      <c r="G29" s="523">
        <v>709947.54949999996</v>
      </c>
      <c r="H29" s="196"/>
    </row>
    <row r="30" spans="1:8" ht="8.4499999999999993" customHeight="1">
      <c r="A30" s="520" t="s">
        <v>517</v>
      </c>
      <c r="B30" s="299" t="s">
        <v>524</v>
      </c>
      <c r="C30" s="493"/>
      <c r="D30" s="493"/>
      <c r="E30" s="493">
        <v>260.52404999999999</v>
      </c>
      <c r="F30" s="493">
        <v>260.52404999999999</v>
      </c>
      <c r="G30" s="522">
        <v>1866.7773</v>
      </c>
      <c r="H30" s="196"/>
    </row>
    <row r="31" spans="1:8" ht="8.4499999999999993" customHeight="1">
      <c r="A31" s="521" t="s">
        <v>519</v>
      </c>
      <c r="B31" s="400"/>
      <c r="C31" s="401"/>
      <c r="D31" s="401"/>
      <c r="E31" s="401">
        <v>260.52404999999999</v>
      </c>
      <c r="F31" s="401">
        <v>260.52404999999999</v>
      </c>
      <c r="G31" s="523">
        <v>1866.7773</v>
      </c>
      <c r="H31" s="196"/>
    </row>
    <row r="32" spans="1:8" ht="8.4499999999999993" customHeight="1">
      <c r="A32" s="520" t="s">
        <v>89</v>
      </c>
      <c r="B32" s="299" t="s">
        <v>273</v>
      </c>
      <c r="C32" s="493">
        <v>1173.2549300000001</v>
      </c>
      <c r="D32" s="493"/>
      <c r="E32" s="493"/>
      <c r="F32" s="493">
        <v>1173.2549300000001</v>
      </c>
      <c r="G32" s="522">
        <v>10187.280392500001</v>
      </c>
      <c r="H32" s="196"/>
    </row>
    <row r="33" spans="1:8" ht="8.4499999999999993" customHeight="1">
      <c r="A33" s="520"/>
      <c r="B33" s="299" t="s">
        <v>274</v>
      </c>
      <c r="C33" s="493">
        <v>400.91842250000002</v>
      </c>
      <c r="D33" s="493"/>
      <c r="E33" s="493"/>
      <c r="F33" s="493">
        <v>400.91842250000002</v>
      </c>
      <c r="G33" s="522">
        <v>3510.7831974999999</v>
      </c>
      <c r="H33" s="196"/>
    </row>
    <row r="34" spans="1:8" ht="8.4499999999999993" customHeight="1">
      <c r="A34" s="520"/>
      <c r="B34" s="299" t="s">
        <v>275</v>
      </c>
      <c r="C34" s="493">
        <v>3351.71443</v>
      </c>
      <c r="D34" s="493"/>
      <c r="E34" s="493"/>
      <c r="F34" s="493">
        <v>3351.71443</v>
      </c>
      <c r="G34" s="522">
        <v>29258.629547499997</v>
      </c>
      <c r="H34" s="196"/>
    </row>
    <row r="35" spans="1:8" ht="8.4499999999999993" customHeight="1">
      <c r="A35" s="520"/>
      <c r="B35" s="299" t="s">
        <v>276</v>
      </c>
      <c r="C35" s="493">
        <v>8103.8816600000009</v>
      </c>
      <c r="D35" s="493"/>
      <c r="E35" s="493"/>
      <c r="F35" s="493">
        <v>8103.8816600000009</v>
      </c>
      <c r="G35" s="522">
        <v>67806.518710000004</v>
      </c>
      <c r="H35" s="196"/>
    </row>
    <row r="36" spans="1:8" ht="8.4499999999999993" customHeight="1">
      <c r="A36" s="520"/>
      <c r="B36" s="299" t="s">
        <v>277</v>
      </c>
      <c r="C36" s="493">
        <v>49541.586110000004</v>
      </c>
      <c r="D36" s="493"/>
      <c r="E36" s="493"/>
      <c r="F36" s="493">
        <v>49541.586110000004</v>
      </c>
      <c r="G36" s="522">
        <v>448220.88876999996</v>
      </c>
      <c r="H36" s="196"/>
    </row>
    <row r="37" spans="1:8" ht="8.4499999999999993" customHeight="1">
      <c r="A37" s="520"/>
      <c r="B37" s="299" t="s">
        <v>278</v>
      </c>
      <c r="C37" s="493">
        <v>4808.6809450000001</v>
      </c>
      <c r="D37" s="493"/>
      <c r="E37" s="493"/>
      <c r="F37" s="493">
        <v>4808.6809450000001</v>
      </c>
      <c r="G37" s="522">
        <v>39358.576520000002</v>
      </c>
      <c r="H37" s="196"/>
    </row>
    <row r="38" spans="1:8" ht="8.4499999999999993" customHeight="1">
      <c r="A38" s="520"/>
      <c r="B38" s="299" t="s">
        <v>279</v>
      </c>
      <c r="C38" s="493"/>
      <c r="D38" s="493">
        <v>0.65570499999999998</v>
      </c>
      <c r="E38" s="493"/>
      <c r="F38" s="493">
        <v>0.65570499999999998</v>
      </c>
      <c r="G38" s="522">
        <v>665.14347999999995</v>
      </c>
      <c r="H38" s="196"/>
    </row>
    <row r="39" spans="1:8" ht="8.4499999999999993" customHeight="1">
      <c r="A39" s="520"/>
      <c r="B39" s="299" t="s">
        <v>280</v>
      </c>
      <c r="C39" s="493"/>
      <c r="D39" s="493">
        <v>65.404252499999998</v>
      </c>
      <c r="E39" s="493"/>
      <c r="F39" s="493">
        <v>65.404252499999998</v>
      </c>
      <c r="G39" s="522">
        <v>790.79876250000007</v>
      </c>
      <c r="H39" s="196"/>
    </row>
    <row r="40" spans="1:8" ht="8.4499999999999993" customHeight="1">
      <c r="A40" s="521" t="s">
        <v>464</v>
      </c>
      <c r="B40" s="400"/>
      <c r="C40" s="401">
        <v>67380.036497499997</v>
      </c>
      <c r="D40" s="401">
        <v>66.059957499999996</v>
      </c>
      <c r="E40" s="401"/>
      <c r="F40" s="401">
        <v>67446.096454999992</v>
      </c>
      <c r="G40" s="523">
        <v>599798.61938000005</v>
      </c>
      <c r="H40" s="196"/>
    </row>
    <row r="41" spans="1:8" ht="8.4499999999999993" customHeight="1">
      <c r="A41" s="520" t="s">
        <v>110</v>
      </c>
      <c r="B41" s="299" t="s">
        <v>68</v>
      </c>
      <c r="C41" s="493"/>
      <c r="D41" s="493"/>
      <c r="E41" s="493">
        <v>2883.9537399999999</v>
      </c>
      <c r="F41" s="493">
        <v>2883.9537399999999</v>
      </c>
      <c r="G41" s="522">
        <v>26887.99454</v>
      </c>
      <c r="H41" s="196"/>
    </row>
    <row r="42" spans="1:8" ht="8.4499999999999993" customHeight="1">
      <c r="A42" s="521" t="s">
        <v>465</v>
      </c>
      <c r="B42" s="400"/>
      <c r="C42" s="401"/>
      <c r="D42" s="401"/>
      <c r="E42" s="401">
        <v>2883.9537399999999</v>
      </c>
      <c r="F42" s="401">
        <v>2883.9537399999999</v>
      </c>
      <c r="G42" s="523">
        <v>26887.99454</v>
      </c>
      <c r="H42" s="196"/>
    </row>
    <row r="43" spans="1:8" ht="8.4499999999999993" customHeight="1">
      <c r="A43" s="520" t="s">
        <v>90</v>
      </c>
      <c r="B43" s="299" t="s">
        <v>281</v>
      </c>
      <c r="C43" s="493">
        <v>67752.224249999999</v>
      </c>
      <c r="D43" s="493"/>
      <c r="E43" s="493"/>
      <c r="F43" s="493">
        <v>67752.224249999999</v>
      </c>
      <c r="G43" s="522">
        <v>877668.43975000002</v>
      </c>
      <c r="H43" s="196"/>
    </row>
    <row r="44" spans="1:8" ht="8.4499999999999993" customHeight="1">
      <c r="A44" s="521" t="s">
        <v>466</v>
      </c>
      <c r="B44" s="400"/>
      <c r="C44" s="401">
        <v>67752.224249999999</v>
      </c>
      <c r="D44" s="401"/>
      <c r="E44" s="401"/>
      <c r="F44" s="401">
        <v>67752.224249999999</v>
      </c>
      <c r="G44" s="523">
        <v>877668.43975000002</v>
      </c>
      <c r="H44" s="196"/>
    </row>
    <row r="45" spans="1:8" ht="8.4499999999999993" customHeight="1">
      <c r="A45" s="520" t="s">
        <v>99</v>
      </c>
      <c r="B45" s="299" t="s">
        <v>282</v>
      </c>
      <c r="C45" s="493">
        <v>5089.0907950000001</v>
      </c>
      <c r="D45" s="493"/>
      <c r="E45" s="493"/>
      <c r="F45" s="493">
        <v>5089.0907950000001</v>
      </c>
      <c r="G45" s="522">
        <v>39836.445852500008</v>
      </c>
      <c r="H45" s="196"/>
    </row>
    <row r="46" spans="1:8" ht="8.4499999999999993" customHeight="1">
      <c r="A46" s="520"/>
      <c r="B46" s="299" t="s">
        <v>604</v>
      </c>
      <c r="C46" s="493">
        <v>0</v>
      </c>
      <c r="D46" s="493"/>
      <c r="E46" s="493"/>
      <c r="F46" s="493">
        <v>0</v>
      </c>
      <c r="G46" s="522">
        <v>0</v>
      </c>
      <c r="H46" s="196"/>
    </row>
    <row r="47" spans="1:8" ht="8.4499999999999993" customHeight="1">
      <c r="A47" s="520"/>
      <c r="B47" s="299" t="s">
        <v>283</v>
      </c>
      <c r="C47" s="493"/>
      <c r="D47" s="493">
        <v>14454.2537025</v>
      </c>
      <c r="E47" s="493"/>
      <c r="F47" s="493">
        <v>14454.2537025</v>
      </c>
      <c r="G47" s="522">
        <v>98567.536572500001</v>
      </c>
      <c r="H47" s="196"/>
    </row>
    <row r="48" spans="1:8" ht="8.4499999999999993" customHeight="1">
      <c r="A48" s="521" t="s">
        <v>467</v>
      </c>
      <c r="B48" s="400"/>
      <c r="C48" s="401">
        <v>5089.0907950000001</v>
      </c>
      <c r="D48" s="401">
        <v>14454.2537025</v>
      </c>
      <c r="E48" s="401"/>
      <c r="F48" s="401">
        <v>19543.344497500002</v>
      </c>
      <c r="G48" s="523">
        <v>138403.98242499999</v>
      </c>
      <c r="H48" s="196"/>
    </row>
    <row r="49" spans="1:8" ht="8.4499999999999993" customHeight="1">
      <c r="A49" s="520" t="s">
        <v>111</v>
      </c>
      <c r="B49" s="299" t="s">
        <v>71</v>
      </c>
      <c r="C49" s="493"/>
      <c r="D49" s="493"/>
      <c r="E49" s="493">
        <v>1158.3418000000001</v>
      </c>
      <c r="F49" s="493">
        <v>1158.3418000000001</v>
      </c>
      <c r="G49" s="522">
        <v>18036.976474999996</v>
      </c>
      <c r="H49" s="196"/>
    </row>
    <row r="50" spans="1:8" ht="8.4499999999999993" customHeight="1">
      <c r="A50" s="521" t="s">
        <v>468</v>
      </c>
      <c r="B50" s="400"/>
      <c r="C50" s="401"/>
      <c r="D50" s="401"/>
      <c r="E50" s="401">
        <v>1158.3418000000001</v>
      </c>
      <c r="F50" s="401">
        <v>1158.3418000000001</v>
      </c>
      <c r="G50" s="523">
        <v>18036.976474999996</v>
      </c>
      <c r="H50" s="196"/>
    </row>
    <row r="51" spans="1:8" ht="8.4499999999999993" customHeight="1">
      <c r="A51" s="520" t="s">
        <v>87</v>
      </c>
      <c r="B51" s="299" t="s">
        <v>284</v>
      </c>
      <c r="C51" s="493">
        <v>349040.29499999998</v>
      </c>
      <c r="D51" s="493"/>
      <c r="E51" s="493"/>
      <c r="F51" s="493">
        <v>349040.29499999998</v>
      </c>
      <c r="G51" s="522">
        <v>3450055.0206000004</v>
      </c>
      <c r="H51" s="196"/>
    </row>
    <row r="52" spans="1:8" ht="8.4499999999999993" customHeight="1">
      <c r="A52" s="520"/>
      <c r="B52" s="299" t="s">
        <v>285</v>
      </c>
      <c r="C52" s="493">
        <v>110152.62672</v>
      </c>
      <c r="D52" s="493"/>
      <c r="E52" s="493"/>
      <c r="F52" s="493">
        <v>110152.62672</v>
      </c>
      <c r="G52" s="522">
        <v>1105721.1359999999</v>
      </c>
      <c r="H52" s="196"/>
    </row>
    <row r="53" spans="1:8" ht="8.4499999999999993" customHeight="1">
      <c r="A53" s="521" t="s">
        <v>469</v>
      </c>
      <c r="B53" s="400"/>
      <c r="C53" s="401">
        <v>459192.92171999998</v>
      </c>
      <c r="D53" s="401"/>
      <c r="E53" s="401"/>
      <c r="F53" s="401">
        <v>459192.92171999998</v>
      </c>
      <c r="G53" s="523">
        <v>4555776.1566000003</v>
      </c>
      <c r="H53" s="196"/>
    </row>
    <row r="54" spans="1:8" ht="8.4499999999999993" customHeight="1">
      <c r="A54" s="520" t="s">
        <v>230</v>
      </c>
      <c r="B54" s="299" t="s">
        <v>286</v>
      </c>
      <c r="C54" s="493">
        <v>0</v>
      </c>
      <c r="D54" s="493"/>
      <c r="E54" s="493"/>
      <c r="F54" s="493">
        <v>0</v>
      </c>
      <c r="G54" s="522">
        <v>1300367.8637199998</v>
      </c>
      <c r="H54" s="196"/>
    </row>
    <row r="55" spans="1:8" ht="8.4499999999999993" customHeight="1">
      <c r="A55" s="520"/>
      <c r="B55" s="299" t="s">
        <v>287</v>
      </c>
      <c r="C55" s="493">
        <v>4588.0560324999997</v>
      </c>
      <c r="D55" s="493"/>
      <c r="E55" s="493"/>
      <c r="F55" s="493">
        <v>4588.0560324999997</v>
      </c>
      <c r="G55" s="522">
        <v>39365.962755</v>
      </c>
      <c r="H55" s="111"/>
    </row>
    <row r="56" spans="1:8" ht="8.4499999999999993" customHeight="1">
      <c r="A56" s="521" t="s">
        <v>470</v>
      </c>
      <c r="B56" s="400"/>
      <c r="C56" s="401">
        <v>4588.0560324999997</v>
      </c>
      <c r="D56" s="401"/>
      <c r="E56" s="401"/>
      <c r="F56" s="401">
        <v>4588.0560324999997</v>
      </c>
      <c r="G56" s="523">
        <v>1339733.8264749998</v>
      </c>
      <c r="H56" s="111"/>
    </row>
    <row r="57" spans="1:8" ht="8.4499999999999993" customHeight="1">
      <c r="A57" s="520" t="s">
        <v>231</v>
      </c>
      <c r="B57" s="299" t="s">
        <v>288</v>
      </c>
      <c r="C57" s="493">
        <v>31011.711190000002</v>
      </c>
      <c r="D57" s="493"/>
      <c r="E57" s="493"/>
      <c r="F57" s="493">
        <v>31011.711190000002</v>
      </c>
      <c r="G57" s="522">
        <v>239937.98975250003</v>
      </c>
      <c r="H57" s="111"/>
    </row>
    <row r="58" spans="1:8" ht="8.4499999999999993" customHeight="1">
      <c r="A58" s="521" t="s">
        <v>471</v>
      </c>
      <c r="B58" s="400"/>
      <c r="C58" s="401">
        <v>31011.711190000002</v>
      </c>
      <c r="D58" s="401"/>
      <c r="E58" s="401"/>
      <c r="F58" s="401">
        <v>31011.711190000002</v>
      </c>
      <c r="G58" s="523">
        <v>239937.98975250003</v>
      </c>
      <c r="H58" s="111"/>
    </row>
    <row r="59" spans="1:8" ht="8.4499999999999993" customHeight="1">
      <c r="A59" s="520" t="s">
        <v>447</v>
      </c>
      <c r="B59" s="299" t="s">
        <v>63</v>
      </c>
      <c r="C59" s="493"/>
      <c r="D59" s="493"/>
      <c r="E59" s="493">
        <v>1042.7986225</v>
      </c>
      <c r="F59" s="493">
        <v>1042.7986225</v>
      </c>
      <c r="G59" s="522">
        <v>32128.707329999997</v>
      </c>
      <c r="H59" s="111"/>
    </row>
    <row r="60" spans="1:8" ht="8.4499999999999993" customHeight="1">
      <c r="A60" s="520"/>
      <c r="B60" s="299" t="s">
        <v>62</v>
      </c>
      <c r="C60" s="493"/>
      <c r="D60" s="493"/>
      <c r="E60" s="493">
        <v>1396.4752550000001</v>
      </c>
      <c r="F60" s="493">
        <v>1396.4752550000001</v>
      </c>
      <c r="G60" s="522">
        <v>34683.560454999992</v>
      </c>
      <c r="H60" s="111"/>
    </row>
    <row r="61" spans="1:8" ht="8.4499999999999993" customHeight="1">
      <c r="A61" s="520"/>
      <c r="B61" s="299" t="s">
        <v>58</v>
      </c>
      <c r="C61" s="493"/>
      <c r="D61" s="493"/>
      <c r="E61" s="493">
        <v>2010.36743</v>
      </c>
      <c r="F61" s="493">
        <v>2010.36743</v>
      </c>
      <c r="G61" s="522">
        <v>67499.645152500001</v>
      </c>
      <c r="H61" s="111"/>
    </row>
    <row r="62" spans="1:8" ht="8.4499999999999993" customHeight="1">
      <c r="A62" s="520"/>
      <c r="B62" s="299" t="s">
        <v>55</v>
      </c>
      <c r="C62" s="493"/>
      <c r="D62" s="493"/>
      <c r="E62" s="493">
        <v>2940.9661274999999</v>
      </c>
      <c r="F62" s="493">
        <v>2940.9661274999999</v>
      </c>
      <c r="G62" s="522">
        <v>80222.998264999987</v>
      </c>
      <c r="H62" s="111"/>
    </row>
    <row r="63" spans="1:8" ht="8.4499999999999993" customHeight="1">
      <c r="A63" s="520"/>
      <c r="B63" s="299" t="s">
        <v>66</v>
      </c>
      <c r="C63" s="493"/>
      <c r="D63" s="493"/>
      <c r="E63" s="493">
        <v>1306.9729649999999</v>
      </c>
      <c r="F63" s="493">
        <v>1306.9729649999999</v>
      </c>
      <c r="G63" s="522">
        <v>22940.2588125</v>
      </c>
      <c r="H63" s="111"/>
    </row>
    <row r="64" spans="1:8" ht="8.4499999999999993" customHeight="1">
      <c r="A64" s="520"/>
      <c r="B64" s="299" t="s">
        <v>65</v>
      </c>
      <c r="C64" s="493"/>
      <c r="D64" s="493"/>
      <c r="E64" s="493">
        <v>1515.8488400000001</v>
      </c>
      <c r="F64" s="493">
        <v>1515.8488400000001</v>
      </c>
      <c r="G64" s="522">
        <v>26392.591104999996</v>
      </c>
      <c r="H64" s="197"/>
    </row>
    <row r="65" spans="1:9" ht="8.4499999999999993" customHeight="1">
      <c r="A65" s="521" t="s">
        <v>472</v>
      </c>
      <c r="B65" s="400"/>
      <c r="C65" s="401"/>
      <c r="D65" s="401"/>
      <c r="E65" s="401">
        <v>10213.429239999999</v>
      </c>
      <c r="F65" s="401">
        <v>10213.429239999999</v>
      </c>
      <c r="G65" s="523">
        <v>263867.76111999998</v>
      </c>
      <c r="H65" s="197"/>
    </row>
    <row r="66" spans="1:9" ht="8.4499999999999993" customHeight="1">
      <c r="A66" s="520" t="s">
        <v>621</v>
      </c>
      <c r="B66" s="299" t="s">
        <v>434</v>
      </c>
      <c r="C66" s="493">
        <v>45979.846250000002</v>
      </c>
      <c r="D66" s="493"/>
      <c r="E66" s="493"/>
      <c r="F66" s="493">
        <v>45979.846250000002</v>
      </c>
      <c r="G66" s="522">
        <v>409547.37799999997</v>
      </c>
      <c r="H66" s="197"/>
    </row>
    <row r="67" spans="1:9" ht="8.4499999999999993" customHeight="1">
      <c r="A67" s="520"/>
      <c r="B67" s="299" t="s">
        <v>289</v>
      </c>
      <c r="C67" s="493">
        <v>19060.60975</v>
      </c>
      <c r="D67" s="493"/>
      <c r="E67" s="493"/>
      <c r="F67" s="493">
        <v>19060.60975</v>
      </c>
      <c r="G67" s="522">
        <v>158856.34875</v>
      </c>
      <c r="H67" s="197"/>
    </row>
    <row r="68" spans="1:9" ht="8.4499999999999993" customHeight="1">
      <c r="A68" s="520"/>
      <c r="B68" s="299" t="s">
        <v>290</v>
      </c>
      <c r="C68" s="493">
        <v>76031.766000000003</v>
      </c>
      <c r="D68" s="493"/>
      <c r="E68" s="493"/>
      <c r="F68" s="493">
        <v>76031.766000000003</v>
      </c>
      <c r="G68" s="522">
        <v>777835.55174999987</v>
      </c>
      <c r="H68" s="197"/>
    </row>
    <row r="69" spans="1:9" ht="8.4499999999999993" customHeight="1">
      <c r="A69" s="520"/>
      <c r="B69" s="299" t="s">
        <v>291</v>
      </c>
      <c r="C69" s="493">
        <v>58197.180500000002</v>
      </c>
      <c r="D69" s="493"/>
      <c r="E69" s="493"/>
      <c r="F69" s="493">
        <v>58197.180500000002</v>
      </c>
      <c r="G69" s="522">
        <v>665199.98100000003</v>
      </c>
      <c r="H69" s="197"/>
    </row>
    <row r="70" spans="1:9" ht="8.4499999999999993" customHeight="1">
      <c r="A70" s="520"/>
      <c r="B70" s="299" t="s">
        <v>292</v>
      </c>
      <c r="C70" s="493">
        <v>44921.887499999997</v>
      </c>
      <c r="D70" s="493"/>
      <c r="E70" s="493"/>
      <c r="F70" s="493">
        <v>44921.887499999997</v>
      </c>
      <c r="G70" s="522">
        <v>386907.91875000001</v>
      </c>
    </row>
    <row r="71" spans="1:9" ht="8.4499999999999993" customHeight="1">
      <c r="A71" s="520"/>
      <c r="B71" s="299" t="s">
        <v>293</v>
      </c>
      <c r="C71" s="493"/>
      <c r="D71" s="493">
        <v>73209.296750000009</v>
      </c>
      <c r="E71" s="493"/>
      <c r="F71" s="493">
        <v>73209.296750000009</v>
      </c>
      <c r="G71" s="522">
        <v>594700.71199999994</v>
      </c>
    </row>
    <row r="72" spans="1:9" ht="8.4499999999999993" customHeight="1">
      <c r="A72" s="520"/>
      <c r="B72" s="299" t="s">
        <v>294</v>
      </c>
      <c r="C72" s="493"/>
      <c r="D72" s="493">
        <v>121923.66275</v>
      </c>
      <c r="E72" s="493"/>
      <c r="F72" s="493">
        <v>121923.66275</v>
      </c>
      <c r="G72" s="522">
        <v>674863.92174999998</v>
      </c>
    </row>
    <row r="73" spans="1:9" ht="8.4499999999999993" customHeight="1">
      <c r="A73" s="520"/>
      <c r="B73" s="299" t="s">
        <v>295</v>
      </c>
      <c r="C73" s="493"/>
      <c r="D73" s="493">
        <v>332198.19724999997</v>
      </c>
      <c r="E73" s="493"/>
      <c r="F73" s="493">
        <v>332198.19724999997</v>
      </c>
      <c r="G73" s="522">
        <v>2342417.9539999999</v>
      </c>
    </row>
    <row r="74" spans="1:9" ht="8.4499999999999993" customHeight="1">
      <c r="A74" s="520"/>
      <c r="B74" s="299" t="s">
        <v>395</v>
      </c>
      <c r="C74" s="493"/>
      <c r="D74" s="493"/>
      <c r="E74" s="493">
        <v>349.71199999999999</v>
      </c>
      <c r="F74" s="493">
        <v>349.71199999999999</v>
      </c>
      <c r="G74" s="522">
        <v>3077.5612499999997</v>
      </c>
    </row>
    <row r="75" spans="1:9" ht="8.4499999999999993" customHeight="1">
      <c r="A75" s="520"/>
      <c r="B75" s="299" t="s">
        <v>401</v>
      </c>
      <c r="C75" s="493"/>
      <c r="D75" s="493"/>
      <c r="E75" s="493">
        <v>54619.843000000001</v>
      </c>
      <c r="F75" s="493">
        <v>54619.843000000001</v>
      </c>
      <c r="G75" s="522">
        <v>333333.48350000003</v>
      </c>
      <c r="I75" s="319"/>
    </row>
    <row r="76" spans="1:9" ht="8.4499999999999993" customHeight="1">
      <c r="A76" s="520"/>
      <c r="B76" s="299" t="s">
        <v>402</v>
      </c>
      <c r="C76" s="493"/>
      <c r="D76" s="493"/>
      <c r="E76" s="493">
        <v>40519.474499999997</v>
      </c>
      <c r="F76" s="493">
        <v>40519.474499999997</v>
      </c>
      <c r="G76" s="522">
        <v>307901.00950000004</v>
      </c>
      <c r="I76" s="319"/>
    </row>
    <row r="77" spans="1:9" ht="8.4499999999999993" customHeight="1">
      <c r="A77" s="520"/>
      <c r="B77" s="299" t="s">
        <v>610</v>
      </c>
      <c r="C77" s="493"/>
      <c r="D77" s="493"/>
      <c r="E77" s="493">
        <v>28256.39675</v>
      </c>
      <c r="F77" s="493">
        <v>28256.39675</v>
      </c>
      <c r="G77" s="522">
        <v>62024.62775</v>
      </c>
      <c r="I77" s="319"/>
    </row>
    <row r="78" spans="1:9" ht="8.4499999999999993" customHeight="1">
      <c r="A78" s="521" t="s">
        <v>473</v>
      </c>
      <c r="B78" s="400"/>
      <c r="C78" s="401">
        <v>244191.29000000004</v>
      </c>
      <c r="D78" s="401">
        <v>527331.15674999997</v>
      </c>
      <c r="E78" s="401">
        <v>123745.42625</v>
      </c>
      <c r="F78" s="401">
        <v>895267.87300000002</v>
      </c>
      <c r="G78" s="523">
        <v>6233383.3074999992</v>
      </c>
    </row>
    <row r="79" spans="1:9" ht="8.4499999999999993" customHeight="1">
      <c r="A79" s="520" t="s">
        <v>94</v>
      </c>
      <c r="B79" s="299" t="s">
        <v>296</v>
      </c>
      <c r="C79" s="493"/>
      <c r="D79" s="493">
        <v>114.24325</v>
      </c>
      <c r="E79" s="493"/>
      <c r="F79" s="493">
        <v>114.24325</v>
      </c>
      <c r="G79" s="522">
        <v>3600.4447500000001</v>
      </c>
    </row>
    <row r="80" spans="1:9" ht="8.4499999999999993" customHeight="1">
      <c r="A80" s="520"/>
      <c r="B80" s="299" t="s">
        <v>297</v>
      </c>
      <c r="C80" s="493"/>
      <c r="D80" s="493">
        <v>33804.84575</v>
      </c>
      <c r="E80" s="493"/>
      <c r="F80" s="493">
        <v>33804.84575</v>
      </c>
      <c r="G80" s="522">
        <v>440788.3285</v>
      </c>
    </row>
    <row r="81" spans="1:7" ht="8.4499999999999993" customHeight="1">
      <c r="A81" s="520"/>
      <c r="B81" s="299" t="s">
        <v>298</v>
      </c>
      <c r="C81" s="493"/>
      <c r="D81" s="493">
        <v>31391.439249999999</v>
      </c>
      <c r="E81" s="493"/>
      <c r="F81" s="493">
        <v>31391.439249999999</v>
      </c>
      <c r="G81" s="522">
        <v>115194.48175000001</v>
      </c>
    </row>
    <row r="82" spans="1:7" ht="8.4499999999999993" customHeight="1">
      <c r="A82" s="521" t="s">
        <v>474</v>
      </c>
      <c r="B82" s="400"/>
      <c r="C82" s="401"/>
      <c r="D82" s="401">
        <v>65310.528250000003</v>
      </c>
      <c r="E82" s="401"/>
      <c r="F82" s="401">
        <v>65310.528250000003</v>
      </c>
      <c r="G82" s="523">
        <v>559583.255</v>
      </c>
    </row>
    <row r="83" spans="1:7" ht="8.4499999999999993" customHeight="1">
      <c r="A83" s="520" t="s">
        <v>95</v>
      </c>
      <c r="B83" s="299" t="s">
        <v>75</v>
      </c>
      <c r="C83" s="493"/>
      <c r="D83" s="493"/>
      <c r="E83" s="493">
        <v>27341.724999999999</v>
      </c>
      <c r="F83" s="493">
        <v>27341.724999999999</v>
      </c>
      <c r="G83" s="522">
        <v>183856.27946000002</v>
      </c>
    </row>
    <row r="84" spans="1:7" ht="8.4499999999999993" customHeight="1">
      <c r="A84" s="520"/>
      <c r="B84" s="299" t="s">
        <v>77</v>
      </c>
      <c r="C84" s="493"/>
      <c r="D84" s="493"/>
      <c r="E84" s="493">
        <v>13965.77</v>
      </c>
      <c r="F84" s="493">
        <v>13965.77</v>
      </c>
      <c r="G84" s="522">
        <v>77018.990795000005</v>
      </c>
    </row>
    <row r="85" spans="1:7" ht="8.4499999999999993" customHeight="1">
      <c r="A85" s="521" t="s">
        <v>476</v>
      </c>
      <c r="B85" s="400"/>
      <c r="C85" s="401"/>
      <c r="D85" s="401"/>
      <c r="E85" s="401">
        <v>41307.494999999995</v>
      </c>
      <c r="F85" s="401">
        <v>41307.494999999995</v>
      </c>
      <c r="G85" s="523">
        <v>260875.27025500004</v>
      </c>
    </row>
    <row r="86" spans="1:7" ht="8.4499999999999993"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zoomScale="130" zoomScaleNormal="100" zoomScaleSheetLayoutView="130" zoomScalePageLayoutView="85" workbookViewId="0">
      <selection activeCell="D60" sqref="D60"/>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83203125" customWidth="1"/>
    <col min="7" max="7" width="16.1640625" bestFit="1" customWidth="1"/>
    <col min="8" max="8" width="13" bestFit="1" customWidth="1"/>
  </cols>
  <sheetData>
    <row r="1" spans="1:8" ht="13.9" customHeight="1">
      <c r="A1" s="922" t="s">
        <v>243</v>
      </c>
      <c r="B1" s="925" t="s">
        <v>52</v>
      </c>
      <c r="C1" s="928" t="str">
        <f>+'18. ANEXOI-1'!C2:F2</f>
        <v>ENERGÍA PRODUCIDA SETIEMBRE 2023</v>
      </c>
      <c r="D1" s="928"/>
      <c r="E1" s="928"/>
      <c r="F1" s="928"/>
      <c r="G1" s="494" t="s">
        <v>264</v>
      </c>
      <c r="H1" s="203"/>
    </row>
    <row r="2" spans="1:8" ht="11.25" customHeight="1">
      <c r="A2" s="923"/>
      <c r="B2" s="926"/>
      <c r="C2" s="929" t="s">
        <v>265</v>
      </c>
      <c r="D2" s="929"/>
      <c r="E2" s="929"/>
      <c r="F2" s="930" t="str">
        <f>"TOTAL 
"&amp;UPPER('1. Resumen'!Q4)</f>
        <v>TOTAL 
SETIEMBRE</v>
      </c>
      <c r="G2" s="495" t="s">
        <v>266</v>
      </c>
      <c r="H2" s="194"/>
    </row>
    <row r="3" spans="1:8" ht="11.25" customHeight="1">
      <c r="A3" s="923"/>
      <c r="B3" s="926"/>
      <c r="C3" s="490" t="s">
        <v>208</v>
      </c>
      <c r="D3" s="490" t="s">
        <v>209</v>
      </c>
      <c r="E3" s="490" t="s">
        <v>267</v>
      </c>
      <c r="F3" s="931"/>
      <c r="G3" s="495">
        <v>2023</v>
      </c>
      <c r="H3" s="196"/>
    </row>
    <row r="4" spans="1:8" ht="11.25" customHeight="1">
      <c r="A4" s="932"/>
      <c r="B4" s="933"/>
      <c r="C4" s="491" t="s">
        <v>268</v>
      </c>
      <c r="D4" s="491" t="s">
        <v>268</v>
      </c>
      <c r="E4" s="491" t="s">
        <v>268</v>
      </c>
      <c r="F4" s="491" t="s">
        <v>268</v>
      </c>
      <c r="G4" s="496" t="s">
        <v>201</v>
      </c>
      <c r="H4" s="196"/>
    </row>
    <row r="5" spans="1:8" ht="9" customHeight="1">
      <c r="A5" s="520" t="s">
        <v>85</v>
      </c>
      <c r="B5" s="299" t="s">
        <v>605</v>
      </c>
      <c r="C5" s="493">
        <v>0</v>
      </c>
      <c r="D5" s="493"/>
      <c r="E5" s="493"/>
      <c r="F5" s="493">
        <v>0</v>
      </c>
      <c r="G5" s="522">
        <v>110650.23636499999</v>
      </c>
    </row>
    <row r="6" spans="1:8" ht="9" customHeight="1">
      <c r="A6" s="520"/>
      <c r="B6" s="299" t="s">
        <v>299</v>
      </c>
      <c r="C6" s="493">
        <v>31512.827525000001</v>
      </c>
      <c r="D6" s="493"/>
      <c r="E6" s="493"/>
      <c r="F6" s="493">
        <v>31512.827525000001</v>
      </c>
      <c r="G6" s="522">
        <v>577881.84300500003</v>
      </c>
    </row>
    <row r="7" spans="1:8" ht="9" customHeight="1">
      <c r="A7" s="520"/>
      <c r="B7" s="299" t="s">
        <v>300</v>
      </c>
      <c r="C7" s="493"/>
      <c r="D7" s="493">
        <v>567331.33901750005</v>
      </c>
      <c r="E7" s="493"/>
      <c r="F7" s="493">
        <v>567331.33901750005</v>
      </c>
      <c r="G7" s="522">
        <v>4386512.7946349997</v>
      </c>
    </row>
    <row r="8" spans="1:8" ht="9" customHeight="1">
      <c r="A8" s="520"/>
      <c r="B8" s="299" t="s">
        <v>301</v>
      </c>
      <c r="C8" s="493"/>
      <c r="D8" s="493">
        <v>72879.149455000006</v>
      </c>
      <c r="E8" s="493"/>
      <c r="F8" s="493">
        <v>72879.149455000006</v>
      </c>
      <c r="G8" s="522">
        <v>465653.49320249999</v>
      </c>
    </row>
    <row r="9" spans="1:8" ht="9" customHeight="1">
      <c r="A9" s="520"/>
      <c r="B9" s="299" t="s">
        <v>302</v>
      </c>
      <c r="C9" s="493"/>
      <c r="D9" s="493">
        <v>74087.004180000004</v>
      </c>
      <c r="E9" s="493"/>
      <c r="F9" s="493">
        <v>74087.004180000004</v>
      </c>
      <c r="G9" s="522">
        <v>305000.97217999998</v>
      </c>
    </row>
    <row r="10" spans="1:8" ht="9" customHeight="1">
      <c r="A10" s="520"/>
      <c r="B10" s="299" t="s">
        <v>303</v>
      </c>
      <c r="C10" s="493"/>
      <c r="D10" s="493">
        <v>0</v>
      </c>
      <c r="E10" s="493"/>
      <c r="F10" s="493">
        <v>0</v>
      </c>
      <c r="G10" s="522">
        <v>120250.11157749999</v>
      </c>
    </row>
    <row r="11" spans="1:8" ht="9" customHeight="1">
      <c r="A11" s="520"/>
      <c r="B11" s="299" t="s">
        <v>403</v>
      </c>
      <c r="C11" s="493"/>
      <c r="D11" s="493"/>
      <c r="E11" s="493">
        <v>10126.011892500001</v>
      </c>
      <c r="F11" s="493">
        <v>10126.011892500001</v>
      </c>
      <c r="G11" s="522">
        <v>74354.384194999991</v>
      </c>
    </row>
    <row r="12" spans="1:8" ht="9" customHeight="1">
      <c r="A12" s="520"/>
      <c r="B12" s="299" t="s">
        <v>606</v>
      </c>
      <c r="C12" s="493"/>
      <c r="D12" s="493"/>
      <c r="E12" s="493">
        <v>67704.810799999992</v>
      </c>
      <c r="F12" s="493">
        <v>67704.810799999992</v>
      </c>
      <c r="G12" s="522">
        <v>451490.57872749999</v>
      </c>
    </row>
    <row r="13" spans="1:8" ht="9" customHeight="1">
      <c r="A13" s="520"/>
      <c r="B13" s="299" t="s">
        <v>592</v>
      </c>
      <c r="C13" s="493"/>
      <c r="D13" s="493"/>
      <c r="E13" s="493">
        <v>10058.5698875</v>
      </c>
      <c r="F13" s="493">
        <v>10058.5698875</v>
      </c>
      <c r="G13" s="522">
        <v>28221.828175000002</v>
      </c>
    </row>
    <row r="14" spans="1:8" ht="9" customHeight="1">
      <c r="A14" s="521" t="s">
        <v>477</v>
      </c>
      <c r="B14" s="400"/>
      <c r="C14" s="401">
        <v>31512.827525000001</v>
      </c>
      <c r="D14" s="401">
        <v>714297.49265250016</v>
      </c>
      <c r="E14" s="401">
        <v>87889.392579999985</v>
      </c>
      <c r="F14" s="401">
        <v>833699.7127575</v>
      </c>
      <c r="G14" s="523">
        <v>6520016.2420624988</v>
      </c>
    </row>
    <row r="15" spans="1:8" ht="9" customHeight="1">
      <c r="A15" s="520" t="s">
        <v>232</v>
      </c>
      <c r="B15" s="299" t="s">
        <v>304</v>
      </c>
      <c r="C15" s="493"/>
      <c r="D15" s="493">
        <v>406822.20158500003</v>
      </c>
      <c r="E15" s="493"/>
      <c r="F15" s="493">
        <v>406822.20158500003</v>
      </c>
      <c r="G15" s="522">
        <v>2483636.8905750001</v>
      </c>
    </row>
    <row r="16" spans="1:8" ht="9" customHeight="1">
      <c r="A16" s="521" t="s">
        <v>478</v>
      </c>
      <c r="B16" s="400"/>
      <c r="C16" s="401"/>
      <c r="D16" s="401">
        <v>406822.20158500003</v>
      </c>
      <c r="E16" s="401"/>
      <c r="F16" s="401">
        <v>406822.20158500003</v>
      </c>
      <c r="G16" s="523">
        <v>2483636.8905750001</v>
      </c>
    </row>
    <row r="17" spans="1:7" ht="9" customHeight="1">
      <c r="A17" s="520" t="s">
        <v>428</v>
      </c>
      <c r="B17" s="299" t="s">
        <v>432</v>
      </c>
      <c r="C17" s="493"/>
      <c r="D17" s="493"/>
      <c r="E17" s="493">
        <v>3925.174395</v>
      </c>
      <c r="F17" s="493">
        <v>3925.174395</v>
      </c>
      <c r="G17" s="522">
        <v>83097.435085000019</v>
      </c>
    </row>
    <row r="18" spans="1:7" ht="9" customHeight="1">
      <c r="A18" s="520"/>
      <c r="B18" s="299" t="s">
        <v>429</v>
      </c>
      <c r="C18" s="493"/>
      <c r="D18" s="493"/>
      <c r="E18" s="493">
        <v>1637.0883699999999</v>
      </c>
      <c r="F18" s="493">
        <v>1637.0883699999999</v>
      </c>
      <c r="G18" s="522">
        <v>31677.830907500003</v>
      </c>
    </row>
    <row r="19" spans="1:7" ht="9" customHeight="1">
      <c r="A19" s="521" t="s">
        <v>479</v>
      </c>
      <c r="B19" s="400"/>
      <c r="C19" s="401"/>
      <c r="D19" s="401"/>
      <c r="E19" s="401">
        <v>5562.2627649999995</v>
      </c>
      <c r="F19" s="401">
        <v>5562.2627649999995</v>
      </c>
      <c r="G19" s="523">
        <v>114775.26599250002</v>
      </c>
    </row>
    <row r="20" spans="1:7" ht="9" customHeight="1">
      <c r="A20" s="520" t="s">
        <v>106</v>
      </c>
      <c r="B20" s="299" t="s">
        <v>64</v>
      </c>
      <c r="C20" s="493"/>
      <c r="D20" s="493"/>
      <c r="E20" s="493">
        <v>3368.6590725000001</v>
      </c>
      <c r="F20" s="493">
        <v>3368.6590725000001</v>
      </c>
      <c r="G20" s="522">
        <v>32904.852457499997</v>
      </c>
    </row>
    <row r="21" spans="1:7" ht="9" customHeight="1">
      <c r="A21" s="520"/>
      <c r="B21" s="299" t="s">
        <v>394</v>
      </c>
      <c r="C21" s="493"/>
      <c r="D21" s="493"/>
      <c r="E21" s="493">
        <v>2014.00452</v>
      </c>
      <c r="F21" s="493">
        <v>2014.00452</v>
      </c>
      <c r="G21" s="522">
        <v>62189.355485</v>
      </c>
    </row>
    <row r="22" spans="1:7" ht="9" customHeight="1">
      <c r="A22" s="520"/>
      <c r="B22" s="299" t="s">
        <v>392</v>
      </c>
      <c r="C22" s="493"/>
      <c r="D22" s="493"/>
      <c r="E22" s="493">
        <v>2826.0836525</v>
      </c>
      <c r="F22" s="493">
        <v>2826.0836525</v>
      </c>
      <c r="G22" s="522">
        <v>77676.950445000009</v>
      </c>
    </row>
    <row r="23" spans="1:7" ht="9" customHeight="1">
      <c r="A23" s="520"/>
      <c r="B23" s="299" t="s">
        <v>393</v>
      </c>
      <c r="C23" s="493"/>
      <c r="D23" s="493"/>
      <c r="E23" s="493">
        <v>2903.5017575000002</v>
      </c>
      <c r="F23" s="493">
        <v>2903.5017575000002</v>
      </c>
      <c r="G23" s="522">
        <v>76311.949389999994</v>
      </c>
    </row>
    <row r="24" spans="1:7" ht="9" customHeight="1">
      <c r="A24" s="728" t="s">
        <v>480</v>
      </c>
      <c r="B24" s="729"/>
      <c r="C24" s="730"/>
      <c r="D24" s="730"/>
      <c r="E24" s="730">
        <v>11112.249002500001</v>
      </c>
      <c r="F24" s="730">
        <v>11112.249002500001</v>
      </c>
      <c r="G24" s="731">
        <v>249083.1077775</v>
      </c>
    </row>
    <row r="25" spans="1:7" ht="9" customHeight="1">
      <c r="A25" s="520" t="s">
        <v>444</v>
      </c>
      <c r="B25" s="299" t="s">
        <v>450</v>
      </c>
      <c r="C25" s="493"/>
      <c r="D25" s="493"/>
      <c r="E25" s="493">
        <v>7735.5354424999996</v>
      </c>
      <c r="F25" s="493">
        <v>7735.5354424999996</v>
      </c>
      <c r="G25" s="522">
        <v>53506.233582499997</v>
      </c>
    </row>
    <row r="26" spans="1:7" ht="9" customHeight="1">
      <c r="A26" s="521" t="s">
        <v>481</v>
      </c>
      <c r="B26" s="400"/>
      <c r="C26" s="401"/>
      <c r="D26" s="401"/>
      <c r="E26" s="401">
        <v>7735.5354424999996</v>
      </c>
      <c r="F26" s="401">
        <v>7735.5354424999996</v>
      </c>
      <c r="G26" s="523">
        <v>53506.233582499997</v>
      </c>
    </row>
    <row r="27" spans="1:7" ht="9" customHeight="1">
      <c r="A27" s="520" t="s">
        <v>445</v>
      </c>
      <c r="B27" s="299" t="s">
        <v>451</v>
      </c>
      <c r="C27" s="493"/>
      <c r="D27" s="493"/>
      <c r="E27" s="493">
        <v>9108.0067299999992</v>
      </c>
      <c r="F27" s="493">
        <v>9108.0067299999992</v>
      </c>
      <c r="G27" s="522">
        <v>64800.112349999996</v>
      </c>
    </row>
    <row r="28" spans="1:7" ht="9" customHeight="1">
      <c r="A28" s="521" t="s">
        <v>482</v>
      </c>
      <c r="B28" s="400"/>
      <c r="C28" s="401"/>
      <c r="D28" s="401"/>
      <c r="E28" s="401">
        <v>9108.0067299999992</v>
      </c>
      <c r="F28" s="401">
        <v>9108.0067299999992</v>
      </c>
      <c r="G28" s="523">
        <v>64800.112349999996</v>
      </c>
    </row>
    <row r="29" spans="1:7" ht="9" customHeight="1">
      <c r="A29" s="520" t="s">
        <v>112</v>
      </c>
      <c r="B29" s="299" t="s">
        <v>72</v>
      </c>
      <c r="C29" s="493"/>
      <c r="D29" s="493"/>
      <c r="E29" s="493">
        <v>2172.1</v>
      </c>
      <c r="F29" s="493">
        <v>2172.1</v>
      </c>
      <c r="G29" s="522">
        <v>20962.1000375</v>
      </c>
    </row>
    <row r="30" spans="1:7" ht="9" customHeight="1">
      <c r="A30" s="521" t="s">
        <v>483</v>
      </c>
      <c r="B30" s="400"/>
      <c r="C30" s="401"/>
      <c r="D30" s="401"/>
      <c r="E30" s="401">
        <v>2172.1</v>
      </c>
      <c r="F30" s="401">
        <v>2172.1</v>
      </c>
      <c r="G30" s="523">
        <v>20962.1000375</v>
      </c>
    </row>
    <row r="31" spans="1:7" ht="9" customHeight="1">
      <c r="A31" s="520" t="s">
        <v>101</v>
      </c>
      <c r="B31" s="299" t="s">
        <v>305</v>
      </c>
      <c r="C31" s="493">
        <v>12113.000372499999</v>
      </c>
      <c r="D31" s="493"/>
      <c r="E31" s="493"/>
      <c r="F31" s="493">
        <v>12113.000372499999</v>
      </c>
      <c r="G31" s="522">
        <v>106468.72771499999</v>
      </c>
    </row>
    <row r="32" spans="1:7" ht="9" customHeight="1">
      <c r="A32" s="521" t="s">
        <v>484</v>
      </c>
      <c r="B32" s="400"/>
      <c r="C32" s="401">
        <v>12113.000372499999</v>
      </c>
      <c r="D32" s="401"/>
      <c r="E32" s="401"/>
      <c r="F32" s="401">
        <v>12113.000372499999</v>
      </c>
      <c r="G32" s="523">
        <v>106468.72771499999</v>
      </c>
    </row>
    <row r="33" spans="1:7" ht="9" customHeight="1">
      <c r="A33" s="520" t="s">
        <v>233</v>
      </c>
      <c r="B33" s="299" t="s">
        <v>57</v>
      </c>
      <c r="C33" s="493"/>
      <c r="D33" s="493"/>
      <c r="E33" s="493">
        <v>10090.7097775</v>
      </c>
      <c r="F33" s="493">
        <v>10090.7097775</v>
      </c>
      <c r="G33" s="522">
        <v>103206.84502749999</v>
      </c>
    </row>
    <row r="34" spans="1:7" ht="9" customHeight="1">
      <c r="A34" s="521" t="s">
        <v>485</v>
      </c>
      <c r="B34" s="400"/>
      <c r="C34" s="401"/>
      <c r="D34" s="401"/>
      <c r="E34" s="401">
        <v>10090.7097775</v>
      </c>
      <c r="F34" s="401">
        <v>10090.7097775</v>
      </c>
      <c r="G34" s="523">
        <v>103206.84502749999</v>
      </c>
    </row>
    <row r="35" spans="1:7" ht="9" customHeight="1">
      <c r="A35" s="520" t="s">
        <v>405</v>
      </c>
      <c r="B35" s="299" t="s">
        <v>409</v>
      </c>
      <c r="C35" s="493">
        <v>35540.032760000002</v>
      </c>
      <c r="D35" s="493"/>
      <c r="E35" s="493"/>
      <c r="F35" s="493">
        <v>35540.032760000002</v>
      </c>
      <c r="G35" s="522">
        <v>467959.3971249999</v>
      </c>
    </row>
    <row r="36" spans="1:7" ht="9" customHeight="1">
      <c r="A36" s="521" t="s">
        <v>486</v>
      </c>
      <c r="B36" s="400"/>
      <c r="C36" s="401">
        <v>35540.032760000002</v>
      </c>
      <c r="D36" s="401"/>
      <c r="E36" s="401"/>
      <c r="F36" s="401">
        <v>35540.032760000002</v>
      </c>
      <c r="G36" s="523">
        <v>467959.3971249999</v>
      </c>
    </row>
    <row r="37" spans="1:7" ht="9" customHeight="1">
      <c r="A37" s="520" t="s">
        <v>436</v>
      </c>
      <c r="B37" s="299" t="s">
        <v>440</v>
      </c>
      <c r="C37" s="493"/>
      <c r="D37" s="493"/>
      <c r="E37" s="493">
        <v>1831.4302400000001</v>
      </c>
      <c r="F37" s="493">
        <v>1831.4302400000001</v>
      </c>
      <c r="G37" s="522">
        <v>54284.422322499995</v>
      </c>
    </row>
    <row r="38" spans="1:7" ht="9" customHeight="1">
      <c r="A38" s="521" t="s">
        <v>487</v>
      </c>
      <c r="B38" s="400"/>
      <c r="C38" s="401"/>
      <c r="D38" s="401"/>
      <c r="E38" s="401">
        <v>1831.4302400000001</v>
      </c>
      <c r="F38" s="401">
        <v>1831.4302400000001</v>
      </c>
      <c r="G38" s="523">
        <v>54284.422322499995</v>
      </c>
    </row>
    <row r="39" spans="1:7" s="46" customFormat="1" ht="9" customHeight="1">
      <c r="A39" s="520" t="s">
        <v>114</v>
      </c>
      <c r="B39" s="299" t="s">
        <v>307</v>
      </c>
      <c r="C39" s="493"/>
      <c r="D39" s="493">
        <v>10.767692500000001</v>
      </c>
      <c r="E39" s="493"/>
      <c r="F39" s="493">
        <v>10.767692500000001</v>
      </c>
      <c r="G39" s="522">
        <v>510.22615500000001</v>
      </c>
    </row>
    <row r="40" spans="1:7" ht="9" customHeight="1">
      <c r="A40" s="520"/>
      <c r="B40" s="299" t="s">
        <v>308</v>
      </c>
      <c r="C40" s="493"/>
      <c r="D40" s="493">
        <v>17.2642825</v>
      </c>
      <c r="E40" s="493"/>
      <c r="F40" s="493">
        <v>17.2642825</v>
      </c>
      <c r="G40" s="522">
        <v>1545.0334300000002</v>
      </c>
    </row>
    <row r="41" spans="1:7" ht="9" customHeight="1">
      <c r="A41" s="521" t="s">
        <v>488</v>
      </c>
      <c r="B41" s="400"/>
      <c r="C41" s="401"/>
      <c r="D41" s="401">
        <v>28.031975000000003</v>
      </c>
      <c r="E41" s="401"/>
      <c r="F41" s="401">
        <v>28.031975000000003</v>
      </c>
      <c r="G41" s="523">
        <v>2055.2595850000002</v>
      </c>
    </row>
    <row r="42" spans="1:7" ht="9" customHeight="1">
      <c r="A42" s="520" t="s">
        <v>390</v>
      </c>
      <c r="B42" s="299" t="s">
        <v>309</v>
      </c>
      <c r="C42" s="493"/>
      <c r="D42" s="493">
        <v>617191.45198749995</v>
      </c>
      <c r="E42" s="493"/>
      <c r="F42" s="493">
        <v>617191.45198749995</v>
      </c>
      <c r="G42" s="522">
        <v>4820920.0890825</v>
      </c>
    </row>
    <row r="43" spans="1:7" ht="9" customHeight="1">
      <c r="A43" s="520"/>
      <c r="B43" s="299" t="s">
        <v>540</v>
      </c>
      <c r="C43" s="493"/>
      <c r="D43" s="493">
        <v>209155.17323999997</v>
      </c>
      <c r="E43" s="493"/>
      <c r="F43" s="493">
        <v>209155.17323999997</v>
      </c>
      <c r="G43" s="522">
        <v>1759828.9244374998</v>
      </c>
    </row>
    <row r="44" spans="1:7" ht="9" customHeight="1">
      <c r="A44" s="520"/>
      <c r="B44" s="299" t="s">
        <v>407</v>
      </c>
      <c r="C44" s="493">
        <v>133271.0860525</v>
      </c>
      <c r="D44" s="493"/>
      <c r="E44" s="493"/>
      <c r="F44" s="493">
        <v>133271.0860525</v>
      </c>
      <c r="G44" s="522">
        <v>2003244.5429725</v>
      </c>
    </row>
    <row r="45" spans="1:7" ht="9" customHeight="1">
      <c r="A45" s="520"/>
      <c r="B45" s="299" t="s">
        <v>310</v>
      </c>
      <c r="C45" s="493">
        <v>2085.2992650000001</v>
      </c>
      <c r="D45" s="493"/>
      <c r="E45" s="493"/>
      <c r="F45" s="493">
        <v>2085.2992650000001</v>
      </c>
      <c r="G45" s="522">
        <v>39109.5404175</v>
      </c>
    </row>
    <row r="46" spans="1:7" ht="9" customHeight="1">
      <c r="A46" s="521" t="s">
        <v>489</v>
      </c>
      <c r="B46" s="400"/>
      <c r="C46" s="401">
        <v>135356.38531750001</v>
      </c>
      <c r="D46" s="401">
        <v>826346.62522749999</v>
      </c>
      <c r="E46" s="401"/>
      <c r="F46" s="401">
        <v>961703.01054499997</v>
      </c>
      <c r="G46" s="523">
        <v>8623103.0969099998</v>
      </c>
    </row>
    <row r="47" spans="1:7" ht="9" customHeight="1">
      <c r="A47" s="520" t="s">
        <v>452</v>
      </c>
      <c r="B47" s="299" t="s">
        <v>525</v>
      </c>
      <c r="C47" s="493">
        <v>12377.785</v>
      </c>
      <c r="D47" s="493"/>
      <c r="E47" s="493"/>
      <c r="F47" s="493">
        <v>12377.785</v>
      </c>
      <c r="G47" s="522">
        <v>266898.82863</v>
      </c>
    </row>
    <row r="48" spans="1:7" ht="9" customHeight="1">
      <c r="A48" s="521" t="s">
        <v>490</v>
      </c>
      <c r="B48" s="400"/>
      <c r="C48" s="401">
        <v>12377.785</v>
      </c>
      <c r="D48" s="401"/>
      <c r="E48" s="401"/>
      <c r="F48" s="401">
        <v>12377.785</v>
      </c>
      <c r="G48" s="523">
        <v>266898.82863</v>
      </c>
    </row>
    <row r="49" spans="1:8" ht="9" customHeight="1">
      <c r="A49" s="520" t="s">
        <v>113</v>
      </c>
      <c r="B49" s="299" t="s">
        <v>70</v>
      </c>
      <c r="C49" s="493"/>
      <c r="D49" s="493"/>
      <c r="E49" s="493">
        <v>882.80822999999987</v>
      </c>
      <c r="F49" s="493">
        <v>882.80822999999987</v>
      </c>
      <c r="G49" s="522">
        <v>16730.336192499999</v>
      </c>
    </row>
    <row r="50" spans="1:8" ht="9" customHeight="1">
      <c r="A50" s="521" t="s">
        <v>491</v>
      </c>
      <c r="B50" s="400"/>
      <c r="C50" s="401"/>
      <c r="D50" s="401"/>
      <c r="E50" s="401">
        <v>882.80822999999987</v>
      </c>
      <c r="F50" s="401">
        <v>882.80822999999987</v>
      </c>
      <c r="G50" s="523">
        <v>16730.336192499999</v>
      </c>
      <c r="H50" s="319"/>
    </row>
    <row r="51" spans="1:8" ht="9" customHeight="1">
      <c r="A51" s="520" t="s">
        <v>442</v>
      </c>
      <c r="B51" s="299" t="s">
        <v>226</v>
      </c>
      <c r="C51" s="493"/>
      <c r="D51" s="493"/>
      <c r="E51" s="493">
        <v>4094.41</v>
      </c>
      <c r="F51" s="493">
        <v>4094.41</v>
      </c>
      <c r="G51" s="522">
        <v>33500.536200000002</v>
      </c>
    </row>
    <row r="52" spans="1:8" ht="9" customHeight="1">
      <c r="A52" s="521" t="s">
        <v>492</v>
      </c>
      <c r="B52" s="400"/>
      <c r="C52" s="401"/>
      <c r="D52" s="401"/>
      <c r="E52" s="401">
        <v>4094.41</v>
      </c>
      <c r="F52" s="401">
        <v>4094.41</v>
      </c>
      <c r="G52" s="523">
        <v>33500.536200000002</v>
      </c>
    </row>
    <row r="53" spans="1:8" ht="9" customHeight="1">
      <c r="A53" s="520" t="s">
        <v>108</v>
      </c>
      <c r="B53" s="299" t="s">
        <v>79</v>
      </c>
      <c r="C53" s="493"/>
      <c r="D53" s="493"/>
      <c r="E53" s="493">
        <v>4207.6391775000002</v>
      </c>
      <c r="F53" s="493">
        <v>4207.6391775000002</v>
      </c>
      <c r="G53" s="522">
        <v>34038.258419999998</v>
      </c>
    </row>
    <row r="54" spans="1:8" ht="9" customHeight="1">
      <c r="A54" s="521" t="s">
        <v>493</v>
      </c>
      <c r="B54" s="400"/>
      <c r="C54" s="401"/>
      <c r="D54" s="401"/>
      <c r="E54" s="401">
        <v>4207.6391775000002</v>
      </c>
      <c r="F54" s="401">
        <v>4207.6391775000002</v>
      </c>
      <c r="G54" s="523">
        <v>34038.258419999998</v>
      </c>
    </row>
    <row r="55" spans="1:8" ht="9" customHeight="1">
      <c r="A55" s="520" t="s">
        <v>234</v>
      </c>
      <c r="B55" s="299" t="s">
        <v>69</v>
      </c>
      <c r="C55" s="493"/>
      <c r="D55" s="493"/>
      <c r="E55" s="493">
        <v>845.67810250000002</v>
      </c>
      <c r="F55" s="493">
        <v>845.67810250000002</v>
      </c>
      <c r="G55" s="522">
        <v>21656.572767500002</v>
      </c>
    </row>
    <row r="56" spans="1:8" ht="9" customHeight="1">
      <c r="A56" s="520"/>
      <c r="B56" s="299" t="s">
        <v>311</v>
      </c>
      <c r="C56" s="493">
        <v>67419.359292500012</v>
      </c>
      <c r="D56" s="493"/>
      <c r="E56" s="493"/>
      <c r="F56" s="493">
        <v>67419.359292500012</v>
      </c>
      <c r="G56" s="522">
        <v>996462.22590750013</v>
      </c>
    </row>
    <row r="57" spans="1:8" ht="9" customHeight="1">
      <c r="A57" s="520"/>
      <c r="B57" s="299" t="s">
        <v>312</v>
      </c>
      <c r="C57" s="493">
        <v>10237.693765</v>
      </c>
      <c r="D57" s="493"/>
      <c r="E57" s="493"/>
      <c r="F57" s="493">
        <v>10237.693765</v>
      </c>
      <c r="G57" s="522">
        <v>420162.14216500003</v>
      </c>
    </row>
    <row r="58" spans="1:8" ht="9" customHeight="1">
      <c r="A58" s="520"/>
      <c r="B58" s="299" t="s">
        <v>60</v>
      </c>
      <c r="C58" s="493"/>
      <c r="D58" s="493"/>
      <c r="E58" s="493">
        <v>4554.0491400000001</v>
      </c>
      <c r="F58" s="493">
        <v>4554.0491400000001</v>
      </c>
      <c r="G58" s="522">
        <v>51850.712122500008</v>
      </c>
    </row>
    <row r="59" spans="1:8" ht="9" customHeight="1">
      <c r="A59" s="521" t="s">
        <v>494</v>
      </c>
      <c r="B59" s="400"/>
      <c r="C59" s="401">
        <v>77657.053057500016</v>
      </c>
      <c r="D59" s="401"/>
      <c r="E59" s="401">
        <v>5399.7272425000001</v>
      </c>
      <c r="F59" s="401">
        <v>83056.780300000013</v>
      </c>
      <c r="G59" s="523">
        <v>1490131.6529625</v>
      </c>
    </row>
    <row r="60" spans="1:8" ht="9" customHeight="1">
      <c r="A60" s="520" t="s">
        <v>235</v>
      </c>
      <c r="B60" s="299" t="s">
        <v>76</v>
      </c>
      <c r="C60" s="493"/>
      <c r="D60" s="493"/>
      <c r="E60" s="493">
        <v>14909.885792499999</v>
      </c>
      <c r="F60" s="493">
        <v>14909.885792499999</v>
      </c>
      <c r="G60" s="522">
        <v>103996.927855</v>
      </c>
    </row>
    <row r="61" spans="1:8" ht="9" customHeight="1">
      <c r="A61" s="521" t="s">
        <v>495</v>
      </c>
      <c r="B61" s="400"/>
      <c r="C61" s="401"/>
      <c r="D61" s="401"/>
      <c r="E61" s="401">
        <v>14909.885792499999</v>
      </c>
      <c r="F61" s="401">
        <v>14909.885792499999</v>
      </c>
      <c r="G61" s="523">
        <v>103996.927855</v>
      </c>
    </row>
    <row r="62" spans="1:8" ht="9" customHeight="1">
      <c r="A62" s="520" t="s">
        <v>97</v>
      </c>
      <c r="B62" s="299" t="s">
        <v>74</v>
      </c>
      <c r="C62" s="493"/>
      <c r="D62" s="493"/>
      <c r="E62" s="493">
        <v>45001.129164999998</v>
      </c>
      <c r="F62" s="493">
        <v>45001.129164999998</v>
      </c>
      <c r="G62" s="522">
        <v>310248.07078499999</v>
      </c>
    </row>
    <row r="63" spans="1:8" ht="9" customHeight="1">
      <c r="A63" s="521" t="s">
        <v>496</v>
      </c>
      <c r="B63" s="400"/>
      <c r="C63" s="401"/>
      <c r="D63" s="401"/>
      <c r="E63" s="401">
        <v>45001.129164999998</v>
      </c>
      <c r="F63" s="401">
        <v>45001.129164999998</v>
      </c>
      <c r="G63" s="523">
        <v>310248.07078499999</v>
      </c>
    </row>
    <row r="64" spans="1:8" ht="9" customHeight="1">
      <c r="A64" s="520" t="s">
        <v>105</v>
      </c>
      <c r="B64" s="299" t="s">
        <v>225</v>
      </c>
      <c r="C64" s="493"/>
      <c r="D64" s="493"/>
      <c r="E64" s="493">
        <v>5057.3886249999996</v>
      </c>
      <c r="F64" s="493">
        <v>5057.3886249999996</v>
      </c>
      <c r="G64" s="522">
        <v>41437.991632500001</v>
      </c>
    </row>
    <row r="65" spans="1:7" ht="9" customHeight="1">
      <c r="A65" s="521" t="s">
        <v>497</v>
      </c>
      <c r="B65" s="400"/>
      <c r="C65" s="401"/>
      <c r="D65" s="401"/>
      <c r="E65" s="401">
        <v>5057.3886249999996</v>
      </c>
      <c r="F65" s="401">
        <v>5057.3886249999996</v>
      </c>
      <c r="G65" s="523">
        <v>41437.991632500001</v>
      </c>
    </row>
    <row r="66" spans="1:7" ht="9" customHeight="1">
      <c r="A66" s="520" t="s">
        <v>391</v>
      </c>
      <c r="B66" s="299" t="s">
        <v>83</v>
      </c>
      <c r="C66" s="493"/>
      <c r="D66" s="493"/>
      <c r="E66" s="493">
        <v>922.530575</v>
      </c>
      <c r="F66" s="493">
        <v>922.530575</v>
      </c>
      <c r="G66" s="522">
        <v>7474.5111499999994</v>
      </c>
    </row>
    <row r="67" spans="1:7" ht="9" customHeight="1">
      <c r="A67" s="520"/>
      <c r="B67" s="299" t="s">
        <v>82</v>
      </c>
      <c r="C67" s="493"/>
      <c r="D67" s="493"/>
      <c r="E67" s="493">
        <v>1989.3136</v>
      </c>
      <c r="F67" s="493">
        <v>1989.3136</v>
      </c>
      <c r="G67" s="522">
        <v>19121.0500675</v>
      </c>
    </row>
    <row r="68" spans="1:7" ht="9" customHeight="1">
      <c r="A68" s="520"/>
      <c r="B68" s="299" t="s">
        <v>404</v>
      </c>
      <c r="C68" s="493"/>
      <c r="D68" s="493"/>
      <c r="E68" s="493">
        <v>1628.184025</v>
      </c>
      <c r="F68" s="493">
        <v>1628.184025</v>
      </c>
      <c r="G68" s="522">
        <v>12117.035882500002</v>
      </c>
    </row>
    <row r="69" spans="1:7" ht="9" customHeight="1">
      <c r="A69" s="520"/>
      <c r="B69" s="299" t="s">
        <v>439</v>
      </c>
      <c r="C69" s="493"/>
      <c r="D69" s="493"/>
      <c r="E69" s="493">
        <v>1190.06845</v>
      </c>
      <c r="F69" s="493">
        <v>1190.06845</v>
      </c>
      <c r="G69" s="522">
        <v>11485.731400000001</v>
      </c>
    </row>
    <row r="70" spans="1:7" ht="10.15" customHeight="1">
      <c r="A70" s="521" t="s">
        <v>498</v>
      </c>
      <c r="B70" s="400"/>
      <c r="C70" s="401"/>
      <c r="D70" s="401"/>
      <c r="E70" s="401">
        <v>5730.0966500000004</v>
      </c>
      <c r="F70" s="401">
        <v>5730.0966500000004</v>
      </c>
      <c r="G70" s="523">
        <v>50198.328500000003</v>
      </c>
    </row>
    <row r="71" spans="1:7" ht="9" customHeight="1">
      <c r="A71" s="520" t="s">
        <v>236</v>
      </c>
      <c r="B71" s="299" t="s">
        <v>313</v>
      </c>
      <c r="C71" s="493"/>
      <c r="D71" s="493">
        <v>0</v>
      </c>
      <c r="E71" s="493"/>
      <c r="F71" s="493">
        <v>0</v>
      </c>
      <c r="G71" s="522">
        <v>7755.7082474999997</v>
      </c>
    </row>
    <row r="72" spans="1:7" ht="9" customHeight="1">
      <c r="A72" s="521" t="s">
        <v>499</v>
      </c>
      <c r="B72" s="400"/>
      <c r="C72" s="401"/>
      <c r="D72" s="401">
        <v>0</v>
      </c>
      <c r="E72" s="401"/>
      <c r="F72" s="401">
        <v>0</v>
      </c>
      <c r="G72" s="523">
        <v>7755.7082474999997</v>
      </c>
    </row>
    <row r="73" spans="1:7" ht="9" customHeight="1">
      <c r="A73" s="520" t="s">
        <v>443</v>
      </c>
      <c r="B73" s="299" t="s">
        <v>80</v>
      </c>
      <c r="C73" s="493"/>
      <c r="D73" s="493"/>
      <c r="E73" s="493">
        <v>4007.8735000000001</v>
      </c>
      <c r="F73" s="493">
        <v>4007.8735000000001</v>
      </c>
      <c r="G73" s="522">
        <v>32732.833232500001</v>
      </c>
    </row>
    <row r="74" spans="1:7" ht="9" customHeight="1">
      <c r="A74" s="521" t="s">
        <v>500</v>
      </c>
      <c r="B74" s="400"/>
      <c r="C74" s="401"/>
      <c r="D74" s="401"/>
      <c r="E74" s="401">
        <v>4007.8735000000001</v>
      </c>
      <c r="F74" s="401">
        <v>4007.8735000000001</v>
      </c>
      <c r="G74" s="523">
        <v>32732.833232500001</v>
      </c>
    </row>
    <row r="75" spans="1:7" ht="9" customHeight="1">
      <c r="A75" s="520" t="s">
        <v>419</v>
      </c>
      <c r="B75" s="299" t="s">
        <v>430</v>
      </c>
      <c r="C75" s="493"/>
      <c r="D75" s="493"/>
      <c r="E75" s="493">
        <v>6885.1207749999994</v>
      </c>
      <c r="F75" s="493">
        <v>6885.1207749999994</v>
      </c>
      <c r="G75" s="522">
        <v>98540.413614999998</v>
      </c>
    </row>
    <row r="76" spans="1:7" ht="9" customHeight="1">
      <c r="A76" s="521" t="s">
        <v>501</v>
      </c>
      <c r="B76" s="400"/>
      <c r="C76" s="401"/>
      <c r="D76" s="401"/>
      <c r="E76" s="401">
        <v>6885.1207749999994</v>
      </c>
      <c r="F76" s="401">
        <v>6885.1207749999994</v>
      </c>
      <c r="G76" s="523">
        <v>98540.413614999998</v>
      </c>
    </row>
    <row r="77" spans="1:7" ht="9" customHeight="1">
      <c r="A77" s="520" t="s">
        <v>102</v>
      </c>
      <c r="B77" s="299" t="s">
        <v>59</v>
      </c>
      <c r="C77" s="493"/>
      <c r="D77" s="493"/>
      <c r="E77" s="493">
        <v>1729.7401150000001</v>
      </c>
      <c r="F77" s="493">
        <v>1729.7401150000001</v>
      </c>
      <c r="G77" s="522">
        <v>80091.703182499987</v>
      </c>
    </row>
    <row r="78" spans="1:7" ht="9" customHeight="1">
      <c r="A78" s="521" t="s">
        <v>502</v>
      </c>
      <c r="B78" s="400"/>
      <c r="C78" s="401"/>
      <c r="D78" s="401"/>
      <c r="E78" s="401">
        <v>1729.7401150000001</v>
      </c>
      <c r="F78" s="401">
        <v>1729.7401150000001</v>
      </c>
      <c r="G78" s="523">
        <v>80091.703182499987</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1"/>
  <sheetViews>
    <sheetView showGridLines="0" view="pageBreakPreview" zoomScale="115" zoomScaleNormal="100" zoomScaleSheetLayoutView="115" zoomScalePageLayoutView="115" workbookViewId="0">
      <selection activeCell="D28" sqref="D28"/>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22" t="s">
        <v>243</v>
      </c>
      <c r="B1" s="925" t="s">
        <v>52</v>
      </c>
      <c r="C1" s="928" t="str">
        <f>+'19. ANEXOI-2'!C1:F1</f>
        <v>ENERGÍA PRODUCIDA SETIEMBRE 2023</v>
      </c>
      <c r="D1" s="928"/>
      <c r="E1" s="928"/>
      <c r="F1" s="928"/>
      <c r="G1" s="494" t="s">
        <v>264</v>
      </c>
      <c r="H1" s="203"/>
    </row>
    <row r="2" spans="1:8" ht="11.25" customHeight="1">
      <c r="A2" s="923"/>
      <c r="B2" s="926"/>
      <c r="C2" s="929" t="s">
        <v>265</v>
      </c>
      <c r="D2" s="929"/>
      <c r="E2" s="929"/>
      <c r="F2" s="930" t="str">
        <f>"TOTAL 
"&amp;UPPER('1. Resumen'!Q4)</f>
        <v>TOTAL 
SETIEMBRE</v>
      </c>
      <c r="G2" s="495" t="s">
        <v>266</v>
      </c>
      <c r="H2" s="194"/>
    </row>
    <row r="3" spans="1:8" ht="11.25" customHeight="1">
      <c r="A3" s="923"/>
      <c r="B3" s="926"/>
      <c r="C3" s="490" t="s">
        <v>208</v>
      </c>
      <c r="D3" s="490" t="s">
        <v>209</v>
      </c>
      <c r="E3" s="490" t="s">
        <v>267</v>
      </c>
      <c r="F3" s="931"/>
      <c r="G3" s="495">
        <v>2023</v>
      </c>
      <c r="H3" s="196"/>
    </row>
    <row r="4" spans="1:8" ht="11.25" customHeight="1">
      <c r="A4" s="932"/>
      <c r="B4" s="933"/>
      <c r="C4" s="491" t="s">
        <v>268</v>
      </c>
      <c r="D4" s="491" t="s">
        <v>268</v>
      </c>
      <c r="E4" s="491" t="s">
        <v>268</v>
      </c>
      <c r="F4" s="491" t="s">
        <v>268</v>
      </c>
      <c r="G4" s="496" t="s">
        <v>201</v>
      </c>
      <c r="H4" s="196"/>
    </row>
    <row r="5" spans="1:8" s="299" customFormat="1" ht="9" customHeight="1">
      <c r="A5" s="520" t="s">
        <v>237</v>
      </c>
      <c r="B5" s="299" t="s">
        <v>314</v>
      </c>
      <c r="C5" s="493"/>
      <c r="D5" s="493">
        <v>76499.341622499996</v>
      </c>
      <c r="E5" s="493"/>
      <c r="F5" s="493">
        <v>76499.341622499996</v>
      </c>
      <c r="G5" s="522">
        <v>298114.55790000001</v>
      </c>
    </row>
    <row r="6" spans="1:8" s="299" customFormat="1" ht="9" customHeight="1">
      <c r="A6" s="521" t="s">
        <v>503</v>
      </c>
      <c r="B6" s="400"/>
      <c r="C6" s="401"/>
      <c r="D6" s="401">
        <v>76499.341622499996</v>
      </c>
      <c r="E6" s="401"/>
      <c r="F6" s="401">
        <v>76499.341622499996</v>
      </c>
      <c r="G6" s="523">
        <v>298114.55790000001</v>
      </c>
    </row>
    <row r="7" spans="1:8" s="299" customFormat="1" ht="9" customHeight="1">
      <c r="A7" s="520" t="s">
        <v>93</v>
      </c>
      <c r="B7" s="299" t="s">
        <v>315</v>
      </c>
      <c r="C7" s="493">
        <v>35946.160592500004</v>
      </c>
      <c r="D7" s="493"/>
      <c r="E7" s="493"/>
      <c r="F7" s="493">
        <v>35946.160592500004</v>
      </c>
      <c r="G7" s="522">
        <v>517023.11751750007</v>
      </c>
    </row>
    <row r="8" spans="1:8" s="299" customFormat="1" ht="9" customHeight="1">
      <c r="A8" s="520"/>
      <c r="B8" s="299" t="s">
        <v>538</v>
      </c>
      <c r="C8" s="493">
        <v>0</v>
      </c>
      <c r="D8" s="493"/>
      <c r="E8" s="493"/>
      <c r="F8" s="493">
        <v>0</v>
      </c>
      <c r="G8" s="522">
        <v>0</v>
      </c>
    </row>
    <row r="9" spans="1:8" s="299" customFormat="1" ht="9" customHeight="1">
      <c r="A9" s="521" t="s">
        <v>504</v>
      </c>
      <c r="B9" s="400"/>
      <c r="C9" s="401">
        <v>35946.160592500004</v>
      </c>
      <c r="D9" s="401"/>
      <c r="E9" s="401"/>
      <c r="F9" s="401">
        <v>35946.160592500004</v>
      </c>
      <c r="G9" s="523">
        <v>517023.11751750007</v>
      </c>
    </row>
    <row r="10" spans="1:8" s="299" customFormat="1" ht="9" customHeight="1">
      <c r="A10" s="520" t="s">
        <v>406</v>
      </c>
      <c r="B10" s="299" t="s">
        <v>435</v>
      </c>
      <c r="C10" s="493"/>
      <c r="D10" s="493"/>
      <c r="E10" s="493">
        <v>5489.7718825000002</v>
      </c>
      <c r="F10" s="493">
        <v>5489.7718825000002</v>
      </c>
      <c r="G10" s="522">
        <v>29955.117545000001</v>
      </c>
    </row>
    <row r="11" spans="1:8" s="299" customFormat="1" ht="9" customHeight="1">
      <c r="A11" s="521" t="s">
        <v>505</v>
      </c>
      <c r="B11" s="400"/>
      <c r="C11" s="401"/>
      <c r="D11" s="401"/>
      <c r="E11" s="401">
        <v>5489.7718825000002</v>
      </c>
      <c r="F11" s="401">
        <v>5489.7718825000002</v>
      </c>
      <c r="G11" s="523">
        <v>29955.117545000001</v>
      </c>
    </row>
    <row r="12" spans="1:8" s="299" customFormat="1" ht="9" customHeight="1">
      <c r="A12" s="520" t="s">
        <v>382</v>
      </c>
      <c r="B12" s="299" t="s">
        <v>386</v>
      </c>
      <c r="C12" s="493"/>
      <c r="D12" s="493"/>
      <c r="E12" s="493">
        <v>9053.9346575</v>
      </c>
      <c r="F12" s="493">
        <v>9053.9346575</v>
      </c>
      <c r="G12" s="522">
        <v>121524.70063499999</v>
      </c>
    </row>
    <row r="13" spans="1:8" s="299" customFormat="1" ht="9" customHeight="1">
      <c r="A13" s="521" t="s">
        <v>506</v>
      </c>
      <c r="B13" s="400"/>
      <c r="C13" s="401"/>
      <c r="D13" s="401"/>
      <c r="E13" s="401">
        <v>9053.9346575</v>
      </c>
      <c r="F13" s="401">
        <v>9053.9346575</v>
      </c>
      <c r="G13" s="523">
        <v>121524.70063499999</v>
      </c>
    </row>
    <row r="14" spans="1:8" s="299" customFormat="1" ht="9" customHeight="1">
      <c r="A14" s="520" t="s">
        <v>100</v>
      </c>
      <c r="B14" s="299" t="s">
        <v>600</v>
      </c>
      <c r="C14" s="493"/>
      <c r="D14" s="493">
        <v>22144.131529999999</v>
      </c>
      <c r="E14" s="493"/>
      <c r="F14" s="493">
        <v>22144.131529999999</v>
      </c>
      <c r="G14" s="522">
        <v>94286.199627499998</v>
      </c>
    </row>
    <row r="15" spans="1:8" s="299" customFormat="1" ht="9" customHeight="1">
      <c r="A15" s="521" t="s">
        <v>507</v>
      </c>
      <c r="B15" s="400"/>
      <c r="C15" s="401"/>
      <c r="D15" s="401">
        <v>22144.131529999999</v>
      </c>
      <c r="E15" s="401"/>
      <c r="F15" s="401">
        <v>22144.131529999999</v>
      </c>
      <c r="G15" s="523">
        <v>94286.199627499998</v>
      </c>
    </row>
    <row r="16" spans="1:8" s="299" customFormat="1" ht="9" customHeight="1">
      <c r="A16" s="520" t="s">
        <v>115</v>
      </c>
      <c r="B16" s="299" t="s">
        <v>316</v>
      </c>
      <c r="C16" s="493"/>
      <c r="D16" s="493">
        <v>10142.815882499999</v>
      </c>
      <c r="E16" s="493"/>
      <c r="F16" s="493">
        <v>10142.815882499999</v>
      </c>
      <c r="G16" s="522">
        <v>25330.751442499997</v>
      </c>
    </row>
    <row r="17" spans="1:7" s="299" customFormat="1" ht="9" customHeight="1">
      <c r="A17" s="521" t="s">
        <v>508</v>
      </c>
      <c r="B17" s="400"/>
      <c r="C17" s="401"/>
      <c r="D17" s="401">
        <v>10142.815882499999</v>
      </c>
      <c r="E17" s="401"/>
      <c r="F17" s="401">
        <v>10142.815882499999</v>
      </c>
      <c r="G17" s="523">
        <v>25330.751442499997</v>
      </c>
    </row>
    <row r="18" spans="1:7" s="299" customFormat="1" ht="9" customHeight="1">
      <c r="A18" s="520" t="s">
        <v>109</v>
      </c>
      <c r="B18" s="299" t="s">
        <v>431</v>
      </c>
      <c r="C18" s="493"/>
      <c r="D18" s="493"/>
      <c r="E18" s="493">
        <v>9368.3643725000002</v>
      </c>
      <c r="F18" s="493">
        <v>9368.3643725000002</v>
      </c>
      <c r="G18" s="522">
        <v>112163.1269475</v>
      </c>
    </row>
    <row r="19" spans="1:7" s="299" customFormat="1" ht="9" customHeight="1">
      <c r="A19" s="520"/>
      <c r="B19" s="299" t="s">
        <v>67</v>
      </c>
      <c r="C19" s="493"/>
      <c r="D19" s="493"/>
      <c r="E19" s="493">
        <v>4913.1312724999998</v>
      </c>
      <c r="F19" s="493">
        <v>4913.1312724999998</v>
      </c>
      <c r="G19" s="522">
        <v>42561.778279999999</v>
      </c>
    </row>
    <row r="20" spans="1:7" s="299" customFormat="1" ht="9" customHeight="1">
      <c r="A20" s="521" t="s">
        <v>509</v>
      </c>
      <c r="B20" s="400"/>
      <c r="C20" s="401"/>
      <c r="D20" s="401"/>
      <c r="E20" s="401">
        <v>14281.495644999999</v>
      </c>
      <c r="F20" s="401">
        <v>14281.495644999999</v>
      </c>
      <c r="G20" s="523">
        <v>154724.90522750001</v>
      </c>
    </row>
    <row r="21" spans="1:7" s="299" customFormat="1" ht="9" customHeight="1">
      <c r="A21" s="520" t="s">
        <v>88</v>
      </c>
      <c r="B21" s="299" t="s">
        <v>317</v>
      </c>
      <c r="C21" s="493">
        <v>14908.0487175</v>
      </c>
      <c r="D21" s="493"/>
      <c r="E21" s="493"/>
      <c r="F21" s="493">
        <v>14908.0487175</v>
      </c>
      <c r="G21" s="522">
        <v>208408.58295249997</v>
      </c>
    </row>
    <row r="22" spans="1:7" s="299" customFormat="1" ht="9" customHeight="1">
      <c r="A22" s="520"/>
      <c r="B22" s="299" t="s">
        <v>318</v>
      </c>
      <c r="C22" s="493">
        <v>35033.401675000001</v>
      </c>
      <c r="D22" s="493"/>
      <c r="E22" s="493"/>
      <c r="F22" s="493">
        <v>35033.401675000001</v>
      </c>
      <c r="G22" s="522">
        <v>583949.61571999989</v>
      </c>
    </row>
    <row r="23" spans="1:7" s="299" customFormat="1" ht="9" customHeight="1">
      <c r="A23" s="520"/>
      <c r="B23" s="299" t="s">
        <v>319</v>
      </c>
      <c r="C23" s="493">
        <v>7891.8882899999999</v>
      </c>
      <c r="D23" s="493"/>
      <c r="E23" s="493"/>
      <c r="F23" s="493">
        <v>7891.8882899999999</v>
      </c>
      <c r="G23" s="522">
        <v>124093.2956825</v>
      </c>
    </row>
    <row r="24" spans="1:7" s="299" customFormat="1" ht="9" customHeight="1">
      <c r="A24" s="520"/>
      <c r="B24" s="299" t="s">
        <v>320</v>
      </c>
      <c r="C24" s="493">
        <v>133.32968249999999</v>
      </c>
      <c r="D24" s="493"/>
      <c r="E24" s="493"/>
      <c r="F24" s="493">
        <v>133.32968249999999</v>
      </c>
      <c r="G24" s="522">
        <v>516.11076000000003</v>
      </c>
    </row>
    <row r="25" spans="1:7" s="299" customFormat="1" ht="9" customHeight="1">
      <c r="A25" s="520"/>
      <c r="B25" s="299" t="s">
        <v>321</v>
      </c>
      <c r="C25" s="493">
        <v>9939.8971925000005</v>
      </c>
      <c r="D25" s="493"/>
      <c r="E25" s="493"/>
      <c r="F25" s="493">
        <v>9939.8971925000005</v>
      </c>
      <c r="G25" s="522">
        <v>118596.55981999999</v>
      </c>
    </row>
    <row r="26" spans="1:7" s="299" customFormat="1" ht="9" customHeight="1">
      <c r="A26" s="520"/>
      <c r="B26" s="299" t="s">
        <v>322</v>
      </c>
      <c r="C26" s="493">
        <v>1607.10409</v>
      </c>
      <c r="D26" s="493"/>
      <c r="E26" s="493"/>
      <c r="F26" s="493">
        <v>1607.10409</v>
      </c>
      <c r="G26" s="522">
        <v>13308.095510000003</v>
      </c>
    </row>
    <row r="27" spans="1:7" s="299" customFormat="1" ht="9" customHeight="1">
      <c r="A27" s="520"/>
      <c r="B27" s="299" t="s">
        <v>323</v>
      </c>
      <c r="C27" s="493">
        <v>3874.4769749999996</v>
      </c>
      <c r="D27" s="493"/>
      <c r="E27" s="493"/>
      <c r="F27" s="493">
        <v>3874.4769749999996</v>
      </c>
      <c r="G27" s="522">
        <v>43544.81614499999</v>
      </c>
    </row>
    <row r="28" spans="1:7" s="299" customFormat="1" ht="9" customHeight="1">
      <c r="A28" s="520"/>
      <c r="B28" s="299" t="s">
        <v>324</v>
      </c>
      <c r="C28" s="493">
        <v>3304.8340925000002</v>
      </c>
      <c r="D28" s="493"/>
      <c r="E28" s="493"/>
      <c r="F28" s="493">
        <v>3304.8340925000002</v>
      </c>
      <c r="G28" s="522">
        <v>18039.599104999998</v>
      </c>
    </row>
    <row r="29" spans="1:7" s="299" customFormat="1" ht="9" customHeight="1">
      <c r="A29" s="520"/>
      <c r="B29" s="299" t="s">
        <v>325</v>
      </c>
      <c r="C29" s="493">
        <v>791.27860499999997</v>
      </c>
      <c r="D29" s="493"/>
      <c r="E29" s="493"/>
      <c r="F29" s="493">
        <v>791.27860499999997</v>
      </c>
      <c r="G29" s="522">
        <v>16645.530125000001</v>
      </c>
    </row>
    <row r="30" spans="1:7" s="299" customFormat="1" ht="9" customHeight="1">
      <c r="A30" s="520"/>
      <c r="B30" s="299" t="s">
        <v>326</v>
      </c>
      <c r="C30" s="493">
        <v>259.61516499999999</v>
      </c>
      <c r="D30" s="493"/>
      <c r="E30" s="493"/>
      <c r="F30" s="493">
        <v>259.61516499999999</v>
      </c>
      <c r="G30" s="522">
        <v>1757.9507350000001</v>
      </c>
    </row>
    <row r="31" spans="1:7" s="299" customFormat="1" ht="9" customHeight="1">
      <c r="A31" s="520"/>
      <c r="B31" s="299" t="s">
        <v>327</v>
      </c>
      <c r="C31" s="493">
        <v>207.25203999999999</v>
      </c>
      <c r="D31" s="493"/>
      <c r="E31" s="493"/>
      <c r="F31" s="493">
        <v>207.25203999999999</v>
      </c>
      <c r="G31" s="522">
        <v>1357.6484275</v>
      </c>
    </row>
    <row r="32" spans="1:7" s="299" customFormat="1" ht="9" customHeight="1">
      <c r="A32" s="520"/>
      <c r="B32" s="299" t="s">
        <v>328</v>
      </c>
      <c r="C32" s="493">
        <v>39414.074047499998</v>
      </c>
      <c r="D32" s="493"/>
      <c r="E32" s="493"/>
      <c r="F32" s="493">
        <v>39414.074047499998</v>
      </c>
      <c r="G32" s="522">
        <v>567014.78224249999</v>
      </c>
    </row>
    <row r="33" spans="1:8" s="299" customFormat="1" ht="9" customHeight="1">
      <c r="A33" s="521" t="s">
        <v>510</v>
      </c>
      <c r="B33" s="400"/>
      <c r="C33" s="401">
        <v>117365.20057249998</v>
      </c>
      <c r="D33" s="401"/>
      <c r="E33" s="401"/>
      <c r="F33" s="401">
        <v>117365.20057249998</v>
      </c>
      <c r="G33" s="523">
        <v>1697232.5872249997</v>
      </c>
    </row>
    <row r="34" spans="1:8" s="299" customFormat="1" ht="9" customHeight="1">
      <c r="A34" s="520" t="s">
        <v>107</v>
      </c>
      <c r="B34" s="299" t="s">
        <v>224</v>
      </c>
      <c r="C34" s="493"/>
      <c r="D34" s="493"/>
      <c r="E34" s="493">
        <v>3738.6747399999999</v>
      </c>
      <c r="F34" s="493">
        <v>3738.6747399999999</v>
      </c>
      <c r="G34" s="522">
        <v>37915.8167025</v>
      </c>
    </row>
    <row r="35" spans="1:8" s="299" customFormat="1" ht="9" customHeight="1">
      <c r="A35" s="521" t="s">
        <v>511</v>
      </c>
      <c r="B35" s="400"/>
      <c r="C35" s="401"/>
      <c r="D35" s="401"/>
      <c r="E35" s="401">
        <v>3738.6747399999999</v>
      </c>
      <c r="F35" s="401">
        <v>3738.6747399999999</v>
      </c>
      <c r="G35" s="523">
        <v>37915.8167025</v>
      </c>
    </row>
    <row r="36" spans="1:8" s="299" customFormat="1" ht="9" customHeight="1">
      <c r="A36" s="520" t="s">
        <v>98</v>
      </c>
      <c r="B36" s="299" t="s">
        <v>408</v>
      </c>
      <c r="C36" s="493"/>
      <c r="D36" s="493">
        <v>205732.701</v>
      </c>
      <c r="E36" s="493"/>
      <c r="F36" s="493">
        <v>205732.701</v>
      </c>
      <c r="G36" s="522">
        <v>1248413.3108549998</v>
      </c>
    </row>
    <row r="37" spans="1:8" s="299" customFormat="1" ht="9" customHeight="1">
      <c r="A37" s="521" t="s">
        <v>512</v>
      </c>
      <c r="B37" s="400"/>
      <c r="C37" s="401"/>
      <c r="D37" s="401">
        <v>205732.701</v>
      </c>
      <c r="E37" s="401"/>
      <c r="F37" s="401">
        <v>205732.701</v>
      </c>
      <c r="G37" s="523">
        <v>1248413.3108549998</v>
      </c>
    </row>
    <row r="38" spans="1:8" s="299" customFormat="1" ht="9" customHeight="1">
      <c r="A38" s="520" t="s">
        <v>103</v>
      </c>
      <c r="B38" s="299" t="s">
        <v>329</v>
      </c>
      <c r="C38" s="493"/>
      <c r="D38" s="493">
        <v>56569.194632500003</v>
      </c>
      <c r="E38" s="493"/>
      <c r="F38" s="493">
        <v>56569.194632500003</v>
      </c>
      <c r="G38" s="522">
        <v>288441.43312</v>
      </c>
    </row>
    <row r="39" spans="1:8" s="299" customFormat="1" ht="9" customHeight="1">
      <c r="A39" s="521" t="s">
        <v>513</v>
      </c>
      <c r="B39" s="400"/>
      <c r="C39" s="401"/>
      <c r="D39" s="401">
        <v>56569.194632500003</v>
      </c>
      <c r="E39" s="401"/>
      <c r="F39" s="401">
        <v>56569.194632500003</v>
      </c>
      <c r="G39" s="523">
        <v>288441.43312</v>
      </c>
    </row>
    <row r="40" spans="1:8">
      <c r="A40" s="386" t="s">
        <v>400</v>
      </c>
      <c r="B40" s="386"/>
      <c r="C40" s="385">
        <v>1419208.6589525</v>
      </c>
      <c r="D40" s="385">
        <v>2926905.3368699998</v>
      </c>
      <c r="E40" s="385">
        <v>480244.48661500006</v>
      </c>
      <c r="F40" s="385">
        <v>4826358.4824375007</v>
      </c>
      <c r="G40" s="497">
        <v>43556548.187904999</v>
      </c>
    </row>
    <row r="41" spans="1:8">
      <c r="A41" s="386" t="s">
        <v>330</v>
      </c>
      <c r="B41" s="386"/>
      <c r="C41" s="387"/>
      <c r="D41" s="387"/>
      <c r="E41" s="412"/>
      <c r="F41" s="388">
        <f>+'3. Tipo Generación'!D14*1000</f>
        <v>0</v>
      </c>
      <c r="G41" s="498">
        <f>+'4. Tipo Recurso'!$G$20*1000</f>
        <v>12852.016489999998</v>
      </c>
    </row>
    <row r="42" spans="1:8">
      <c r="A42" s="499" t="s">
        <v>331</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34" t="s">
        <v>596</v>
      </c>
      <c r="B44" s="934"/>
      <c r="C44" s="934"/>
      <c r="D44" s="934"/>
      <c r="E44" s="934"/>
      <c r="F44" s="934"/>
      <c r="G44" s="934"/>
    </row>
    <row r="45" spans="1:8" ht="17.25" customHeight="1">
      <c r="A45" s="533"/>
      <c r="B45" s="533"/>
      <c r="C45" s="533"/>
      <c r="D45" s="533"/>
      <c r="E45" s="533"/>
      <c r="F45" s="533"/>
      <c r="G45" s="533"/>
      <c r="H45" s="46"/>
    </row>
    <row r="46" spans="1:8" ht="17.25" customHeight="1">
      <c r="A46" s="648" t="s">
        <v>589</v>
      </c>
      <c r="B46" s="533"/>
      <c r="C46" s="533"/>
      <c r="D46" s="533"/>
      <c r="E46" s="533"/>
      <c r="F46" s="533"/>
      <c r="G46" s="533"/>
      <c r="H46" s="46"/>
    </row>
    <row r="47" spans="1:8" ht="17.25" customHeight="1">
      <c r="A47" s="533" t="s">
        <v>590</v>
      </c>
      <c r="B47" s="533"/>
      <c r="C47" s="533"/>
      <c r="D47" s="533"/>
      <c r="E47" s="533"/>
      <c r="F47" s="533"/>
      <c r="G47" s="533"/>
      <c r="H47" s="46"/>
    </row>
    <row r="48" spans="1:8" ht="17.25" customHeight="1">
      <c r="A48" s="533" t="s">
        <v>591</v>
      </c>
      <c r="B48" s="533"/>
      <c r="C48" s="533"/>
      <c r="D48" s="533"/>
      <c r="E48" s="533"/>
      <c r="F48" s="533"/>
      <c r="G48" s="533"/>
      <c r="H48" s="46"/>
    </row>
    <row r="49" spans="1:8" ht="17.25" customHeight="1">
      <c r="A49" s="533" t="s">
        <v>601</v>
      </c>
      <c r="B49" s="533"/>
      <c r="C49" s="533"/>
      <c r="D49" s="533"/>
      <c r="E49" s="533"/>
      <c r="F49" s="533"/>
      <c r="G49" s="533"/>
      <c r="H49" s="46"/>
    </row>
    <row r="50" spans="1:8" ht="17.25" customHeight="1">
      <c r="A50" s="533" t="s">
        <v>602</v>
      </c>
      <c r="B50" s="533"/>
      <c r="C50" s="533"/>
      <c r="D50" s="533"/>
      <c r="E50" s="533"/>
      <c r="F50" s="533"/>
      <c r="G50" s="533"/>
      <c r="H50" s="46"/>
    </row>
    <row r="51" spans="1:8" ht="17.25" customHeight="1">
      <c r="A51" s="533" t="s">
        <v>603</v>
      </c>
      <c r="B51" s="533"/>
      <c r="C51" s="533"/>
      <c r="D51" s="533"/>
      <c r="E51" s="533"/>
      <c r="F51" s="533"/>
      <c r="G51" s="533"/>
      <c r="H51" s="46"/>
    </row>
    <row r="52" spans="1:8" ht="17.25" customHeight="1">
      <c r="A52" s="533" t="s">
        <v>598</v>
      </c>
      <c r="B52" s="533"/>
      <c r="C52" s="533"/>
      <c r="D52" s="533"/>
      <c r="E52" s="533"/>
      <c r="F52" s="533"/>
      <c r="G52" s="533"/>
      <c r="H52" s="46"/>
    </row>
    <row r="53" spans="1:8" ht="17.25" customHeight="1">
      <c r="A53" s="533" t="s">
        <v>599</v>
      </c>
      <c r="B53" s="533"/>
      <c r="C53" s="533"/>
      <c r="D53" s="533"/>
      <c r="E53" s="533"/>
      <c r="F53" s="533"/>
      <c r="G53" s="533"/>
      <c r="H53" s="46"/>
    </row>
    <row r="54" spans="1:8" ht="18.600000000000001" customHeight="1">
      <c r="A54" s="533" t="s">
        <v>620</v>
      </c>
      <c r="B54" s="270"/>
      <c r="C54" s="270"/>
      <c r="D54" s="270"/>
      <c r="E54" s="270"/>
      <c r="F54" s="270"/>
    </row>
    <row r="55" spans="1:8">
      <c r="A55" s="299"/>
      <c r="B55" s="270"/>
      <c r="C55" s="270"/>
      <c r="D55" s="270"/>
      <c r="E55" s="270"/>
      <c r="F55" s="270"/>
    </row>
    <row r="56" spans="1:8">
      <c r="A56" s="299"/>
      <c r="B56" s="270"/>
      <c r="C56" s="270"/>
      <c r="D56" s="270"/>
      <c r="E56" s="270"/>
      <c r="F56" s="270"/>
    </row>
    <row r="57" spans="1:8">
      <c r="A57" s="299"/>
      <c r="B57" s="270"/>
      <c r="C57" s="270"/>
      <c r="D57" s="270"/>
      <c r="E57" s="270"/>
      <c r="F57" s="270"/>
    </row>
    <row r="58" spans="1:8">
      <c r="A58" s="299"/>
      <c r="B58" s="270"/>
      <c r="C58" s="270"/>
      <c r="D58" s="270"/>
      <c r="E58" s="270"/>
      <c r="F58" s="270"/>
    </row>
    <row r="59" spans="1:8">
      <c r="A59" s="299"/>
    </row>
    <row r="60" spans="1:8">
      <c r="A60" s="299"/>
    </row>
    <row r="61" spans="1:8">
      <c r="A61"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8"/>
  <sheetViews>
    <sheetView showGridLines="0" view="pageBreakPreview" zoomScale="115" zoomScaleNormal="100" zoomScaleSheetLayoutView="115" zoomScalePageLayoutView="115" workbookViewId="0">
      <selection activeCell="E40" sqref="E40"/>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07" t="s">
        <v>334</v>
      </c>
      <c r="B1" s="508"/>
      <c r="C1" s="508"/>
      <c r="D1" s="508"/>
      <c r="E1" s="508"/>
      <c r="F1" s="508"/>
    </row>
    <row r="2" spans="1:12" s="299" customFormat="1" ht="11.25" customHeight="1">
      <c r="A2" s="935" t="s">
        <v>243</v>
      </c>
      <c r="B2" s="938" t="s">
        <v>52</v>
      </c>
      <c r="C2" s="938" t="s">
        <v>335</v>
      </c>
      <c r="D2" s="938"/>
      <c r="E2" s="938"/>
      <c r="F2" s="941"/>
      <c r="G2" s="337"/>
      <c r="H2" s="337"/>
      <c r="I2" s="337"/>
      <c r="J2" s="337"/>
      <c r="K2" s="337"/>
    </row>
    <row r="3" spans="1:12" s="299" customFormat="1" ht="11.25" customHeight="1">
      <c r="A3" s="936"/>
      <c r="B3" s="939"/>
      <c r="C3" s="389" t="str">
        <f>UPPER('1. Resumen'!Q4)&amp;" "&amp;'1. Resumen'!Q5</f>
        <v>SETIEMBRE 2023</v>
      </c>
      <c r="D3" s="390" t="str">
        <f>UPPER('1. Resumen'!Q4)&amp;" "&amp;'1. Resumen'!Q5-1</f>
        <v>SETIEMBRE 2022</v>
      </c>
      <c r="E3" s="390">
        <v>2023</v>
      </c>
      <c r="F3" s="501" t="s">
        <v>541</v>
      </c>
      <c r="G3" s="338"/>
      <c r="H3" s="338"/>
      <c r="I3" s="338"/>
      <c r="J3" s="338"/>
      <c r="K3" s="338"/>
      <c r="L3" s="337"/>
    </row>
    <row r="4" spans="1:12" s="299" customFormat="1" ht="11.25" customHeight="1">
      <c r="A4" s="936"/>
      <c r="B4" s="939"/>
      <c r="C4" s="391">
        <f>+'8. Max Potencia'!D8</f>
        <v>45197.791666666664</v>
      </c>
      <c r="D4" s="391">
        <f>+'8. Max Potencia'!E8</f>
        <v>44831.791666666664</v>
      </c>
      <c r="E4" s="391">
        <f>+'8. Max Potencia'!G8</f>
        <v>45027.791666666664</v>
      </c>
      <c r="F4" s="502" t="s">
        <v>332</v>
      </c>
      <c r="G4" s="339"/>
      <c r="H4" s="339"/>
      <c r="I4" s="340"/>
      <c r="J4" s="340"/>
      <c r="K4" s="340"/>
      <c r="L4" s="337"/>
    </row>
    <row r="5" spans="1:12" s="299" customFormat="1" ht="11.25" customHeight="1">
      <c r="A5" s="937"/>
      <c r="B5" s="940"/>
      <c r="C5" s="392">
        <f>+'8. Max Potencia'!D9</f>
        <v>45197.791666666664</v>
      </c>
      <c r="D5" s="392">
        <f>+'8. Max Potencia'!E9</f>
        <v>44831.791666666664</v>
      </c>
      <c r="E5" s="392">
        <f>+'8. Max Potencia'!G9</f>
        <v>45027.791666666664</v>
      </c>
      <c r="F5" s="503" t="s">
        <v>333</v>
      </c>
      <c r="G5" s="339"/>
      <c r="H5" s="339"/>
      <c r="I5" s="339"/>
      <c r="J5" s="339"/>
      <c r="K5" s="339"/>
      <c r="L5" s="341"/>
    </row>
    <row r="6" spans="1:12" s="299" customFormat="1" ht="9" customHeight="1">
      <c r="A6" s="788" t="s">
        <v>117</v>
      </c>
      <c r="B6" s="789" t="s">
        <v>84</v>
      </c>
      <c r="C6" s="790">
        <v>11.13508</v>
      </c>
      <c r="D6" s="790">
        <v>20.072620000000001</v>
      </c>
      <c r="E6" s="790">
        <v>0</v>
      </c>
      <c r="F6" s="791">
        <f>+IF(D6=0,"",C6/D6-1)</f>
        <v>-0.44526025999595464</v>
      </c>
      <c r="G6" s="339"/>
      <c r="H6" s="541"/>
      <c r="I6" s="541"/>
      <c r="J6" s="339"/>
      <c r="K6" s="339"/>
      <c r="L6" s="342"/>
    </row>
    <row r="7" spans="1:12" s="299" customFormat="1" ht="9" customHeight="1">
      <c r="A7" s="521" t="s">
        <v>454</v>
      </c>
      <c r="B7" s="400"/>
      <c r="C7" s="401">
        <v>11.13508</v>
      </c>
      <c r="D7" s="401">
        <v>20.072620000000001</v>
      </c>
      <c r="E7" s="401">
        <v>0</v>
      </c>
      <c r="F7" s="776">
        <f t="shared" ref="F7:F66" si="0">+IF(D7=0,"",C7/D7-1)</f>
        <v>-0.44526025999595464</v>
      </c>
      <c r="G7" s="339"/>
      <c r="H7" s="541"/>
      <c r="I7" s="541"/>
      <c r="J7" s="339"/>
      <c r="K7" s="339"/>
      <c r="L7" s="343"/>
    </row>
    <row r="8" spans="1:12" s="299" customFormat="1" ht="9" customHeight="1">
      <c r="A8" s="525" t="s">
        <v>116</v>
      </c>
      <c r="B8" s="335" t="s">
        <v>61</v>
      </c>
      <c r="C8" s="336">
        <v>3.1089799999999999</v>
      </c>
      <c r="D8" s="336">
        <v>8.2047899999999991</v>
      </c>
      <c r="E8" s="336">
        <v>19.995640000000002</v>
      </c>
      <c r="F8" s="775">
        <f t="shared" si="0"/>
        <v>-0.62107744378588603</v>
      </c>
      <c r="G8" s="339"/>
      <c r="H8" s="541"/>
      <c r="I8" s="541"/>
      <c r="J8" s="339"/>
      <c r="K8" s="339"/>
      <c r="L8" s="344"/>
    </row>
    <row r="9" spans="1:12" s="299" customFormat="1" ht="9" customHeight="1">
      <c r="A9" s="521" t="s">
        <v>455</v>
      </c>
      <c r="B9" s="400"/>
      <c r="C9" s="401">
        <v>3.1089799999999999</v>
      </c>
      <c r="D9" s="401">
        <v>8.2047899999999991</v>
      </c>
      <c r="E9" s="401">
        <v>19.995640000000002</v>
      </c>
      <c r="F9" s="776">
        <f t="shared" si="0"/>
        <v>-0.62107744378588603</v>
      </c>
      <c r="G9" s="339"/>
      <c r="H9" s="541"/>
      <c r="I9" s="541"/>
      <c r="J9" s="339"/>
      <c r="K9" s="339"/>
      <c r="L9" s="343"/>
    </row>
    <row r="10" spans="1:12" s="299" customFormat="1" ht="9" customHeight="1">
      <c r="A10" s="520" t="s">
        <v>104</v>
      </c>
      <c r="B10" s="299" t="s">
        <v>81</v>
      </c>
      <c r="C10" s="493">
        <v>15.27605</v>
      </c>
      <c r="D10" s="493">
        <v>16.839759999999998</v>
      </c>
      <c r="E10" s="493">
        <v>16.584250000000001</v>
      </c>
      <c r="F10" s="777">
        <f t="shared" si="0"/>
        <v>-9.2858211755986964E-2</v>
      </c>
      <c r="G10" s="339"/>
      <c r="H10" s="541"/>
      <c r="I10" s="541"/>
      <c r="J10" s="339"/>
      <c r="K10" s="339"/>
      <c r="L10" s="343"/>
    </row>
    <row r="11" spans="1:12" s="299" customFormat="1" ht="9" customHeight="1">
      <c r="A11" s="521" t="s">
        <v>456</v>
      </c>
      <c r="B11" s="400"/>
      <c r="C11" s="401">
        <v>15.27605</v>
      </c>
      <c r="D11" s="401">
        <v>16.839759999999998</v>
      </c>
      <c r="E11" s="401">
        <v>16.584250000000001</v>
      </c>
      <c r="F11" s="776">
        <f t="shared" si="0"/>
        <v>-9.2858211755986964E-2</v>
      </c>
      <c r="G11" s="339"/>
      <c r="H11" s="541"/>
      <c r="I11" s="541"/>
      <c r="J11" s="339"/>
      <c r="K11" s="339"/>
      <c r="L11" s="343"/>
    </row>
    <row r="12" spans="1:12" s="299" customFormat="1" ht="9" customHeight="1">
      <c r="A12" s="520" t="s">
        <v>397</v>
      </c>
      <c r="B12" s="299" t="s">
        <v>399</v>
      </c>
      <c r="C12" s="493">
        <v>10.3626</v>
      </c>
      <c r="D12" s="493">
        <v>10.515359999999999</v>
      </c>
      <c r="E12" s="493">
        <v>16.36101</v>
      </c>
      <c r="F12" s="777">
        <f t="shared" si="0"/>
        <v>-1.4527320034692037E-2</v>
      </c>
      <c r="G12" s="339"/>
      <c r="H12" s="541"/>
      <c r="I12" s="541"/>
      <c r="J12" s="339"/>
      <c r="K12" s="339"/>
      <c r="L12" s="343"/>
    </row>
    <row r="13" spans="1:12" s="299" customFormat="1" ht="9" customHeight="1">
      <c r="A13" s="521" t="s">
        <v>457</v>
      </c>
      <c r="B13" s="400"/>
      <c r="C13" s="401">
        <v>10.3626</v>
      </c>
      <c r="D13" s="401">
        <v>10.515359999999999</v>
      </c>
      <c r="E13" s="401">
        <v>16.36101</v>
      </c>
      <c r="F13" s="776">
        <f t="shared" si="0"/>
        <v>-1.4527320034692037E-2</v>
      </c>
      <c r="G13" s="339"/>
      <c r="H13" s="541"/>
      <c r="I13" s="541"/>
      <c r="J13" s="339"/>
      <c r="K13" s="339"/>
      <c r="L13" s="343"/>
    </row>
    <row r="14" spans="1:12" s="299" customFormat="1" ht="9" customHeight="1">
      <c r="A14" s="520" t="s">
        <v>446</v>
      </c>
      <c r="B14" s="299" t="s">
        <v>73</v>
      </c>
      <c r="C14" s="493">
        <v>0</v>
      </c>
      <c r="D14" s="493">
        <v>0.47893000000000002</v>
      </c>
      <c r="E14" s="493">
        <v>0.69369999999999998</v>
      </c>
      <c r="F14" s="777">
        <f t="shared" si="0"/>
        <v>-1</v>
      </c>
      <c r="G14" s="339"/>
      <c r="H14" s="541"/>
      <c r="I14" s="541"/>
      <c r="J14" s="339"/>
      <c r="K14" s="339"/>
      <c r="L14" s="343"/>
    </row>
    <row r="15" spans="1:12" s="299" customFormat="1" ht="9" customHeight="1">
      <c r="A15" s="521" t="s">
        <v>458</v>
      </c>
      <c r="B15" s="400"/>
      <c r="C15" s="401">
        <v>0</v>
      </c>
      <c r="D15" s="401">
        <v>0.47893000000000002</v>
      </c>
      <c r="E15" s="401">
        <v>0.69369999999999998</v>
      </c>
      <c r="F15" s="776">
        <f t="shared" si="0"/>
        <v>-1</v>
      </c>
      <c r="G15" s="339"/>
      <c r="H15" s="541"/>
      <c r="I15" s="541"/>
      <c r="J15" s="339"/>
      <c r="K15" s="339"/>
      <c r="L15" s="343"/>
    </row>
    <row r="16" spans="1:12" s="299" customFormat="1" ht="9" customHeight="1">
      <c r="A16" s="520" t="s">
        <v>427</v>
      </c>
      <c r="B16" s="299" t="s">
        <v>433</v>
      </c>
      <c r="C16" s="493">
        <v>9</v>
      </c>
      <c r="D16" s="493">
        <v>8.4614399999999996</v>
      </c>
      <c r="E16" s="493">
        <v>0</v>
      </c>
      <c r="F16" s="777">
        <f t="shared" si="0"/>
        <v>6.3648740639891122E-2</v>
      </c>
      <c r="G16" s="339"/>
      <c r="H16" s="541"/>
      <c r="I16" s="541"/>
      <c r="J16" s="339"/>
      <c r="K16" s="339"/>
      <c r="L16" s="343"/>
    </row>
    <row r="17" spans="1:16" s="299" customFormat="1" ht="9" customHeight="1">
      <c r="A17" s="521" t="s">
        <v>459</v>
      </c>
      <c r="B17" s="400"/>
      <c r="C17" s="401">
        <v>9</v>
      </c>
      <c r="D17" s="401">
        <v>8.4614399999999996</v>
      </c>
      <c r="E17" s="401">
        <v>0</v>
      </c>
      <c r="F17" s="776">
        <f t="shared" si="0"/>
        <v>6.3648740639891122E-2</v>
      </c>
      <c r="G17" s="339"/>
      <c r="H17" s="541"/>
      <c r="I17" s="541"/>
      <c r="J17" s="339"/>
      <c r="K17" s="339"/>
      <c r="L17" s="344"/>
    </row>
    <row r="18" spans="1:16" s="299" customFormat="1" ht="9" customHeight="1">
      <c r="A18" s="520" t="s">
        <v>92</v>
      </c>
      <c r="B18" s="299" t="s">
        <v>269</v>
      </c>
      <c r="C18" s="493">
        <v>202.071</v>
      </c>
      <c r="D18" s="493">
        <v>155.4486</v>
      </c>
      <c r="E18" s="493">
        <v>220.55670000000001</v>
      </c>
      <c r="F18" s="777">
        <f t="shared" si="0"/>
        <v>0.29992164612611494</v>
      </c>
      <c r="G18" s="339"/>
      <c r="H18" s="541"/>
      <c r="I18" s="541"/>
      <c r="J18" s="339"/>
      <c r="K18" s="339"/>
      <c r="L18" s="344"/>
    </row>
    <row r="19" spans="1:16" s="299" customFormat="1" ht="9" customHeight="1">
      <c r="A19" s="521" t="s">
        <v>460</v>
      </c>
      <c r="B19" s="400"/>
      <c r="C19" s="401">
        <v>202.071</v>
      </c>
      <c r="D19" s="401">
        <v>155.4486</v>
      </c>
      <c r="E19" s="401">
        <v>220.55670000000001</v>
      </c>
      <c r="F19" s="776">
        <f t="shared" si="0"/>
        <v>0.29992164612611494</v>
      </c>
      <c r="G19" s="339"/>
      <c r="H19" s="541"/>
      <c r="I19" s="541"/>
      <c r="J19" s="339"/>
      <c r="K19" s="339"/>
      <c r="L19" s="344"/>
    </row>
    <row r="20" spans="1:16" s="299" customFormat="1" ht="9" customHeight="1">
      <c r="A20" s="520" t="s">
        <v>448</v>
      </c>
      <c r="B20" s="299" t="s">
        <v>306</v>
      </c>
      <c r="C20" s="493">
        <v>10.001799999999999</v>
      </c>
      <c r="D20" s="493">
        <v>19.339220000000001</v>
      </c>
      <c r="E20" s="493">
        <v>19.764520000000001</v>
      </c>
      <c r="F20" s="777">
        <f t="shared" si="0"/>
        <v>-0.48282298872446772</v>
      </c>
      <c r="G20" s="339"/>
      <c r="H20" s="541"/>
      <c r="I20" s="541"/>
      <c r="J20" s="339"/>
      <c r="K20" s="339"/>
      <c r="L20" s="339"/>
      <c r="M20" s="339"/>
      <c r="N20" s="339"/>
      <c r="O20" s="339"/>
      <c r="P20" s="339"/>
    </row>
    <row r="21" spans="1:16" s="299" customFormat="1" ht="9" customHeight="1">
      <c r="A21" s="521" t="s">
        <v>461</v>
      </c>
      <c r="B21" s="400"/>
      <c r="C21" s="401">
        <v>10.001799999999999</v>
      </c>
      <c r="D21" s="401">
        <v>19.339220000000001</v>
      </c>
      <c r="E21" s="401">
        <v>19.764520000000001</v>
      </c>
      <c r="F21" s="776">
        <f t="shared" si="0"/>
        <v>-0.48282298872446772</v>
      </c>
      <c r="G21" s="339"/>
      <c r="H21" s="541"/>
      <c r="I21" s="541"/>
      <c r="J21" s="339"/>
      <c r="K21" s="339"/>
      <c r="L21" s="339"/>
      <c r="M21" s="339"/>
      <c r="N21" s="339"/>
      <c r="O21" s="339"/>
      <c r="P21" s="339"/>
    </row>
    <row r="22" spans="1:16" s="299" customFormat="1" ht="9" customHeight="1">
      <c r="A22" s="520" t="s">
        <v>516</v>
      </c>
      <c r="B22" s="299" t="s">
        <v>522</v>
      </c>
      <c r="C22" s="493">
        <v>0.45891999999999999</v>
      </c>
      <c r="D22" s="493">
        <v>0.4879</v>
      </c>
      <c r="E22" s="493">
        <v>0.83906000000000003</v>
      </c>
      <c r="F22" s="777">
        <f t="shared" si="0"/>
        <v>-5.9397417503586847E-2</v>
      </c>
      <c r="G22" s="339"/>
      <c r="H22" s="541"/>
      <c r="I22" s="541"/>
      <c r="J22" s="339"/>
      <c r="K22" s="339"/>
      <c r="L22" s="343"/>
    </row>
    <row r="23" spans="1:16" s="299" customFormat="1" ht="9" customHeight="1">
      <c r="A23" s="520"/>
      <c r="B23" s="299" t="s">
        <v>523</v>
      </c>
      <c r="C23" s="493">
        <v>0.88375000000000004</v>
      </c>
      <c r="D23" s="493">
        <v>0.96611999999999998</v>
      </c>
      <c r="E23" s="493">
        <v>1.6083499999999999</v>
      </c>
      <c r="F23" s="777">
        <f t="shared" si="0"/>
        <v>-8.525856001324883E-2</v>
      </c>
      <c r="G23" s="339"/>
      <c r="H23" s="541"/>
      <c r="I23" s="541"/>
      <c r="J23" s="339"/>
      <c r="K23" s="339"/>
      <c r="L23" s="343"/>
    </row>
    <row r="24" spans="1:16" s="299" customFormat="1" ht="9" customHeight="1">
      <c r="A24" s="521" t="s">
        <v>518</v>
      </c>
      <c r="B24" s="400"/>
      <c r="C24" s="401">
        <v>1.34267</v>
      </c>
      <c r="D24" s="401">
        <v>1.4540199999999999</v>
      </c>
      <c r="E24" s="401">
        <v>2.4474100000000001</v>
      </c>
      <c r="F24" s="776">
        <f t="shared" si="0"/>
        <v>-7.6580789810318906E-2</v>
      </c>
      <c r="G24" s="339"/>
      <c r="H24" s="541"/>
      <c r="I24" s="541"/>
      <c r="J24" s="339"/>
      <c r="K24" s="339"/>
      <c r="L24" s="343"/>
    </row>
    <row r="25" spans="1:16" s="299" customFormat="1" ht="9" customHeight="1">
      <c r="A25" s="520" t="s">
        <v>229</v>
      </c>
      <c r="B25" s="299" t="s">
        <v>270</v>
      </c>
      <c r="C25" s="493">
        <v>0</v>
      </c>
      <c r="D25" s="493">
        <v>0</v>
      </c>
      <c r="E25" s="493">
        <v>0</v>
      </c>
      <c r="F25" s="777" t="str">
        <f t="shared" si="0"/>
        <v/>
      </c>
      <c r="G25" s="339"/>
      <c r="H25" s="541"/>
      <c r="I25" s="541"/>
      <c r="J25" s="339"/>
      <c r="K25" s="339"/>
      <c r="L25" s="343"/>
    </row>
    <row r="26" spans="1:16" s="299" customFormat="1" ht="9" customHeight="1">
      <c r="A26" s="521" t="s">
        <v>462</v>
      </c>
      <c r="B26" s="400"/>
      <c r="C26" s="401">
        <v>0</v>
      </c>
      <c r="D26" s="401">
        <v>0</v>
      </c>
      <c r="E26" s="401">
        <v>0</v>
      </c>
      <c r="F26" s="776" t="str">
        <f t="shared" si="0"/>
        <v/>
      </c>
      <c r="G26" s="339"/>
      <c r="H26" s="541"/>
      <c r="I26" s="541"/>
      <c r="J26" s="339"/>
      <c r="K26" s="339"/>
      <c r="L26" s="343"/>
    </row>
    <row r="27" spans="1:16" s="299" customFormat="1" ht="9" customHeight="1">
      <c r="A27" s="520" t="s">
        <v>91</v>
      </c>
      <c r="B27" s="299" t="s">
        <v>271</v>
      </c>
      <c r="C27" s="493">
        <v>72.084999999999994</v>
      </c>
      <c r="D27" s="493">
        <v>73.311999999999998</v>
      </c>
      <c r="E27" s="493">
        <v>129.45600000000002</v>
      </c>
      <c r="F27" s="777">
        <f t="shared" si="0"/>
        <v>-1.673668703622877E-2</v>
      </c>
      <c r="G27" s="339"/>
      <c r="H27" s="541"/>
      <c r="I27" s="541"/>
      <c r="J27" s="339"/>
      <c r="K27" s="339"/>
      <c r="L27" s="343"/>
    </row>
    <row r="28" spans="1:16" s="299" customFormat="1" ht="9" customHeight="1">
      <c r="A28" s="520"/>
      <c r="B28" s="299" t="s">
        <v>272</v>
      </c>
      <c r="C28" s="493">
        <v>6.6680000000000001</v>
      </c>
      <c r="D28" s="493">
        <v>13.004</v>
      </c>
      <c r="E28" s="493">
        <v>40.941000000000003</v>
      </c>
      <c r="F28" s="777">
        <f t="shared" si="0"/>
        <v>-0.48723469701630262</v>
      </c>
      <c r="G28" s="339"/>
      <c r="H28" s="541"/>
      <c r="I28" s="541"/>
      <c r="J28" s="339"/>
      <c r="K28" s="339"/>
      <c r="L28" s="343"/>
    </row>
    <row r="29" spans="1:16" s="299" customFormat="1" ht="9" customHeight="1">
      <c r="A29" s="521" t="s">
        <v>463</v>
      </c>
      <c r="B29" s="400"/>
      <c r="C29" s="401">
        <v>78.753</v>
      </c>
      <c r="D29" s="401">
        <v>86.316000000000003</v>
      </c>
      <c r="E29" s="401">
        <v>170.39700000000002</v>
      </c>
      <c r="F29" s="776">
        <f t="shared" si="0"/>
        <v>-8.7619908244126243E-2</v>
      </c>
      <c r="G29" s="339"/>
      <c r="H29" s="541"/>
      <c r="I29" s="541"/>
      <c r="J29" s="339"/>
      <c r="K29" s="339"/>
      <c r="L29" s="345"/>
    </row>
    <row r="30" spans="1:16" s="299" customFormat="1" ht="9" customHeight="1">
      <c r="A30" s="520" t="s">
        <v>517</v>
      </c>
      <c r="B30" s="299" t="s">
        <v>524</v>
      </c>
      <c r="C30" s="493">
        <v>0</v>
      </c>
      <c r="D30" s="493">
        <v>0</v>
      </c>
      <c r="E30" s="493">
        <v>0</v>
      </c>
      <c r="F30" s="777" t="str">
        <f t="shared" si="0"/>
        <v/>
      </c>
      <c r="G30" s="339"/>
      <c r="H30" s="541"/>
      <c r="I30" s="541"/>
      <c r="J30" s="339"/>
      <c r="K30" s="339"/>
      <c r="L30" s="343"/>
    </row>
    <row r="31" spans="1:16" s="299" customFormat="1" ht="9" customHeight="1">
      <c r="A31" s="521" t="s">
        <v>519</v>
      </c>
      <c r="B31" s="400"/>
      <c r="C31" s="401">
        <v>0</v>
      </c>
      <c r="D31" s="401">
        <v>0</v>
      </c>
      <c r="E31" s="401">
        <v>0</v>
      </c>
      <c r="F31" s="776" t="str">
        <f t="shared" si="0"/>
        <v/>
      </c>
      <c r="G31" s="339"/>
      <c r="H31" s="541"/>
      <c r="I31" s="541"/>
      <c r="J31" s="339"/>
      <c r="K31" s="339"/>
      <c r="L31" s="343"/>
    </row>
    <row r="32" spans="1:16" s="299" customFormat="1" ht="9" customHeight="1">
      <c r="A32" s="520" t="s">
        <v>89</v>
      </c>
      <c r="B32" s="299" t="s">
        <v>273</v>
      </c>
      <c r="C32" s="493">
        <v>1.5964499999999999</v>
      </c>
      <c r="D32" s="493">
        <v>1.6666300000000001</v>
      </c>
      <c r="E32" s="493">
        <v>1.3606100000000001</v>
      </c>
      <c r="F32" s="777">
        <f t="shared" si="0"/>
        <v>-4.2108926396380753E-2</v>
      </c>
      <c r="G32" s="339"/>
      <c r="H32" s="541"/>
      <c r="I32" s="541"/>
      <c r="J32" s="339"/>
      <c r="K32" s="339"/>
      <c r="L32" s="343"/>
    </row>
    <row r="33" spans="1:12" s="299" customFormat="1" ht="9" customHeight="1">
      <c r="A33" s="520"/>
      <c r="B33" s="299" t="s">
        <v>274</v>
      </c>
      <c r="C33" s="493">
        <v>0.55654999999999999</v>
      </c>
      <c r="D33" s="493">
        <v>0.37819000000000003</v>
      </c>
      <c r="E33" s="493">
        <v>0.53900000000000003</v>
      </c>
      <c r="F33" s="777">
        <f t="shared" si="0"/>
        <v>0.47161479679526153</v>
      </c>
      <c r="G33" s="339"/>
      <c r="H33" s="541"/>
      <c r="I33" s="541"/>
      <c r="J33" s="339"/>
      <c r="K33" s="339"/>
      <c r="L33" s="345"/>
    </row>
    <row r="34" spans="1:12" s="299" customFormat="1" ht="9" customHeight="1">
      <c r="A34" s="520"/>
      <c r="B34" s="299" t="s">
        <v>275</v>
      </c>
      <c r="C34" s="493">
        <v>4.6479400000000002</v>
      </c>
      <c r="D34" s="493">
        <v>4.6785800000000002</v>
      </c>
      <c r="E34" s="493">
        <v>3.8472299999999997</v>
      </c>
      <c r="F34" s="777">
        <f t="shared" si="0"/>
        <v>-6.5489956354278789E-3</v>
      </c>
      <c r="G34" s="339"/>
      <c r="H34" s="541"/>
      <c r="I34" s="541"/>
      <c r="J34" s="339"/>
      <c r="K34" s="339"/>
      <c r="L34" s="343"/>
    </row>
    <row r="35" spans="1:12" s="299" customFormat="1" ht="9" customHeight="1">
      <c r="A35" s="520"/>
      <c r="B35" s="299" t="s">
        <v>276</v>
      </c>
      <c r="C35" s="493">
        <v>13.41358</v>
      </c>
      <c r="D35" s="493">
        <v>14.288719999999998</v>
      </c>
      <c r="E35" s="493">
        <v>8.0567499999999992</v>
      </c>
      <c r="F35" s="777">
        <f t="shared" si="0"/>
        <v>-6.1246913649368073E-2</v>
      </c>
      <c r="G35" s="339"/>
      <c r="H35" s="541"/>
      <c r="I35" s="541"/>
      <c r="J35" s="339"/>
      <c r="K35" s="339"/>
      <c r="L35" s="343"/>
    </row>
    <row r="36" spans="1:12" s="299" customFormat="1" ht="9" customHeight="1">
      <c r="A36" s="520"/>
      <c r="B36" s="299" t="s">
        <v>277</v>
      </c>
      <c r="C36" s="493">
        <v>90.842320000000001</v>
      </c>
      <c r="D36" s="493">
        <v>122.06573999999999</v>
      </c>
      <c r="E36" s="493">
        <v>37.745890000000003</v>
      </c>
      <c r="F36" s="777">
        <f t="shared" si="0"/>
        <v>-0.255791838070207</v>
      </c>
      <c r="G36" s="339"/>
      <c r="H36" s="541"/>
      <c r="I36" s="541"/>
      <c r="J36" s="339"/>
      <c r="K36" s="339"/>
      <c r="L36" s="343"/>
    </row>
    <row r="37" spans="1:12" s="299" customFormat="1" ht="9" customHeight="1">
      <c r="A37" s="520"/>
      <c r="B37" s="299" t="s">
        <v>278</v>
      </c>
      <c r="C37" s="493">
        <v>8.1576500000000003</v>
      </c>
      <c r="D37" s="493">
        <v>8.7833199999999998</v>
      </c>
      <c r="E37" s="493">
        <v>4.9024999999999999</v>
      </c>
      <c r="F37" s="777">
        <f t="shared" si="0"/>
        <v>-7.123388422601018E-2</v>
      </c>
      <c r="G37" s="339"/>
      <c r="H37" s="541"/>
      <c r="I37" s="541"/>
      <c r="J37" s="339"/>
      <c r="K37" s="339"/>
      <c r="L37" s="343"/>
    </row>
    <row r="38" spans="1:12" s="299" customFormat="1" ht="9" customHeight="1">
      <c r="A38" s="520"/>
      <c r="B38" s="299" t="s">
        <v>279</v>
      </c>
      <c r="C38" s="493">
        <v>0</v>
      </c>
      <c r="D38" s="493">
        <v>0</v>
      </c>
      <c r="E38" s="493">
        <v>0</v>
      </c>
      <c r="F38" s="777" t="str">
        <f t="shared" si="0"/>
        <v/>
      </c>
      <c r="G38" s="339"/>
      <c r="H38" s="541"/>
      <c r="I38" s="541"/>
      <c r="J38" s="339"/>
      <c r="K38" s="339"/>
      <c r="L38" s="343"/>
    </row>
    <row r="39" spans="1:12" s="299" customFormat="1" ht="9" customHeight="1">
      <c r="A39" s="520"/>
      <c r="B39" s="299" t="s">
        <v>280</v>
      </c>
      <c r="C39" s="493">
        <v>0</v>
      </c>
      <c r="D39" s="493">
        <v>0</v>
      </c>
      <c r="E39" s="493">
        <v>0</v>
      </c>
      <c r="F39" s="777" t="str">
        <f t="shared" si="0"/>
        <v/>
      </c>
      <c r="G39" s="339"/>
      <c r="H39" s="541"/>
      <c r="I39" s="541"/>
      <c r="J39" s="339"/>
      <c r="K39" s="339"/>
      <c r="L39" s="343"/>
    </row>
    <row r="40" spans="1:12" s="299" customFormat="1" ht="9" customHeight="1">
      <c r="A40" s="521" t="s">
        <v>464</v>
      </c>
      <c r="B40" s="400"/>
      <c r="C40" s="401">
        <v>119.21449</v>
      </c>
      <c r="D40" s="401">
        <v>151.86117999999999</v>
      </c>
      <c r="E40" s="401">
        <v>56.451980000000006</v>
      </c>
      <c r="F40" s="776">
        <f t="shared" si="0"/>
        <v>-0.21497719166939167</v>
      </c>
      <c r="G40" s="339"/>
      <c r="H40" s="541"/>
      <c r="I40" s="541"/>
      <c r="J40" s="339"/>
      <c r="K40" s="339"/>
      <c r="L40" s="343"/>
    </row>
    <row r="41" spans="1:12" s="299" customFormat="1" ht="9" customHeight="1">
      <c r="A41" s="520" t="s">
        <v>110</v>
      </c>
      <c r="B41" s="299" t="s">
        <v>68</v>
      </c>
      <c r="C41" s="493">
        <v>3.0058100000000003</v>
      </c>
      <c r="D41" s="493">
        <v>2.5162499999999999</v>
      </c>
      <c r="E41" s="493">
        <v>5.0482500000000003</v>
      </c>
      <c r="F41" s="777">
        <f t="shared" si="0"/>
        <v>0.1945593641331349</v>
      </c>
      <c r="G41" s="339"/>
      <c r="H41" s="541"/>
      <c r="I41" s="541"/>
      <c r="J41" s="339"/>
      <c r="K41" s="339"/>
      <c r="L41" s="343"/>
    </row>
    <row r="42" spans="1:12" s="299" customFormat="1" ht="9" customHeight="1">
      <c r="A42" s="521" t="s">
        <v>465</v>
      </c>
      <c r="B42" s="400"/>
      <c r="C42" s="401">
        <v>3.0058100000000003</v>
      </c>
      <c r="D42" s="401">
        <v>2.5162499999999999</v>
      </c>
      <c r="E42" s="401">
        <v>5.0482500000000003</v>
      </c>
      <c r="F42" s="776">
        <f t="shared" si="0"/>
        <v>0.1945593641331349</v>
      </c>
      <c r="G42" s="339"/>
      <c r="H42" s="541"/>
      <c r="I42" s="541"/>
      <c r="J42" s="339"/>
      <c r="K42" s="339"/>
      <c r="L42" s="343"/>
    </row>
    <row r="43" spans="1:12" s="299" customFormat="1" ht="9" customHeight="1">
      <c r="A43" s="520" t="s">
        <v>90</v>
      </c>
      <c r="B43" s="299" t="s">
        <v>281</v>
      </c>
      <c r="C43" s="493">
        <v>91.475999999999999</v>
      </c>
      <c r="D43" s="493">
        <v>119.32000000000001</v>
      </c>
      <c r="E43" s="493">
        <v>167.20000000000002</v>
      </c>
      <c r="F43" s="777">
        <f t="shared" si="0"/>
        <v>-0.2333556821991285</v>
      </c>
      <c r="G43" s="339"/>
      <c r="H43" s="541"/>
      <c r="I43" s="541"/>
      <c r="J43" s="339"/>
      <c r="K43" s="339"/>
      <c r="L43" s="343"/>
    </row>
    <row r="44" spans="1:12" s="299" customFormat="1" ht="9" customHeight="1">
      <c r="A44" s="521" t="s">
        <v>466</v>
      </c>
      <c r="B44" s="400"/>
      <c r="C44" s="401">
        <v>91.475999999999999</v>
      </c>
      <c r="D44" s="401">
        <v>119.32000000000001</v>
      </c>
      <c r="E44" s="401">
        <v>167.20000000000002</v>
      </c>
      <c r="F44" s="776">
        <f t="shared" si="0"/>
        <v>-0.2333556821991285</v>
      </c>
      <c r="G44" s="339"/>
      <c r="H44" s="541"/>
      <c r="I44" s="541"/>
      <c r="J44" s="339"/>
      <c r="K44" s="339"/>
      <c r="L44" s="343"/>
    </row>
    <row r="45" spans="1:12" s="299" customFormat="1" ht="9" customHeight="1">
      <c r="A45" s="520" t="s">
        <v>99</v>
      </c>
      <c r="B45" s="299" t="s">
        <v>282</v>
      </c>
      <c r="C45" s="493">
        <v>5.38401</v>
      </c>
      <c r="D45" s="493">
        <v>16.471249999999998</v>
      </c>
      <c r="E45" s="493">
        <v>6.3794000000000004</v>
      </c>
      <c r="F45" s="777">
        <f t="shared" si="0"/>
        <v>-0.67312681186916601</v>
      </c>
      <c r="G45" s="339"/>
      <c r="H45" s="541"/>
      <c r="I45" s="541"/>
      <c r="J45" s="339"/>
      <c r="K45" s="339"/>
      <c r="L45" s="346"/>
    </row>
    <row r="46" spans="1:12" s="299" customFormat="1" ht="9" customHeight="1">
      <c r="A46" s="520"/>
      <c r="B46" s="299" t="s">
        <v>604</v>
      </c>
      <c r="C46" s="493">
        <v>0</v>
      </c>
      <c r="D46" s="493">
        <v>9.9823000000000004</v>
      </c>
      <c r="E46" s="493">
        <v>0</v>
      </c>
      <c r="F46" s="777">
        <f t="shared" si="0"/>
        <v>-1</v>
      </c>
      <c r="G46" s="339"/>
      <c r="H46" s="541"/>
      <c r="I46" s="541"/>
      <c r="J46" s="339"/>
      <c r="K46" s="339"/>
      <c r="L46" s="343"/>
    </row>
    <row r="47" spans="1:12" s="299" customFormat="1" ht="9" customHeight="1">
      <c r="A47" s="520"/>
      <c r="B47" s="299" t="s">
        <v>283</v>
      </c>
      <c r="C47" s="493">
        <v>16.891539999999999</v>
      </c>
      <c r="D47" s="493">
        <v>22.73781</v>
      </c>
      <c r="E47" s="493">
        <v>16.394200000000001</v>
      </c>
      <c r="F47" s="777">
        <f t="shared" si="0"/>
        <v>-0.25711667042692332</v>
      </c>
      <c r="G47" s="339"/>
      <c r="H47" s="541"/>
      <c r="I47" s="541"/>
      <c r="J47" s="339"/>
      <c r="K47" s="339"/>
      <c r="L47" s="343"/>
    </row>
    <row r="48" spans="1:12" s="299" customFormat="1" ht="9" customHeight="1">
      <c r="A48" s="521" t="s">
        <v>467</v>
      </c>
      <c r="B48" s="400"/>
      <c r="C48" s="401">
        <v>22.275549999999999</v>
      </c>
      <c r="D48" s="401">
        <v>49.191360000000003</v>
      </c>
      <c r="E48" s="401">
        <v>22.773600000000002</v>
      </c>
      <c r="F48" s="776">
        <f t="shared" si="0"/>
        <v>-0.54716539652491825</v>
      </c>
      <c r="G48" s="339"/>
      <c r="H48" s="541"/>
      <c r="I48" s="541"/>
      <c r="J48" s="339"/>
      <c r="K48" s="339"/>
      <c r="L48" s="343"/>
    </row>
    <row r="49" spans="1:12" s="299" customFormat="1" ht="9" customHeight="1">
      <c r="A49" s="520" t="s">
        <v>111</v>
      </c>
      <c r="B49" s="299" t="s">
        <v>71</v>
      </c>
      <c r="C49" s="493">
        <v>2.0380000000000003</v>
      </c>
      <c r="D49" s="493">
        <v>2.556</v>
      </c>
      <c r="E49" s="493">
        <v>3.6589999999999998</v>
      </c>
      <c r="F49" s="777">
        <f t="shared" si="0"/>
        <v>-0.20266040688575893</v>
      </c>
      <c r="G49" s="339"/>
      <c r="H49" s="541"/>
      <c r="I49" s="541"/>
      <c r="J49" s="339"/>
      <c r="K49" s="339"/>
      <c r="L49" s="343"/>
    </row>
    <row r="50" spans="1:12" s="299" customFormat="1" ht="9" customHeight="1">
      <c r="A50" s="521" t="s">
        <v>468</v>
      </c>
      <c r="B50" s="400"/>
      <c r="C50" s="401">
        <v>2.0380000000000003</v>
      </c>
      <c r="D50" s="401">
        <v>2.556</v>
      </c>
      <c r="E50" s="401">
        <v>3.6589999999999998</v>
      </c>
      <c r="F50" s="776">
        <f t="shared" si="0"/>
        <v>-0.20266040688575893</v>
      </c>
      <c r="G50" s="339"/>
      <c r="H50" s="541"/>
      <c r="I50" s="541"/>
      <c r="J50" s="339"/>
      <c r="K50" s="339"/>
      <c r="L50" s="343"/>
    </row>
    <row r="51" spans="1:12" s="299" customFormat="1" ht="9" customHeight="1">
      <c r="A51" s="520" t="s">
        <v>87</v>
      </c>
      <c r="B51" s="299" t="s">
        <v>284</v>
      </c>
      <c r="C51" s="493">
        <v>595.66319999999996</v>
      </c>
      <c r="D51" s="493">
        <v>652.2432</v>
      </c>
      <c r="E51" s="493">
        <v>650.31119999999999</v>
      </c>
      <c r="F51" s="777">
        <f t="shared" si="0"/>
        <v>-8.6746784021665579E-2</v>
      </c>
      <c r="G51" s="339"/>
      <c r="H51" s="541"/>
      <c r="I51" s="541"/>
      <c r="J51" s="339"/>
      <c r="K51" s="339"/>
      <c r="L51" s="343"/>
    </row>
    <row r="52" spans="1:12" s="299" customFormat="1" ht="9" customHeight="1">
      <c r="A52" s="520"/>
      <c r="B52" s="299" t="s">
        <v>285</v>
      </c>
      <c r="C52" s="493">
        <v>199.55903999999998</v>
      </c>
      <c r="D52" s="493">
        <v>148.51008000000002</v>
      </c>
      <c r="E52" s="493">
        <v>215.32416000000001</v>
      </c>
      <c r="F52" s="777">
        <f t="shared" si="0"/>
        <v>0.3437407077014567</v>
      </c>
      <c r="G52" s="339"/>
      <c r="H52" s="541"/>
      <c r="I52" s="541"/>
      <c r="J52" s="339"/>
      <c r="K52" s="339"/>
    </row>
    <row r="53" spans="1:12" s="299" customFormat="1" ht="9" customHeight="1">
      <c r="A53" s="521" t="s">
        <v>469</v>
      </c>
      <c r="B53" s="400"/>
      <c r="C53" s="401">
        <v>795.22223999999994</v>
      </c>
      <c r="D53" s="401">
        <v>800.75328000000002</v>
      </c>
      <c r="E53" s="401">
        <v>865.63535999999999</v>
      </c>
      <c r="F53" s="776">
        <f t="shared" si="0"/>
        <v>-6.9072960900017355E-3</v>
      </c>
      <c r="G53" s="339"/>
      <c r="H53" s="541"/>
      <c r="I53" s="541"/>
      <c r="J53" s="339"/>
      <c r="K53" s="339"/>
    </row>
    <row r="54" spans="1:12" s="299" customFormat="1" ht="9" customHeight="1">
      <c r="A54" s="520" t="s">
        <v>230</v>
      </c>
      <c r="B54" s="299" t="s">
        <v>286</v>
      </c>
      <c r="C54" s="493">
        <v>0</v>
      </c>
      <c r="D54" s="493">
        <v>230.13876999999999</v>
      </c>
      <c r="E54" s="493">
        <v>460.68389000000002</v>
      </c>
      <c r="F54" s="777">
        <f t="shared" si="0"/>
        <v>-1</v>
      </c>
      <c r="G54" s="339"/>
      <c r="H54" s="541"/>
      <c r="I54" s="541"/>
      <c r="J54" s="339"/>
      <c r="K54" s="339"/>
    </row>
    <row r="55" spans="1:12" s="299" customFormat="1" ht="9" customHeight="1">
      <c r="A55" s="520"/>
      <c r="B55" s="299" t="s">
        <v>287</v>
      </c>
      <c r="C55" s="493">
        <v>6.3911499999999997</v>
      </c>
      <c r="D55" s="493">
        <v>6.4516900000000001</v>
      </c>
      <c r="E55" s="493">
        <v>6.4293199999999997</v>
      </c>
      <c r="F55" s="777">
        <f t="shared" si="0"/>
        <v>-9.3835878661250316E-3</v>
      </c>
      <c r="G55" s="339"/>
      <c r="H55" s="541"/>
      <c r="I55" s="541"/>
      <c r="J55" s="339"/>
      <c r="K55" s="339"/>
    </row>
    <row r="56" spans="1:12" s="299" customFormat="1" ht="9" customHeight="1">
      <c r="A56" s="521" t="s">
        <v>470</v>
      </c>
      <c r="B56" s="400"/>
      <c r="C56" s="401">
        <v>6.3911499999999997</v>
      </c>
      <c r="D56" s="401">
        <v>236.59046000000001</v>
      </c>
      <c r="E56" s="401">
        <v>467.11321000000004</v>
      </c>
      <c r="F56" s="776">
        <f t="shared" si="0"/>
        <v>-0.9729864424795488</v>
      </c>
      <c r="G56" s="339"/>
      <c r="H56" s="541"/>
      <c r="I56" s="541"/>
      <c r="J56" s="339"/>
      <c r="K56" s="339"/>
    </row>
    <row r="57" spans="1:12" s="299" customFormat="1" ht="9" customHeight="1">
      <c r="A57" s="520" t="s">
        <v>231</v>
      </c>
      <c r="B57" s="299" t="s">
        <v>288</v>
      </c>
      <c r="C57" s="493">
        <v>39.820909999999998</v>
      </c>
      <c r="D57" s="493">
        <v>48.743989999999997</v>
      </c>
      <c r="E57" s="493">
        <v>48.44408</v>
      </c>
      <c r="F57" s="777">
        <f t="shared" si="0"/>
        <v>-0.18306010648697413</v>
      </c>
      <c r="G57" s="339"/>
      <c r="H57" s="541"/>
      <c r="I57" s="541"/>
      <c r="J57" s="339"/>
      <c r="K57" s="339"/>
    </row>
    <row r="58" spans="1:12" s="299" customFormat="1" ht="9" customHeight="1">
      <c r="A58" s="521" t="s">
        <v>471</v>
      </c>
      <c r="B58" s="400"/>
      <c r="C58" s="401">
        <v>39.820909999999998</v>
      </c>
      <c r="D58" s="401">
        <v>48.743989999999997</v>
      </c>
      <c r="E58" s="401">
        <v>48.44408</v>
      </c>
      <c r="F58" s="776">
        <f t="shared" si="0"/>
        <v>-0.18306010648697413</v>
      </c>
      <c r="G58" s="339"/>
      <c r="H58" s="541"/>
      <c r="I58" s="541"/>
      <c r="J58" s="339"/>
      <c r="K58" s="339"/>
    </row>
    <row r="59" spans="1:12" s="299" customFormat="1" ht="9" customHeight="1">
      <c r="A59" s="520" t="s">
        <v>447</v>
      </c>
      <c r="B59" s="299" t="s">
        <v>63</v>
      </c>
      <c r="C59" s="493">
        <v>1.0609500000000001</v>
      </c>
      <c r="D59" s="493">
        <v>3.09266</v>
      </c>
      <c r="E59" s="493">
        <v>9.7549899999999994</v>
      </c>
      <c r="F59" s="777">
        <f t="shared" si="0"/>
        <v>-0.65694580070230801</v>
      </c>
      <c r="G59" s="339"/>
      <c r="H59" s="541"/>
      <c r="I59" s="541"/>
      <c r="J59" s="339"/>
      <c r="K59" s="339"/>
    </row>
    <row r="60" spans="1:12" s="299" customFormat="1" ht="9" customHeight="1">
      <c r="A60" s="520"/>
      <c r="B60" s="299" t="s">
        <v>62</v>
      </c>
      <c r="C60" s="493">
        <v>1.33484</v>
      </c>
      <c r="D60" s="493">
        <v>3.3376999999999999</v>
      </c>
      <c r="E60" s="493">
        <v>9.8874899999999997</v>
      </c>
      <c r="F60" s="777">
        <f t="shared" si="0"/>
        <v>-0.60007190580339753</v>
      </c>
      <c r="G60" s="339"/>
      <c r="H60" s="541"/>
      <c r="I60" s="541"/>
      <c r="J60" s="339"/>
      <c r="K60" s="339"/>
    </row>
    <row r="61" spans="1:12" s="299" customFormat="1" ht="9" customHeight="1">
      <c r="A61" s="520"/>
      <c r="B61" s="299" t="s">
        <v>58</v>
      </c>
      <c r="C61" s="493">
        <v>3.1841400000000002</v>
      </c>
      <c r="D61" s="493">
        <v>4.4268799999999997</v>
      </c>
      <c r="E61" s="493">
        <v>18.70805</v>
      </c>
      <c r="F61" s="777">
        <f t="shared" si="0"/>
        <v>-0.28072592887089765</v>
      </c>
      <c r="G61" s="339"/>
      <c r="H61" s="541"/>
      <c r="I61" s="541"/>
      <c r="J61" s="339"/>
      <c r="K61" s="339"/>
    </row>
    <row r="62" spans="1:12" s="299" customFormat="1" ht="9" customHeight="1">
      <c r="A62" s="520"/>
      <c r="B62" s="299" t="s">
        <v>55</v>
      </c>
      <c r="C62" s="493">
        <v>3.4058799999999998</v>
      </c>
      <c r="D62" s="493">
        <v>6.7836699999999999</v>
      </c>
      <c r="E62" s="493">
        <v>20.09215</v>
      </c>
      <c r="F62" s="777">
        <f t="shared" si="0"/>
        <v>-0.49792958678709309</v>
      </c>
      <c r="G62" s="339"/>
      <c r="H62" s="542"/>
      <c r="I62" s="541"/>
      <c r="J62" s="339"/>
      <c r="K62" s="339"/>
    </row>
    <row r="63" spans="1:12" s="299" customFormat="1" ht="9" customHeight="1">
      <c r="A63" s="520"/>
      <c r="B63" s="299" t="s">
        <v>66</v>
      </c>
      <c r="C63" s="493">
        <v>1.73838</v>
      </c>
      <c r="D63" s="493">
        <v>1.7145999999999999</v>
      </c>
      <c r="E63" s="493">
        <v>5.4373699999999996</v>
      </c>
      <c r="F63" s="777">
        <f t="shared" si="0"/>
        <v>1.3869123993934585E-2</v>
      </c>
      <c r="G63" s="339"/>
      <c r="H63" s="542"/>
      <c r="I63" s="541"/>
      <c r="J63" s="339"/>
      <c r="K63" s="339"/>
    </row>
    <row r="64" spans="1:12" s="299" customFormat="1" ht="9" customHeight="1">
      <c r="A64" s="520"/>
      <c r="B64" s="299" t="s">
        <v>65</v>
      </c>
      <c r="C64" s="493">
        <v>1.8288199999999999</v>
      </c>
      <c r="D64" s="493">
        <v>2.4604300000000001</v>
      </c>
      <c r="E64" s="493">
        <v>6.40177</v>
      </c>
      <c r="F64" s="777">
        <f t="shared" si="0"/>
        <v>-0.25670716094341239</v>
      </c>
      <c r="G64" s="347"/>
      <c r="H64" s="542"/>
      <c r="I64" s="541"/>
      <c r="J64" s="339"/>
      <c r="K64" s="339"/>
    </row>
    <row r="65" spans="1:11" s="299" customFormat="1" ht="9" customHeight="1">
      <c r="A65" s="521" t="s">
        <v>472</v>
      </c>
      <c r="B65" s="400"/>
      <c r="C65" s="401">
        <v>12.55301</v>
      </c>
      <c r="D65" s="401">
        <v>21.815940000000001</v>
      </c>
      <c r="E65" s="401">
        <v>70.281819999999996</v>
      </c>
      <c r="F65" s="776">
        <f t="shared" si="0"/>
        <v>-0.42459458542698592</v>
      </c>
      <c r="G65" s="347"/>
      <c r="H65" s="542"/>
      <c r="I65" s="541"/>
      <c r="J65" s="339"/>
      <c r="K65" s="339"/>
    </row>
    <row r="66" spans="1:11" s="299" customFormat="1" ht="9" customHeight="1">
      <c r="A66" s="520" t="s">
        <v>623</v>
      </c>
      <c r="B66" s="299" t="s">
        <v>434</v>
      </c>
      <c r="C66" s="493">
        <v>67.546999999999997</v>
      </c>
      <c r="D66" s="493">
        <v>66.040000000000006</v>
      </c>
      <c r="E66" s="493">
        <v>49.161000000000001</v>
      </c>
      <c r="F66" s="777">
        <f t="shared" si="0"/>
        <v>2.2819503331314106E-2</v>
      </c>
      <c r="G66" s="347"/>
      <c r="H66" s="542"/>
      <c r="I66" s="541"/>
      <c r="J66" s="339"/>
      <c r="K66" s="339"/>
    </row>
    <row r="67" spans="1:11" s="299" customFormat="1" ht="9" customHeight="1">
      <c r="A67" s="520"/>
      <c r="B67" s="299" t="s">
        <v>289</v>
      </c>
      <c r="C67" s="493">
        <v>27.777999999999999</v>
      </c>
      <c r="D67" s="493">
        <v>29.79</v>
      </c>
      <c r="E67" s="493">
        <v>30.404</v>
      </c>
      <c r="F67" s="777">
        <f t="shared" ref="F67:F82" si="1">+IF(D67=0,"",C67/D67-1)</f>
        <v>-6.7539442766028857E-2</v>
      </c>
      <c r="G67" s="347"/>
      <c r="H67" s="541"/>
      <c r="I67" s="541"/>
      <c r="J67" s="339"/>
      <c r="K67" s="339"/>
    </row>
    <row r="68" spans="1:11" s="299" customFormat="1" ht="9" customHeight="1">
      <c r="A68" s="520"/>
      <c r="B68" s="299" t="s">
        <v>290</v>
      </c>
      <c r="C68" s="493">
        <v>126.566</v>
      </c>
      <c r="D68" s="493">
        <v>133.23599999999999</v>
      </c>
      <c r="E68" s="493">
        <v>68.777000000000001</v>
      </c>
      <c r="F68" s="777">
        <f t="shared" si="1"/>
        <v>-5.0061544927797241E-2</v>
      </c>
      <c r="G68" s="347"/>
      <c r="H68" s="541"/>
      <c r="I68" s="541"/>
      <c r="J68" s="339"/>
      <c r="K68" s="339"/>
    </row>
    <row r="69" spans="1:11" s="299" customFormat="1" ht="9" customHeight="1">
      <c r="A69" s="520"/>
      <c r="B69" s="299" t="s">
        <v>291</v>
      </c>
      <c r="C69" s="493">
        <v>81.459000000000003</v>
      </c>
      <c r="D69" s="493">
        <v>91.7</v>
      </c>
      <c r="E69" s="493">
        <v>133.589</v>
      </c>
      <c r="F69" s="777">
        <f t="shared" si="1"/>
        <v>-0.11167938931297705</v>
      </c>
      <c r="G69" s="339"/>
      <c r="H69" s="541"/>
      <c r="I69" s="541"/>
      <c r="J69" s="339"/>
      <c r="K69" s="339"/>
    </row>
    <row r="70" spans="1:11" s="299" customFormat="1" ht="9" customHeight="1">
      <c r="A70" s="520"/>
      <c r="B70" s="299" t="s">
        <v>292</v>
      </c>
      <c r="C70" s="493">
        <v>46.275000000000006</v>
      </c>
      <c r="D70" s="493">
        <v>45.981000000000002</v>
      </c>
      <c r="E70" s="493">
        <v>64.763000000000005</v>
      </c>
      <c r="F70" s="777">
        <f t="shared" si="1"/>
        <v>6.3939453252430667E-3</v>
      </c>
      <c r="G70" s="339"/>
      <c r="H70" s="541"/>
      <c r="I70" s="541"/>
      <c r="J70" s="339"/>
      <c r="K70" s="339"/>
    </row>
    <row r="71" spans="1:11" s="299" customFormat="1" ht="9" customHeight="1">
      <c r="A71" s="520"/>
      <c r="B71" s="299" t="s">
        <v>293</v>
      </c>
      <c r="C71" s="493">
        <v>116.154</v>
      </c>
      <c r="D71" s="493">
        <v>49.737000000000002</v>
      </c>
      <c r="E71" s="493">
        <v>103.358</v>
      </c>
      <c r="F71" s="777">
        <f t="shared" si="1"/>
        <v>1.3353640147174133</v>
      </c>
      <c r="G71" s="339"/>
      <c r="H71" s="541"/>
      <c r="I71" s="541"/>
      <c r="J71" s="339"/>
      <c r="K71" s="339"/>
    </row>
    <row r="72" spans="1:11" s="299" customFormat="1" ht="9" customHeight="1">
      <c r="A72" s="520"/>
      <c r="B72" s="299" t="s">
        <v>294</v>
      </c>
      <c r="C72" s="493">
        <v>189.804</v>
      </c>
      <c r="D72" s="493">
        <v>0</v>
      </c>
      <c r="E72" s="493">
        <v>176.47900000000001</v>
      </c>
      <c r="F72" s="777" t="str">
        <f t="shared" si="1"/>
        <v/>
      </c>
      <c r="G72" s="348"/>
      <c r="H72" s="541"/>
      <c r="I72" s="541"/>
      <c r="J72" s="339"/>
      <c r="K72" s="339"/>
    </row>
    <row r="73" spans="1:11" s="299" customFormat="1" ht="9" customHeight="1">
      <c r="A73" s="520"/>
      <c r="B73" s="299" t="s">
        <v>295</v>
      </c>
      <c r="C73" s="493">
        <v>460.28399999999999</v>
      </c>
      <c r="D73" s="493">
        <v>467.10099999999994</v>
      </c>
      <c r="E73" s="493">
        <v>214.99899999999997</v>
      </c>
      <c r="F73" s="777">
        <f t="shared" si="1"/>
        <v>-1.4594274043515099E-2</v>
      </c>
      <c r="G73" s="348"/>
      <c r="H73" s="270"/>
      <c r="I73" s="541"/>
      <c r="J73" s="339"/>
      <c r="K73" s="339"/>
    </row>
    <row r="74" spans="1:11" s="299" customFormat="1" ht="9" customHeight="1">
      <c r="A74" s="520"/>
      <c r="B74" s="299" t="s">
        <v>395</v>
      </c>
      <c r="C74" s="493">
        <v>0.32100000000000001</v>
      </c>
      <c r="D74" s="493">
        <v>0.32300000000000001</v>
      </c>
      <c r="E74" s="493">
        <v>0.64400000000000002</v>
      </c>
      <c r="F74" s="777">
        <f t="shared" si="1"/>
        <v>-6.1919504643962453E-3</v>
      </c>
      <c r="G74" s="348"/>
      <c r="H74" s="270"/>
      <c r="I74" s="541"/>
      <c r="J74" s="339"/>
      <c r="K74" s="339"/>
    </row>
    <row r="75" spans="1:11" s="299" customFormat="1" ht="9" customHeight="1">
      <c r="A75" s="520"/>
      <c r="B75" s="299" t="s">
        <v>402</v>
      </c>
      <c r="C75" s="493">
        <v>0</v>
      </c>
      <c r="D75" s="493"/>
      <c r="E75" s="493"/>
      <c r="F75" s="777"/>
      <c r="G75" s="348"/>
      <c r="H75" s="270"/>
      <c r="I75" s="541"/>
      <c r="J75" s="339"/>
      <c r="K75" s="339"/>
    </row>
    <row r="76" spans="1:11" s="299" customFormat="1" ht="9" customHeight="1">
      <c r="A76" s="520"/>
      <c r="B76" s="299" t="s">
        <v>401</v>
      </c>
      <c r="C76" s="493">
        <v>122.65600000000001</v>
      </c>
      <c r="D76" s="493"/>
      <c r="E76" s="493"/>
      <c r="F76" s="777"/>
      <c r="G76" s="348"/>
      <c r="H76" s="270"/>
      <c r="I76" s="541"/>
      <c r="J76" s="339"/>
      <c r="K76" s="339"/>
    </row>
    <row r="77" spans="1:11" s="299" customFormat="1" ht="9" customHeight="1">
      <c r="A77" s="520"/>
      <c r="B77" s="299" t="s">
        <v>610</v>
      </c>
      <c r="C77" s="493">
        <v>0</v>
      </c>
      <c r="D77" s="493"/>
      <c r="E77" s="493"/>
      <c r="F77" s="777"/>
      <c r="G77" s="348"/>
      <c r="H77" s="270"/>
      <c r="I77" s="541"/>
      <c r="J77" s="339"/>
      <c r="K77" s="339"/>
    </row>
    <row r="78" spans="1:11" s="299" customFormat="1" ht="9" customHeight="1">
      <c r="A78" s="521" t="s">
        <v>473</v>
      </c>
      <c r="B78" s="400"/>
      <c r="C78" s="401">
        <v>1238.8439999999998</v>
      </c>
      <c r="D78" s="401">
        <v>883.90800000000002</v>
      </c>
      <c r="E78" s="401">
        <v>842.17399999999998</v>
      </c>
      <c r="F78" s="776">
        <f t="shared" si="1"/>
        <v>0.40155310281160461</v>
      </c>
      <c r="H78" s="270"/>
      <c r="I78" s="541"/>
      <c r="J78" s="339"/>
      <c r="K78" s="339"/>
    </row>
    <row r="79" spans="1:11" s="299" customFormat="1" ht="9" customHeight="1">
      <c r="A79" s="520" t="s">
        <v>94</v>
      </c>
      <c r="B79" s="299" t="s">
        <v>296</v>
      </c>
      <c r="C79" s="493">
        <v>0</v>
      </c>
      <c r="D79" s="493">
        <v>0</v>
      </c>
      <c r="E79" s="493">
        <v>0</v>
      </c>
      <c r="F79" s="777" t="str">
        <f t="shared" si="1"/>
        <v/>
      </c>
    </row>
    <row r="80" spans="1:11" s="299" customFormat="1" ht="9" customHeight="1">
      <c r="A80" s="520"/>
      <c r="B80" s="299" t="s">
        <v>297</v>
      </c>
      <c r="C80" s="493">
        <v>89.515000000000001</v>
      </c>
      <c r="D80" s="493">
        <v>92.340999999999994</v>
      </c>
      <c r="E80" s="493">
        <v>85.912000000000006</v>
      </c>
      <c r="F80" s="777">
        <f t="shared" si="1"/>
        <v>-3.0603957072156351E-2</v>
      </c>
    </row>
    <row r="81" spans="1:6" s="299" customFormat="1" ht="9" customHeight="1">
      <c r="A81" s="520"/>
      <c r="B81" s="299" t="s">
        <v>298</v>
      </c>
      <c r="C81" s="493">
        <v>0</v>
      </c>
      <c r="D81" s="493">
        <v>0</v>
      </c>
      <c r="E81" s="493">
        <v>0</v>
      </c>
      <c r="F81" s="777"/>
    </row>
    <row r="82" spans="1:6" s="299" customFormat="1" ht="9" customHeight="1">
      <c r="A82" s="792" t="s">
        <v>474</v>
      </c>
      <c r="B82" s="793"/>
      <c r="C82" s="794">
        <v>89.515000000000001</v>
      </c>
      <c r="D82" s="794">
        <v>92.340999999999994</v>
      </c>
      <c r="E82" s="794">
        <v>85.912000000000006</v>
      </c>
      <c r="F82" s="795">
        <f t="shared" si="1"/>
        <v>-3.0603957072156351E-2</v>
      </c>
    </row>
    <row r="83" spans="1:6" s="299" customFormat="1" ht="9" customHeight="1"/>
    <row r="84" spans="1:6" s="299" customFormat="1" ht="9" customHeight="1"/>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8.25"/>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row r="188" s="299" customFormat="1" ht="8.25"/>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zoomScale="115" zoomScaleNormal="100" zoomScaleSheetLayoutView="115" workbookViewId="0">
      <selection activeCell="E40" sqref="E40"/>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42" t="s">
        <v>243</v>
      </c>
      <c r="B1" s="943" t="s">
        <v>52</v>
      </c>
      <c r="C1" s="943" t="s">
        <v>335</v>
      </c>
      <c r="D1" s="943"/>
      <c r="E1" s="943"/>
      <c r="F1" s="944"/>
      <c r="G1" s="337"/>
    </row>
    <row r="2" spans="1:11" s="299" customFormat="1" ht="11.25" customHeight="1">
      <c r="A2" s="936"/>
      <c r="B2" s="939"/>
      <c r="C2" s="389" t="str">
        <f>UPPER('1. Resumen'!Q4)&amp;" "&amp;'1. Resumen'!Q5</f>
        <v>SETIEMBRE 2023</v>
      </c>
      <c r="D2" s="390" t="str">
        <f>UPPER('1. Resumen'!Q4)&amp;" "&amp;'1. Resumen'!Q5-1</f>
        <v>SETIEMBRE 2022</v>
      </c>
      <c r="E2" s="390">
        <v>2023</v>
      </c>
      <c r="F2" s="501" t="s">
        <v>541</v>
      </c>
      <c r="G2" s="338"/>
      <c r="H2" s="337"/>
    </row>
    <row r="3" spans="1:11" s="299" customFormat="1" ht="11.25" customHeight="1">
      <c r="A3" s="936"/>
      <c r="B3" s="939"/>
      <c r="C3" s="391">
        <f>'21. ANEXOII-1'!C4</f>
        <v>45197.791666666664</v>
      </c>
      <c r="D3" s="391">
        <f>'21. ANEXOII-1'!D4</f>
        <v>44831.791666666664</v>
      </c>
      <c r="E3" s="391">
        <f>'21. ANEXOII-1'!E4</f>
        <v>45027.791666666664</v>
      </c>
      <c r="F3" s="502" t="s">
        <v>332</v>
      </c>
      <c r="G3" s="339"/>
      <c r="H3" s="337"/>
    </row>
    <row r="4" spans="1:11" s="299" customFormat="1" ht="9" customHeight="1">
      <c r="A4" s="937"/>
      <c r="B4" s="940"/>
      <c r="C4" s="392">
        <f>+'8. Max Potencia'!D9</f>
        <v>45197.791666666664</v>
      </c>
      <c r="D4" s="392">
        <f>+'8. Max Potencia'!E9</f>
        <v>44831.791666666664</v>
      </c>
      <c r="E4" s="392">
        <f>+'21. ANEXOII-1'!E5</f>
        <v>45027.791666666664</v>
      </c>
      <c r="F4" s="503" t="s">
        <v>333</v>
      </c>
      <c r="G4" s="339"/>
      <c r="H4" s="341"/>
    </row>
    <row r="5" spans="1:11" s="299" customFormat="1" ht="9.6" customHeight="1">
      <c r="A5" s="778" t="s">
        <v>622</v>
      </c>
      <c r="B5" s="779" t="s">
        <v>402</v>
      </c>
      <c r="C5" s="780"/>
      <c r="D5" s="780">
        <v>0</v>
      </c>
      <c r="E5" s="780">
        <v>0</v>
      </c>
      <c r="F5" s="781" t="str">
        <f t="shared" ref="F5:F70" si="0">+IF(D5=0,"",C5/D5-1)</f>
        <v/>
      </c>
      <c r="J5" s="411"/>
      <c r="K5" s="411"/>
    </row>
    <row r="6" spans="1:11" s="299" customFormat="1" ht="9.6" customHeight="1">
      <c r="A6" s="666"/>
      <c r="B6" s="533" t="s">
        <v>401</v>
      </c>
      <c r="C6" s="656"/>
      <c r="D6" s="656">
        <v>127.214</v>
      </c>
      <c r="E6" s="656">
        <v>88.403999999999996</v>
      </c>
      <c r="F6" s="782">
        <f t="shared" si="0"/>
        <v>-1</v>
      </c>
      <c r="J6" s="411"/>
      <c r="K6" s="411"/>
    </row>
    <row r="7" spans="1:11" s="299" customFormat="1" ht="9.6" customHeight="1">
      <c r="A7" s="666"/>
      <c r="B7" s="533" t="s">
        <v>593</v>
      </c>
      <c r="C7" s="656"/>
      <c r="D7" s="656"/>
      <c r="E7" s="656">
        <v>0</v>
      </c>
      <c r="F7" s="782"/>
      <c r="J7" s="411"/>
      <c r="K7" s="411"/>
    </row>
    <row r="8" spans="1:11" s="299" customFormat="1" ht="9.6" customHeight="1">
      <c r="A8" s="667" t="s">
        <v>475</v>
      </c>
      <c r="B8" s="668"/>
      <c r="C8" s="669"/>
      <c r="D8" s="669">
        <v>127.214</v>
      </c>
      <c r="E8" s="669">
        <v>88.403999999999996</v>
      </c>
      <c r="F8" s="783">
        <f t="shared" si="0"/>
        <v>-1</v>
      </c>
      <c r="J8" s="411"/>
      <c r="K8" s="411"/>
    </row>
    <row r="9" spans="1:11" s="299" customFormat="1" ht="9.6" customHeight="1">
      <c r="A9" s="666" t="s">
        <v>95</v>
      </c>
      <c r="B9" s="533" t="s">
        <v>75</v>
      </c>
      <c r="C9" s="656">
        <v>72.73</v>
      </c>
      <c r="D9" s="656">
        <v>76.697000000000003</v>
      </c>
      <c r="E9" s="656">
        <v>33.793999999999997</v>
      </c>
      <c r="F9" s="782">
        <f t="shared" si="0"/>
        <v>-5.1723013937963636E-2</v>
      </c>
      <c r="K9" s="411"/>
    </row>
    <row r="10" spans="1:11" s="299" customFormat="1" ht="9.6" customHeight="1">
      <c r="A10" s="666"/>
      <c r="B10" s="533" t="s">
        <v>77</v>
      </c>
      <c r="C10" s="656">
        <v>20.67</v>
      </c>
      <c r="D10" s="656">
        <v>26.724599999999999</v>
      </c>
      <c r="E10" s="656">
        <v>2.0999999999999999E-3</v>
      </c>
      <c r="F10" s="782">
        <f t="shared" si="0"/>
        <v>-0.22655530859208362</v>
      </c>
      <c r="K10" s="411"/>
    </row>
    <row r="11" spans="1:11" s="299" customFormat="1" ht="9.6" customHeight="1">
      <c r="A11" s="667" t="s">
        <v>476</v>
      </c>
      <c r="B11" s="668"/>
      <c r="C11" s="669">
        <v>93.4</v>
      </c>
      <c r="D11" s="669">
        <v>103.4216</v>
      </c>
      <c r="E11" s="669">
        <v>33.796099999999996</v>
      </c>
      <c r="F11" s="783">
        <f t="shared" si="0"/>
        <v>-9.6900454063754471E-2</v>
      </c>
      <c r="K11" s="411"/>
    </row>
    <row r="12" spans="1:11" s="299" customFormat="1" ht="9.6" customHeight="1">
      <c r="A12" s="666" t="s">
        <v>85</v>
      </c>
      <c r="B12" s="533" t="s">
        <v>605</v>
      </c>
      <c r="C12" s="656">
        <v>0</v>
      </c>
      <c r="D12" s="656">
        <v>33.66234</v>
      </c>
      <c r="E12" s="656">
        <v>0</v>
      </c>
      <c r="F12" s="782">
        <f t="shared" si="0"/>
        <v>-1</v>
      </c>
      <c r="J12" s="411"/>
      <c r="K12" s="411"/>
    </row>
    <row r="13" spans="1:11" s="299" customFormat="1" ht="9.6" customHeight="1">
      <c r="A13" s="666"/>
      <c r="B13" s="533" t="s">
        <v>299</v>
      </c>
      <c r="C13" s="656">
        <v>51.987639999999999</v>
      </c>
      <c r="D13" s="656">
        <v>70.192299999999989</v>
      </c>
      <c r="E13" s="656">
        <v>130.81349</v>
      </c>
      <c r="F13" s="782">
        <f t="shared" si="0"/>
        <v>-0.25935408869633836</v>
      </c>
      <c r="J13" s="411"/>
      <c r="K13" s="411"/>
    </row>
    <row r="14" spans="1:11" s="299" customFormat="1" ht="9.6" customHeight="1">
      <c r="A14" s="666"/>
      <c r="B14" s="533" t="s">
        <v>300</v>
      </c>
      <c r="C14" s="656">
        <v>801.00684000000001</v>
      </c>
      <c r="D14" s="656">
        <v>774.06601000000001</v>
      </c>
      <c r="E14" s="656">
        <v>753.17270000000008</v>
      </c>
      <c r="F14" s="782">
        <f t="shared" si="0"/>
        <v>3.4804305643132416E-2</v>
      </c>
      <c r="J14" s="411"/>
      <c r="K14" s="411"/>
    </row>
    <row r="15" spans="1:11" s="299" customFormat="1" ht="9.6" customHeight="1">
      <c r="A15" s="666"/>
      <c r="B15" s="533" t="s">
        <v>301</v>
      </c>
      <c r="C15" s="656">
        <v>110.85463000000001</v>
      </c>
      <c r="D15" s="656">
        <v>103.68376000000001</v>
      </c>
      <c r="E15" s="656">
        <v>101.03351000000001</v>
      </c>
      <c r="F15" s="782">
        <f t="shared" si="0"/>
        <v>6.9160975643630218E-2</v>
      </c>
      <c r="J15" s="411"/>
      <c r="K15" s="411"/>
    </row>
    <row r="16" spans="1:11" s="299" customFormat="1" ht="9.6" customHeight="1">
      <c r="A16" s="666"/>
      <c r="B16" s="533" t="s">
        <v>539</v>
      </c>
      <c r="C16" s="656">
        <v>0</v>
      </c>
      <c r="D16" s="656">
        <v>0</v>
      </c>
      <c r="E16" s="656"/>
      <c r="F16" s="782" t="str">
        <f t="shared" si="0"/>
        <v/>
      </c>
      <c r="J16" s="411"/>
      <c r="K16" s="411"/>
    </row>
    <row r="17" spans="1:11" s="299" customFormat="1" ht="9.6" customHeight="1">
      <c r="A17" s="666"/>
      <c r="B17" s="533" t="s">
        <v>302</v>
      </c>
      <c r="C17" s="656">
        <v>300.46713999999997</v>
      </c>
      <c r="D17" s="656">
        <v>0</v>
      </c>
      <c r="E17" s="656">
        <v>0</v>
      </c>
      <c r="F17" s="782" t="str">
        <f t="shared" si="0"/>
        <v/>
      </c>
      <c r="J17" s="411"/>
      <c r="K17" s="411"/>
    </row>
    <row r="18" spans="1:11" s="299" customFormat="1" ht="9.6" customHeight="1">
      <c r="A18" s="666"/>
      <c r="B18" s="533" t="s">
        <v>303</v>
      </c>
      <c r="C18" s="656">
        <v>0</v>
      </c>
      <c r="D18" s="656">
        <v>0</v>
      </c>
      <c r="E18" s="656">
        <v>0</v>
      </c>
      <c r="F18" s="782" t="str">
        <f t="shared" si="0"/>
        <v/>
      </c>
      <c r="J18" s="411"/>
      <c r="K18" s="411"/>
    </row>
    <row r="19" spans="1:11" s="299" customFormat="1" ht="9.6" customHeight="1">
      <c r="A19" s="666"/>
      <c r="B19" s="533" t="s">
        <v>403</v>
      </c>
      <c r="C19" s="656">
        <v>0</v>
      </c>
      <c r="D19" s="656">
        <v>0</v>
      </c>
      <c r="E19" s="656">
        <v>0</v>
      </c>
      <c r="F19" s="782" t="str">
        <f t="shared" si="0"/>
        <v/>
      </c>
      <c r="J19" s="411"/>
      <c r="K19" s="411"/>
    </row>
    <row r="20" spans="1:11" s="299" customFormat="1" ht="9.6" customHeight="1">
      <c r="A20" s="666"/>
      <c r="B20" s="533" t="s">
        <v>606</v>
      </c>
      <c r="C20" s="656">
        <v>138.16977</v>
      </c>
      <c r="D20" s="656"/>
      <c r="E20" s="656">
        <v>86.998860000000008</v>
      </c>
      <c r="F20" s="782"/>
      <c r="J20" s="411"/>
      <c r="K20" s="411"/>
    </row>
    <row r="21" spans="1:11" s="299" customFormat="1" ht="9.6" customHeight="1">
      <c r="A21" s="666"/>
      <c r="B21" s="533" t="s">
        <v>594</v>
      </c>
      <c r="C21" s="656">
        <v>23.998460000000001</v>
      </c>
      <c r="D21" s="656"/>
      <c r="E21" s="656">
        <v>0.47832999999999998</v>
      </c>
      <c r="F21" s="782"/>
      <c r="J21" s="411"/>
      <c r="K21" s="411"/>
    </row>
    <row r="22" spans="1:11" s="299" customFormat="1" ht="9.6" customHeight="1">
      <c r="A22" s="667" t="s">
        <v>477</v>
      </c>
      <c r="B22" s="668"/>
      <c r="C22" s="669">
        <v>1426.4844800000001</v>
      </c>
      <c r="D22" s="669">
        <v>981.60441000000003</v>
      </c>
      <c r="E22" s="669">
        <v>1072.4968899999999</v>
      </c>
      <c r="F22" s="783">
        <f t="shared" si="0"/>
        <v>0.4532172690625953</v>
      </c>
      <c r="J22" s="411"/>
      <c r="K22" s="411"/>
    </row>
    <row r="23" spans="1:11" s="299" customFormat="1" ht="9.6" customHeight="1">
      <c r="A23" s="666" t="s">
        <v>232</v>
      </c>
      <c r="B23" s="533" t="s">
        <v>304</v>
      </c>
      <c r="C23" s="656">
        <v>567.51242999999999</v>
      </c>
      <c r="D23" s="656">
        <v>556.02593000000002</v>
      </c>
      <c r="E23" s="656">
        <v>0</v>
      </c>
      <c r="F23" s="782"/>
      <c r="J23" s="411"/>
      <c r="K23" s="411"/>
    </row>
    <row r="24" spans="1:11" s="299" customFormat="1" ht="9.6" customHeight="1">
      <c r="A24" s="667" t="s">
        <v>478</v>
      </c>
      <c r="B24" s="668"/>
      <c r="C24" s="669">
        <v>567.51242999999999</v>
      </c>
      <c r="D24" s="669">
        <v>556.02593000000002</v>
      </c>
      <c r="E24" s="669">
        <v>0</v>
      </c>
      <c r="F24" s="783"/>
      <c r="J24" s="411"/>
      <c r="K24" s="411"/>
    </row>
    <row r="25" spans="1:11" s="299" customFormat="1" ht="9.6" customHeight="1">
      <c r="A25" s="666" t="s">
        <v>428</v>
      </c>
      <c r="B25" s="533" t="s">
        <v>432</v>
      </c>
      <c r="C25" s="656">
        <v>5.1032900000000003</v>
      </c>
      <c r="D25" s="656">
        <v>6.5236700000000001</v>
      </c>
      <c r="E25" s="656">
        <v>20.999589999999998</v>
      </c>
      <c r="F25" s="782"/>
      <c r="J25" s="411"/>
      <c r="K25" s="411"/>
    </row>
    <row r="26" spans="1:11" s="299" customFormat="1" ht="9.6" customHeight="1">
      <c r="A26" s="666"/>
      <c r="B26" s="533" t="s">
        <v>429</v>
      </c>
      <c r="C26" s="656">
        <v>1.4466600000000001</v>
      </c>
      <c r="D26" s="656">
        <v>2.4151400000000001</v>
      </c>
      <c r="E26" s="656">
        <v>8.37819</v>
      </c>
      <c r="F26" s="782">
        <f t="shared" si="0"/>
        <v>-0.40100366852439195</v>
      </c>
      <c r="J26" s="411"/>
      <c r="K26" s="411"/>
    </row>
    <row r="27" spans="1:11" s="299" customFormat="1" ht="9.6" customHeight="1">
      <c r="A27" s="667" t="s">
        <v>479</v>
      </c>
      <c r="B27" s="668"/>
      <c r="C27" s="669">
        <v>6.5499500000000008</v>
      </c>
      <c r="D27" s="669">
        <v>8.9388100000000001</v>
      </c>
      <c r="E27" s="669">
        <v>29.377779999999998</v>
      </c>
      <c r="F27" s="783">
        <f t="shared" si="0"/>
        <v>-0.26724586382303672</v>
      </c>
      <c r="J27" s="411"/>
      <c r="K27" s="411"/>
    </row>
    <row r="28" spans="1:11" s="299" customFormat="1" ht="9.6" customHeight="1">
      <c r="A28" s="666" t="s">
        <v>106</v>
      </c>
      <c r="B28" s="533" t="s">
        <v>64</v>
      </c>
      <c r="C28" s="656">
        <v>4.8163900000000002</v>
      </c>
      <c r="D28" s="656">
        <v>7.6537500000000005</v>
      </c>
      <c r="E28" s="656">
        <v>6.4888200000000005</v>
      </c>
      <c r="F28" s="782">
        <f t="shared" si="0"/>
        <v>-0.37071500898252496</v>
      </c>
      <c r="J28" s="411"/>
      <c r="K28" s="411"/>
    </row>
    <row r="29" spans="1:11" s="299" customFormat="1" ht="9.6" customHeight="1">
      <c r="A29" s="666"/>
      <c r="B29" s="533" t="s">
        <v>394</v>
      </c>
      <c r="C29" s="656">
        <v>2.6034999999999999</v>
      </c>
      <c r="D29" s="656">
        <v>4.3364700000000003</v>
      </c>
      <c r="E29" s="656">
        <v>10.98638</v>
      </c>
      <c r="F29" s="782">
        <f t="shared" si="0"/>
        <v>-0.39962688546213865</v>
      </c>
      <c r="J29" s="411"/>
      <c r="K29" s="411"/>
    </row>
    <row r="30" spans="1:11" s="299" customFormat="1" ht="9.6" customHeight="1">
      <c r="A30" s="666"/>
      <c r="B30" s="533" t="s">
        <v>392</v>
      </c>
      <c r="C30" s="656">
        <v>3.4223400000000002</v>
      </c>
      <c r="D30" s="656">
        <v>5.84422</v>
      </c>
      <c r="E30" s="656">
        <v>20.388649999999998</v>
      </c>
      <c r="F30" s="782">
        <f t="shared" si="0"/>
        <v>-0.41440602852048691</v>
      </c>
      <c r="J30" s="411"/>
      <c r="K30" s="411"/>
    </row>
    <row r="31" spans="1:11" s="299" customFormat="1" ht="9.6" customHeight="1">
      <c r="A31" s="666"/>
      <c r="B31" s="533" t="s">
        <v>393</v>
      </c>
      <c r="C31" s="656">
        <v>3.6515499999999999</v>
      </c>
      <c r="D31" s="656">
        <v>5.9932800000000004</v>
      </c>
      <c r="E31" s="656">
        <v>19.73573</v>
      </c>
      <c r="F31" s="782">
        <f t="shared" si="0"/>
        <v>-0.39072594639329383</v>
      </c>
      <c r="J31" s="411"/>
      <c r="K31" s="411"/>
    </row>
    <row r="32" spans="1:11" s="299" customFormat="1" ht="9.6" customHeight="1">
      <c r="A32" s="667" t="s">
        <v>480</v>
      </c>
      <c r="B32" s="668"/>
      <c r="C32" s="669">
        <v>14.493780000000001</v>
      </c>
      <c r="D32" s="669">
        <v>23.827719999999999</v>
      </c>
      <c r="E32" s="669">
        <v>57.599580000000003</v>
      </c>
      <c r="F32" s="783">
        <f t="shared" si="0"/>
        <v>-0.39172610723980295</v>
      </c>
      <c r="J32" s="411"/>
      <c r="K32" s="411"/>
    </row>
    <row r="33" spans="1:11" s="299" customFormat="1" ht="9.6" customHeight="1">
      <c r="A33" s="666" t="s">
        <v>444</v>
      </c>
      <c r="B33" s="533" t="s">
        <v>450</v>
      </c>
      <c r="C33" s="656">
        <v>1.3099799999999999</v>
      </c>
      <c r="D33" s="656">
        <v>2.1732</v>
      </c>
      <c r="E33" s="656">
        <v>8.6110000000000006E-2</v>
      </c>
      <c r="F33" s="782">
        <f t="shared" si="0"/>
        <v>-0.39721148536720052</v>
      </c>
      <c r="J33" s="411"/>
      <c r="K33" s="411"/>
    </row>
    <row r="34" spans="1:11" s="299" customFormat="1" ht="9.6" customHeight="1">
      <c r="A34" s="667" t="s">
        <v>481</v>
      </c>
      <c r="B34" s="668"/>
      <c r="C34" s="669">
        <v>1.3099799999999999</v>
      </c>
      <c r="D34" s="669">
        <v>2.1732</v>
      </c>
      <c r="E34" s="669">
        <v>8.6110000000000006E-2</v>
      </c>
      <c r="F34" s="783">
        <f t="shared" si="0"/>
        <v>-0.39721148536720052</v>
      </c>
      <c r="J34" s="411"/>
      <c r="K34" s="411"/>
    </row>
    <row r="35" spans="1:11" s="299" customFormat="1" ht="9.6" customHeight="1">
      <c r="A35" s="666" t="s">
        <v>445</v>
      </c>
      <c r="B35" s="533" t="s">
        <v>451</v>
      </c>
      <c r="C35" s="656">
        <v>0.74224999999999997</v>
      </c>
      <c r="D35" s="656">
        <v>0.67049999999999998</v>
      </c>
      <c r="E35" s="656">
        <v>8.0000000000000007E-5</v>
      </c>
      <c r="F35" s="782">
        <f t="shared" si="0"/>
        <v>0.10700969425801632</v>
      </c>
      <c r="J35" s="411"/>
      <c r="K35" s="411"/>
    </row>
    <row r="36" spans="1:11" s="299" customFormat="1" ht="9.6" customHeight="1">
      <c r="A36" s="667" t="s">
        <v>482</v>
      </c>
      <c r="B36" s="668"/>
      <c r="C36" s="669">
        <v>0.74224999999999997</v>
      </c>
      <c r="D36" s="669">
        <v>0.67049999999999998</v>
      </c>
      <c r="E36" s="669">
        <v>8.0000000000000007E-5</v>
      </c>
      <c r="F36" s="783">
        <f t="shared" si="0"/>
        <v>0.10700969425801632</v>
      </c>
      <c r="J36" s="411"/>
      <c r="K36" s="411"/>
    </row>
    <row r="37" spans="1:11" s="299" customFormat="1" ht="9.6" customHeight="1">
      <c r="A37" s="666" t="s">
        <v>112</v>
      </c>
      <c r="B37" s="533" t="s">
        <v>72</v>
      </c>
      <c r="C37" s="656">
        <v>3.6</v>
      </c>
      <c r="D37" s="656">
        <v>3.2</v>
      </c>
      <c r="E37" s="656">
        <v>3.2</v>
      </c>
      <c r="F37" s="782">
        <f t="shared" si="0"/>
        <v>0.125</v>
      </c>
      <c r="J37" s="411"/>
      <c r="K37" s="411"/>
    </row>
    <row r="38" spans="1:11" s="299" customFormat="1" ht="9.6" customHeight="1">
      <c r="A38" s="667" t="s">
        <v>483</v>
      </c>
      <c r="B38" s="668"/>
      <c r="C38" s="669">
        <v>3.6</v>
      </c>
      <c r="D38" s="669">
        <v>3.2</v>
      </c>
      <c r="E38" s="669">
        <v>3.2</v>
      </c>
      <c r="F38" s="783">
        <f t="shared" si="0"/>
        <v>0.125</v>
      </c>
      <c r="J38" s="411"/>
      <c r="K38" s="411"/>
    </row>
    <row r="39" spans="1:11" s="299" customFormat="1" ht="9.6" customHeight="1">
      <c r="A39" s="666" t="s">
        <v>101</v>
      </c>
      <c r="B39" s="533" t="s">
        <v>305</v>
      </c>
      <c r="C39" s="656">
        <v>17.394780000000001</v>
      </c>
      <c r="D39" s="656">
        <v>15.659739999999999</v>
      </c>
      <c r="E39" s="656">
        <v>19.102539999999998</v>
      </c>
      <c r="F39" s="782">
        <f t="shared" si="0"/>
        <v>0.11079622011604284</v>
      </c>
      <c r="J39" s="411"/>
      <c r="K39" s="411"/>
    </row>
    <row r="40" spans="1:11" s="299" customFormat="1" ht="9.6" customHeight="1">
      <c r="A40" s="667" t="s">
        <v>484</v>
      </c>
      <c r="B40" s="668"/>
      <c r="C40" s="669">
        <v>17.394780000000001</v>
      </c>
      <c r="D40" s="669">
        <v>15.659739999999999</v>
      </c>
      <c r="E40" s="669">
        <v>19.102539999999998</v>
      </c>
      <c r="F40" s="783">
        <f t="shared" si="0"/>
        <v>0.11079622011604284</v>
      </c>
      <c r="J40" s="411"/>
      <c r="K40" s="411"/>
    </row>
    <row r="41" spans="1:11" s="533" customFormat="1" ht="10.15" customHeight="1">
      <c r="A41" s="666" t="s">
        <v>233</v>
      </c>
      <c r="B41" s="533" t="s">
        <v>57</v>
      </c>
      <c r="C41" s="656">
        <v>15.644169999999999</v>
      </c>
      <c r="D41" s="656">
        <v>15.43956</v>
      </c>
      <c r="E41" s="656">
        <v>18.567</v>
      </c>
      <c r="F41" s="782">
        <f t="shared" si="0"/>
        <v>1.3252320661987671E-2</v>
      </c>
      <c r="J41" s="657"/>
      <c r="K41" s="657"/>
    </row>
    <row r="42" spans="1:11" s="299" customFormat="1" ht="9.6" customHeight="1">
      <c r="A42" s="667" t="s">
        <v>485</v>
      </c>
      <c r="B42" s="668"/>
      <c r="C42" s="669">
        <v>15.644169999999999</v>
      </c>
      <c r="D42" s="669">
        <v>15.43956</v>
      </c>
      <c r="E42" s="669">
        <v>18.567</v>
      </c>
      <c r="F42" s="783">
        <f t="shared" si="0"/>
        <v>1.3252320661987671E-2</v>
      </c>
      <c r="J42" s="411"/>
      <c r="K42" s="411"/>
    </row>
    <row r="43" spans="1:11" s="299" customFormat="1" ht="9.6" customHeight="1">
      <c r="A43" s="666" t="s">
        <v>405</v>
      </c>
      <c r="B43" s="533" t="s">
        <v>409</v>
      </c>
      <c r="C43" s="656">
        <v>48.819859999999998</v>
      </c>
      <c r="D43" s="656">
        <v>60.992469999999997</v>
      </c>
      <c r="E43" s="656">
        <v>90.194980000000001</v>
      </c>
      <c r="F43" s="782">
        <f t="shared" si="0"/>
        <v>-0.19957561974453564</v>
      </c>
      <c r="J43" s="411"/>
      <c r="K43" s="411"/>
    </row>
    <row r="44" spans="1:11" s="299" customFormat="1" ht="9.6" customHeight="1">
      <c r="A44" s="667" t="s">
        <v>486</v>
      </c>
      <c r="B44" s="668"/>
      <c r="C44" s="669">
        <v>48.819859999999998</v>
      </c>
      <c r="D44" s="669">
        <v>60.992469999999997</v>
      </c>
      <c r="E44" s="669">
        <v>90.194980000000001</v>
      </c>
      <c r="F44" s="783">
        <f t="shared" si="0"/>
        <v>-0.19957561974453564</v>
      </c>
      <c r="J44" s="411"/>
      <c r="K44" s="411"/>
    </row>
    <row r="45" spans="1:11" s="299" customFormat="1" ht="19.899999999999999" customHeight="1">
      <c r="A45" s="655" t="s">
        <v>436</v>
      </c>
      <c r="B45" s="533" t="s">
        <v>440</v>
      </c>
      <c r="C45" s="656">
        <v>2.5465</v>
      </c>
      <c r="D45" s="656">
        <v>6.3909000000000002</v>
      </c>
      <c r="E45" s="656">
        <v>7.5326500000000003</v>
      </c>
      <c r="F45" s="782">
        <f t="shared" si="0"/>
        <v>-0.60154281869533244</v>
      </c>
      <c r="J45" s="411"/>
      <c r="K45" s="411"/>
    </row>
    <row r="46" spans="1:11" s="299" customFormat="1" ht="11.45" customHeight="1">
      <c r="A46" s="667" t="s">
        <v>487</v>
      </c>
      <c r="B46" s="668"/>
      <c r="C46" s="669">
        <v>2.5465</v>
      </c>
      <c r="D46" s="669">
        <v>6.3909000000000002</v>
      </c>
      <c r="E46" s="669">
        <v>7.5326500000000003</v>
      </c>
      <c r="F46" s="783">
        <f t="shared" si="0"/>
        <v>-0.60154281869533244</v>
      </c>
      <c r="J46" s="411"/>
      <c r="K46" s="411"/>
    </row>
    <row r="47" spans="1:11" s="299" customFormat="1" ht="11.45" customHeight="1">
      <c r="A47" s="666" t="s">
        <v>114</v>
      </c>
      <c r="B47" s="533" t="s">
        <v>307</v>
      </c>
      <c r="C47" s="656">
        <v>0</v>
      </c>
      <c r="D47" s="656">
        <v>0</v>
      </c>
      <c r="E47" s="656">
        <v>0</v>
      </c>
      <c r="F47" s="782" t="str">
        <f t="shared" si="0"/>
        <v/>
      </c>
      <c r="J47" s="411"/>
      <c r="K47" s="411"/>
    </row>
    <row r="48" spans="1:11" s="299" customFormat="1" ht="11.45" customHeight="1">
      <c r="A48" s="666"/>
      <c r="B48" s="533" t="s">
        <v>308</v>
      </c>
      <c r="C48" s="656">
        <v>0</v>
      </c>
      <c r="D48" s="656">
        <v>0</v>
      </c>
      <c r="E48" s="656">
        <v>0</v>
      </c>
      <c r="F48" s="782" t="str">
        <f t="shared" si="0"/>
        <v/>
      </c>
      <c r="J48" s="411"/>
      <c r="K48" s="411"/>
    </row>
    <row r="49" spans="1:11" s="299" customFormat="1" ht="11.45" customHeight="1">
      <c r="A49" s="667" t="s">
        <v>488</v>
      </c>
      <c r="B49" s="668"/>
      <c r="C49" s="669">
        <v>0</v>
      </c>
      <c r="D49" s="669">
        <v>0</v>
      </c>
      <c r="E49" s="669">
        <v>0</v>
      </c>
      <c r="F49" s="783" t="str">
        <f t="shared" si="0"/>
        <v/>
      </c>
      <c r="J49" s="411"/>
      <c r="K49" s="411"/>
    </row>
    <row r="50" spans="1:11" s="299" customFormat="1" ht="11.45" customHeight="1">
      <c r="A50" s="666" t="s">
        <v>390</v>
      </c>
      <c r="B50" s="533" t="s">
        <v>309</v>
      </c>
      <c r="C50" s="656">
        <v>877.75067999999999</v>
      </c>
      <c r="D50" s="656">
        <v>890.85</v>
      </c>
      <c r="E50" s="656">
        <v>826.01572999999996</v>
      </c>
      <c r="F50" s="782">
        <f t="shared" si="0"/>
        <v>-1.4704293652129996E-2</v>
      </c>
      <c r="J50" s="411"/>
      <c r="K50" s="411"/>
    </row>
    <row r="51" spans="1:11" s="299" customFormat="1" ht="11.45" customHeight="1">
      <c r="A51" s="666"/>
      <c r="B51" s="533" t="s">
        <v>540</v>
      </c>
      <c r="C51" s="656">
        <v>209.36017000000001</v>
      </c>
      <c r="D51" s="656">
        <v>219.27099999999999</v>
      </c>
      <c r="E51" s="656">
        <v>301.31545999999997</v>
      </c>
      <c r="F51" s="782">
        <f t="shared" si="0"/>
        <v>-4.5199000323800087E-2</v>
      </c>
      <c r="J51" s="411"/>
      <c r="K51" s="411"/>
    </row>
    <row r="52" spans="1:11" s="299" customFormat="1" ht="11.45" customHeight="1">
      <c r="A52" s="666"/>
      <c r="B52" s="533" t="s">
        <v>407</v>
      </c>
      <c r="C52" s="656">
        <v>258.84465999999998</v>
      </c>
      <c r="D52" s="656">
        <v>422.01900000000001</v>
      </c>
      <c r="E52" s="656">
        <v>568.33227999999997</v>
      </c>
      <c r="F52" s="782">
        <f t="shared" si="0"/>
        <v>-0.38665164364637616</v>
      </c>
      <c r="J52" s="411"/>
      <c r="K52" s="411"/>
    </row>
    <row r="53" spans="1:11" s="299" customFormat="1" ht="11.45" customHeight="1">
      <c r="A53" s="666"/>
      <c r="B53" s="533" t="s">
        <v>310</v>
      </c>
      <c r="C53" s="656">
        <v>2.8801800000000002</v>
      </c>
      <c r="D53" s="656">
        <v>3.2749999999999999</v>
      </c>
      <c r="E53" s="656">
        <v>10.12599</v>
      </c>
      <c r="F53" s="782">
        <f t="shared" si="0"/>
        <v>-0.12055572519083957</v>
      </c>
      <c r="J53" s="411"/>
      <c r="K53" s="411"/>
    </row>
    <row r="54" spans="1:11" s="299" customFormat="1" ht="11.45" customHeight="1">
      <c r="A54" s="667" t="s">
        <v>489</v>
      </c>
      <c r="B54" s="668"/>
      <c r="C54" s="669">
        <v>1348.8356900000001</v>
      </c>
      <c r="D54" s="669">
        <v>1535.4150000000002</v>
      </c>
      <c r="E54" s="669">
        <v>1705.78946</v>
      </c>
      <c r="F54" s="783">
        <f t="shared" si="0"/>
        <v>-0.12151718590739313</v>
      </c>
      <c r="J54" s="411"/>
      <c r="K54" s="411"/>
    </row>
    <row r="55" spans="1:11" s="299" customFormat="1" ht="11.45" customHeight="1">
      <c r="A55" s="666" t="s">
        <v>452</v>
      </c>
      <c r="B55" s="533" t="s">
        <v>525</v>
      </c>
      <c r="C55" s="656">
        <v>15.917</v>
      </c>
      <c r="D55" s="656">
        <v>24.119669999999999</v>
      </c>
      <c r="E55" s="656">
        <v>59.338000000000001</v>
      </c>
      <c r="F55" s="782">
        <f t="shared" si="0"/>
        <v>-0.34008218188723149</v>
      </c>
      <c r="J55" s="411"/>
      <c r="K55" s="411"/>
    </row>
    <row r="56" spans="1:11" s="299" customFormat="1" ht="11.45" customHeight="1">
      <c r="A56" s="667" t="s">
        <v>490</v>
      </c>
      <c r="B56" s="668"/>
      <c r="C56" s="669">
        <v>15.917</v>
      </c>
      <c r="D56" s="669">
        <v>24.119669999999999</v>
      </c>
      <c r="E56" s="669">
        <v>59.338000000000001</v>
      </c>
      <c r="F56" s="783">
        <f t="shared" si="0"/>
        <v>-0.34008218188723149</v>
      </c>
      <c r="J56" s="411"/>
      <c r="K56" s="411"/>
    </row>
    <row r="57" spans="1:11" s="299" customFormat="1" ht="11.45" customHeight="1">
      <c r="A57" s="666" t="s">
        <v>113</v>
      </c>
      <c r="B57" s="533" t="s">
        <v>70</v>
      </c>
      <c r="C57" s="656">
        <v>1.03301</v>
      </c>
      <c r="D57" s="656">
        <v>2.694</v>
      </c>
      <c r="E57" s="656">
        <v>3.7949999999999999</v>
      </c>
      <c r="F57" s="782">
        <f t="shared" si="0"/>
        <v>-0.61655159613956934</v>
      </c>
      <c r="J57" s="411"/>
      <c r="K57" s="411"/>
    </row>
    <row r="58" spans="1:11" s="299" customFormat="1" ht="11.45" customHeight="1">
      <c r="A58" s="667" t="s">
        <v>491</v>
      </c>
      <c r="B58" s="668"/>
      <c r="C58" s="669">
        <v>1.03301</v>
      </c>
      <c r="D58" s="669">
        <v>2.694</v>
      </c>
      <c r="E58" s="669">
        <v>3.7949999999999999</v>
      </c>
      <c r="F58" s="783">
        <f t="shared" si="0"/>
        <v>-0.61655159613956934</v>
      </c>
      <c r="J58" s="411"/>
      <c r="K58" s="411"/>
    </row>
    <row r="59" spans="1:11" s="299" customFormat="1" ht="11.45" customHeight="1">
      <c r="A59" s="666" t="s">
        <v>442</v>
      </c>
      <c r="B59" s="533" t="s">
        <v>226</v>
      </c>
      <c r="C59" s="656">
        <v>0</v>
      </c>
      <c r="D59" s="656">
        <v>0</v>
      </c>
      <c r="E59" s="656">
        <v>0</v>
      </c>
      <c r="F59" s="782" t="str">
        <f t="shared" si="0"/>
        <v/>
      </c>
      <c r="J59" s="411"/>
      <c r="K59" s="411"/>
    </row>
    <row r="60" spans="1:11" s="299" customFormat="1" ht="11.45" customHeight="1">
      <c r="A60" s="667" t="s">
        <v>492</v>
      </c>
      <c r="B60" s="668"/>
      <c r="C60" s="669">
        <v>0</v>
      </c>
      <c r="D60" s="669">
        <v>0</v>
      </c>
      <c r="E60" s="669">
        <v>0</v>
      </c>
      <c r="F60" s="783" t="str">
        <f t="shared" si="0"/>
        <v/>
      </c>
      <c r="J60" s="411"/>
      <c r="K60" s="411"/>
    </row>
    <row r="61" spans="1:11" s="299" customFormat="1" ht="11.45" customHeight="1">
      <c r="A61" s="666" t="s">
        <v>108</v>
      </c>
      <c r="B61" s="533" t="s">
        <v>79</v>
      </c>
      <c r="C61" s="656">
        <v>0</v>
      </c>
      <c r="D61" s="656">
        <v>0</v>
      </c>
      <c r="E61" s="656">
        <v>0</v>
      </c>
      <c r="F61" s="782" t="str">
        <f t="shared" si="0"/>
        <v/>
      </c>
      <c r="J61" s="411"/>
      <c r="K61" s="411"/>
    </row>
    <row r="62" spans="1:11" s="299" customFormat="1" ht="11.45" customHeight="1">
      <c r="A62" s="667" t="s">
        <v>493</v>
      </c>
      <c r="B62" s="668"/>
      <c r="C62" s="669">
        <v>0</v>
      </c>
      <c r="D62" s="669">
        <v>0</v>
      </c>
      <c r="E62" s="669">
        <v>0</v>
      </c>
      <c r="F62" s="783" t="str">
        <f t="shared" si="0"/>
        <v/>
      </c>
      <c r="J62" s="411"/>
      <c r="K62" s="411"/>
    </row>
    <row r="63" spans="1:11" s="299" customFormat="1" ht="11.45" customHeight="1">
      <c r="A63" s="666" t="s">
        <v>234</v>
      </c>
      <c r="B63" s="533" t="s">
        <v>69</v>
      </c>
      <c r="C63" s="656">
        <v>1.7250799999999999</v>
      </c>
      <c r="D63" s="656">
        <v>4.8099999999999996</v>
      </c>
      <c r="E63" s="656">
        <v>0</v>
      </c>
      <c r="F63" s="782">
        <f t="shared" si="0"/>
        <v>-0.64135550935550933</v>
      </c>
      <c r="J63" s="411"/>
      <c r="K63" s="411"/>
    </row>
    <row r="64" spans="1:11" s="299" customFormat="1" ht="11.45" customHeight="1">
      <c r="A64" s="666"/>
      <c r="B64" s="533" t="s">
        <v>311</v>
      </c>
      <c r="C64" s="656">
        <v>104.65036000000001</v>
      </c>
      <c r="D64" s="656">
        <v>118.41999999999999</v>
      </c>
      <c r="E64" s="656">
        <v>222.72689000000003</v>
      </c>
      <c r="F64" s="782">
        <f t="shared" si="0"/>
        <v>-0.11627799358216506</v>
      </c>
      <c r="J64" s="411"/>
      <c r="K64" s="411"/>
    </row>
    <row r="65" spans="1:11" s="299" customFormat="1" ht="11.45" customHeight="1">
      <c r="A65" s="666"/>
      <c r="B65" s="533" t="s">
        <v>312</v>
      </c>
      <c r="C65" s="656">
        <v>19.738520000000001</v>
      </c>
      <c r="D65" s="656">
        <v>60.57</v>
      </c>
      <c r="E65" s="656">
        <v>90.030109999999993</v>
      </c>
      <c r="F65" s="782">
        <f t="shared" si="0"/>
        <v>-0.6741205217104177</v>
      </c>
      <c r="J65" s="411"/>
      <c r="K65" s="411"/>
    </row>
    <row r="66" spans="1:11" s="299" customFormat="1" ht="11.45" customHeight="1">
      <c r="A66" s="666"/>
      <c r="B66" s="533" t="s">
        <v>60</v>
      </c>
      <c r="C66" s="656">
        <v>9.9490499999999997</v>
      </c>
      <c r="D66" s="656">
        <v>9.91</v>
      </c>
      <c r="E66" s="656">
        <v>9.9212299999999995</v>
      </c>
      <c r="F66" s="782">
        <f t="shared" si="0"/>
        <v>3.9404641775984128E-3</v>
      </c>
      <c r="J66" s="411"/>
      <c r="K66" s="411"/>
    </row>
    <row r="67" spans="1:11" s="299" customFormat="1" ht="11.45" customHeight="1">
      <c r="A67" s="667" t="s">
        <v>494</v>
      </c>
      <c r="B67" s="668"/>
      <c r="C67" s="669">
        <v>136.06301000000002</v>
      </c>
      <c r="D67" s="669">
        <v>193.70999999999998</v>
      </c>
      <c r="E67" s="669">
        <v>322.67822999999999</v>
      </c>
      <c r="F67" s="783">
        <f t="shared" si="0"/>
        <v>-0.29759429043415397</v>
      </c>
      <c r="J67" s="411"/>
      <c r="K67" s="411"/>
    </row>
    <row r="68" spans="1:11" s="299" customFormat="1" ht="11.45" customHeight="1">
      <c r="A68" s="666" t="s">
        <v>235</v>
      </c>
      <c r="B68" s="533" t="s">
        <v>76</v>
      </c>
      <c r="C68" s="656">
        <v>30.733989999999999</v>
      </c>
      <c r="D68" s="656">
        <v>32.039969999999997</v>
      </c>
      <c r="E68" s="656">
        <v>20.000889999999998</v>
      </c>
      <c r="F68" s="782">
        <f t="shared" si="0"/>
        <v>-4.0760962010888191E-2</v>
      </c>
      <c r="J68" s="411"/>
      <c r="K68" s="411"/>
    </row>
    <row r="69" spans="1:11" s="299" customFormat="1" ht="11.45" customHeight="1">
      <c r="A69" s="667" t="s">
        <v>495</v>
      </c>
      <c r="B69" s="668"/>
      <c r="C69" s="669">
        <v>30.733989999999999</v>
      </c>
      <c r="D69" s="669">
        <v>32.039969999999997</v>
      </c>
      <c r="E69" s="669">
        <v>20.000889999999998</v>
      </c>
      <c r="F69" s="783">
        <f t="shared" si="0"/>
        <v>-4.0760962010888191E-2</v>
      </c>
      <c r="J69" s="411"/>
      <c r="K69" s="411"/>
    </row>
    <row r="70" spans="1:11" s="299" customFormat="1" ht="11.45" customHeight="1">
      <c r="A70" s="666" t="s">
        <v>97</v>
      </c>
      <c r="B70" s="533" t="s">
        <v>74</v>
      </c>
      <c r="C70" s="656">
        <v>90.062060000000002</v>
      </c>
      <c r="D70" s="656">
        <v>93.749089999999995</v>
      </c>
      <c r="E70" s="656">
        <v>59.584440000000001</v>
      </c>
      <c r="F70" s="782">
        <f t="shared" si="0"/>
        <v>-3.9328701750598216E-2</v>
      </c>
      <c r="J70" s="411"/>
      <c r="K70" s="411"/>
    </row>
    <row r="71" spans="1:11" ht="11.45" customHeight="1">
      <c r="A71" s="784" t="s">
        <v>496</v>
      </c>
      <c r="B71" s="785"/>
      <c r="C71" s="786">
        <v>90.062060000000002</v>
      </c>
      <c r="D71" s="786">
        <v>93.749089999999995</v>
      </c>
      <c r="E71" s="786">
        <v>59.584440000000001</v>
      </c>
      <c r="F71" s="787">
        <f t="shared" ref="F71" si="1">+IF(D71=0,"",C71/D71-1)</f>
        <v>-3.9328701750598216E-2</v>
      </c>
    </row>
    <row r="72" spans="1:11">
      <c r="A72" s="274"/>
      <c r="B72" s="274"/>
      <c r="C72" s="274"/>
      <c r="D72" s="274"/>
      <c r="E72" s="274"/>
      <c r="F72" s="670"/>
    </row>
    <row r="73" spans="1:11">
      <c r="F73" s="621"/>
    </row>
    <row r="74" spans="1:11">
      <c r="F74" s="621"/>
    </row>
    <row r="75" spans="1:11">
      <c r="F75" s="621"/>
    </row>
    <row r="76" spans="1:11">
      <c r="F76" s="621"/>
    </row>
    <row r="77" spans="1:11">
      <c r="F77" s="621"/>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0"/>
  <sheetViews>
    <sheetView showGridLines="0" view="pageBreakPreview" topLeftCell="A42" zoomScale="115" zoomScaleNormal="100" zoomScaleSheetLayoutView="115" workbookViewId="0">
      <selection activeCell="E40" sqref="E40"/>
    </sheetView>
  </sheetViews>
  <sheetFormatPr baseColWidth="10" defaultColWidth="9.33203125" defaultRowHeight="9"/>
  <cols>
    <col min="1" max="1" width="27" style="270" customWidth="1"/>
    <col min="2" max="2" width="22.664062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42" t="s">
        <v>243</v>
      </c>
      <c r="B1" s="943" t="s">
        <v>52</v>
      </c>
      <c r="C1" s="943" t="s">
        <v>335</v>
      </c>
      <c r="D1" s="943"/>
      <c r="E1" s="943"/>
      <c r="F1" s="944"/>
    </row>
    <row r="2" spans="1:6" s="299" customFormat="1" ht="11.25" customHeight="1">
      <c r="A2" s="936"/>
      <c r="B2" s="939"/>
      <c r="C2" s="389" t="str">
        <f>UPPER('1. Resumen'!Q4)&amp;" "&amp;'1. Resumen'!Q5</f>
        <v>SETIEMBRE 2023</v>
      </c>
      <c r="D2" s="390" t="str">
        <f>UPPER('1. Resumen'!Q4)&amp;" "&amp;'1. Resumen'!Q5-1</f>
        <v>SETIEMBRE 2022</v>
      </c>
      <c r="E2" s="390">
        <v>2023</v>
      </c>
      <c r="F2" s="501" t="s">
        <v>541</v>
      </c>
    </row>
    <row r="3" spans="1:6" s="299" customFormat="1" ht="11.25" customHeight="1">
      <c r="A3" s="936"/>
      <c r="B3" s="939"/>
      <c r="C3" s="391">
        <f>'21. ANEXOII-1'!C4</f>
        <v>45197.791666666664</v>
      </c>
      <c r="D3" s="391">
        <f>'21. ANEXOII-1'!D4</f>
        <v>44831.791666666664</v>
      </c>
      <c r="E3" s="391">
        <f>'21. ANEXOII-1'!E4</f>
        <v>45027.791666666664</v>
      </c>
      <c r="F3" s="502" t="s">
        <v>332</v>
      </c>
    </row>
    <row r="4" spans="1:6" s="299" customFormat="1" ht="11.25" customHeight="1">
      <c r="A4" s="937"/>
      <c r="B4" s="940"/>
      <c r="C4" s="392">
        <f>+'8. Max Potencia'!D9</f>
        <v>45197.791666666664</v>
      </c>
      <c r="D4" s="392">
        <f>+'8. Max Potencia'!E9</f>
        <v>44831.791666666664</v>
      </c>
      <c r="E4" s="392">
        <f>+'22. ANEXOII-2'!E4</f>
        <v>45027.791666666664</v>
      </c>
      <c r="F4" s="503" t="s">
        <v>333</v>
      </c>
    </row>
    <row r="5" spans="1:6" s="299" customFormat="1" ht="9" customHeight="1">
      <c r="A5" s="788" t="s">
        <v>105</v>
      </c>
      <c r="B5" s="789" t="s">
        <v>225</v>
      </c>
      <c r="C5" s="790">
        <v>0</v>
      </c>
      <c r="D5" s="790">
        <v>0</v>
      </c>
      <c r="E5" s="790">
        <v>0</v>
      </c>
      <c r="F5" s="791" t="str">
        <f t="shared" ref="F5:F54" si="0">+IF(D5=0,"",C5/D5-1)</f>
        <v/>
      </c>
    </row>
    <row r="6" spans="1:6" s="299" customFormat="1" ht="9" customHeight="1">
      <c r="A6" s="521" t="s">
        <v>497</v>
      </c>
      <c r="B6" s="400"/>
      <c r="C6" s="401">
        <v>0</v>
      </c>
      <c r="D6" s="401">
        <v>0</v>
      </c>
      <c r="E6" s="401">
        <v>0</v>
      </c>
      <c r="F6" s="776" t="str">
        <f t="shared" si="0"/>
        <v/>
      </c>
    </row>
    <row r="7" spans="1:6" s="299" customFormat="1" ht="9" customHeight="1">
      <c r="A7" s="520" t="s">
        <v>391</v>
      </c>
      <c r="B7" s="299" t="s">
        <v>83</v>
      </c>
      <c r="C7" s="493">
        <v>1.3993</v>
      </c>
      <c r="D7" s="493">
        <v>1.4712000000000001</v>
      </c>
      <c r="E7" s="493">
        <v>0</v>
      </c>
      <c r="F7" s="777">
        <f t="shared" si="0"/>
        <v>-4.8871669385535665E-2</v>
      </c>
    </row>
    <row r="8" spans="1:6" s="299" customFormat="1" ht="9" customHeight="1">
      <c r="A8" s="520"/>
      <c r="B8" s="299" t="s">
        <v>82</v>
      </c>
      <c r="C8" s="493">
        <v>2.9002999999999997</v>
      </c>
      <c r="D8" s="493">
        <v>4.7260999999999997</v>
      </c>
      <c r="E8" s="493">
        <v>0</v>
      </c>
      <c r="F8" s="777">
        <f t="shared" si="0"/>
        <v>-0.38632276083874661</v>
      </c>
    </row>
    <row r="9" spans="1:6" s="299" customFormat="1" ht="9" customHeight="1">
      <c r="A9" s="520"/>
      <c r="B9" s="299" t="s">
        <v>404</v>
      </c>
      <c r="C9" s="493">
        <v>2.4024999999999999</v>
      </c>
      <c r="D9" s="493">
        <v>1.2051000000000001</v>
      </c>
      <c r="E9" s="493">
        <v>0</v>
      </c>
      <c r="F9" s="777">
        <f t="shared" si="0"/>
        <v>0.99361048875611968</v>
      </c>
    </row>
    <row r="10" spans="1:6" s="299" customFormat="1" ht="9" customHeight="1">
      <c r="A10" s="520"/>
      <c r="B10" s="299" t="s">
        <v>439</v>
      </c>
      <c r="C10" s="493">
        <v>2.1017999999999999</v>
      </c>
      <c r="D10" s="493">
        <v>1.8030999999999999</v>
      </c>
      <c r="E10" s="493">
        <v>2.1485000000000003</v>
      </c>
      <c r="F10" s="777">
        <f t="shared" si="0"/>
        <v>0.1656591425877656</v>
      </c>
    </row>
    <row r="11" spans="1:6" s="299" customFormat="1" ht="9" customHeight="1">
      <c r="A11" s="521" t="s">
        <v>498</v>
      </c>
      <c r="B11" s="400"/>
      <c r="C11" s="401">
        <v>8.8038999999999987</v>
      </c>
      <c r="D11" s="401">
        <v>9.2055000000000007</v>
      </c>
      <c r="E11" s="401">
        <v>2.1485000000000003</v>
      </c>
      <c r="F11" s="776">
        <f t="shared" si="0"/>
        <v>-4.3626093096518548E-2</v>
      </c>
    </row>
    <row r="12" spans="1:6" s="299" customFormat="1" ht="9" customHeight="1">
      <c r="A12" s="520" t="s">
        <v>236</v>
      </c>
      <c r="B12" s="299" t="s">
        <v>313</v>
      </c>
      <c r="C12" s="493">
        <v>0</v>
      </c>
      <c r="D12" s="493">
        <v>0</v>
      </c>
      <c r="E12" s="493">
        <v>0</v>
      </c>
      <c r="F12" s="777" t="str">
        <f t="shared" si="0"/>
        <v/>
      </c>
    </row>
    <row r="13" spans="1:6" s="299" customFormat="1" ht="9" customHeight="1">
      <c r="A13" s="521" t="s">
        <v>499</v>
      </c>
      <c r="B13" s="400"/>
      <c r="C13" s="401">
        <v>0</v>
      </c>
      <c r="D13" s="401">
        <v>0</v>
      </c>
      <c r="E13" s="401">
        <v>0</v>
      </c>
      <c r="F13" s="776" t="str">
        <f t="shared" si="0"/>
        <v/>
      </c>
    </row>
    <row r="14" spans="1:6" s="299" customFormat="1" ht="9" customHeight="1">
      <c r="A14" s="520" t="s">
        <v>443</v>
      </c>
      <c r="B14" s="299" t="s">
        <v>80</v>
      </c>
      <c r="C14" s="493">
        <v>0</v>
      </c>
      <c r="D14" s="493">
        <v>0</v>
      </c>
      <c r="E14" s="493">
        <v>0</v>
      </c>
      <c r="F14" s="777" t="str">
        <f t="shared" si="0"/>
        <v/>
      </c>
    </row>
    <row r="15" spans="1:6" s="299" customFormat="1" ht="9" customHeight="1">
      <c r="A15" s="521" t="s">
        <v>500</v>
      </c>
      <c r="B15" s="400"/>
      <c r="C15" s="401">
        <v>0</v>
      </c>
      <c r="D15" s="401">
        <v>0</v>
      </c>
      <c r="E15" s="401">
        <v>0</v>
      </c>
      <c r="F15" s="776" t="str">
        <f t="shared" si="0"/>
        <v/>
      </c>
    </row>
    <row r="16" spans="1:6" s="299" customFormat="1" ht="9" customHeight="1">
      <c r="A16" s="520" t="s">
        <v>419</v>
      </c>
      <c r="B16" s="299" t="s">
        <v>430</v>
      </c>
      <c r="C16" s="493">
        <v>9.3169399999999989</v>
      </c>
      <c r="D16" s="493">
        <v>10.14997</v>
      </c>
      <c r="E16" s="493">
        <v>19.968899999999998</v>
      </c>
      <c r="F16" s="777">
        <f t="shared" si="0"/>
        <v>-8.2072163760089967E-2</v>
      </c>
    </row>
    <row r="17" spans="1:6" s="299" customFormat="1" ht="9" customHeight="1">
      <c r="A17" s="521" t="s">
        <v>501</v>
      </c>
      <c r="B17" s="400"/>
      <c r="C17" s="401">
        <v>9.3169399999999989</v>
      </c>
      <c r="D17" s="401">
        <v>10.14997</v>
      </c>
      <c r="E17" s="401">
        <v>19.968899999999998</v>
      </c>
      <c r="F17" s="776">
        <f t="shared" si="0"/>
        <v>-8.2072163760089967E-2</v>
      </c>
    </row>
    <row r="18" spans="1:6" s="299" customFormat="1" ht="9" customHeight="1">
      <c r="A18" s="520" t="s">
        <v>102</v>
      </c>
      <c r="B18" s="299" t="s">
        <v>59</v>
      </c>
      <c r="C18" s="493">
        <v>2.9828100000000002</v>
      </c>
      <c r="D18" s="493">
        <v>8.4023299999999992</v>
      </c>
      <c r="E18" s="493">
        <v>18.776319999999998</v>
      </c>
      <c r="F18" s="777">
        <f t="shared" si="0"/>
        <v>-0.64500204110050419</v>
      </c>
    </row>
    <row r="19" spans="1:6" s="299" customFormat="1" ht="9" customHeight="1">
      <c r="A19" s="521" t="s">
        <v>502</v>
      </c>
      <c r="B19" s="400"/>
      <c r="C19" s="401">
        <v>2.9828100000000002</v>
      </c>
      <c r="D19" s="401">
        <v>8.4023299999999992</v>
      </c>
      <c r="E19" s="401">
        <v>18.776319999999998</v>
      </c>
      <c r="F19" s="776">
        <f t="shared" si="0"/>
        <v>-0.64500204110050419</v>
      </c>
    </row>
    <row r="20" spans="1:6" s="299" customFormat="1" ht="9" customHeight="1">
      <c r="A20" s="520" t="s">
        <v>237</v>
      </c>
      <c r="B20" s="299" t="s">
        <v>314</v>
      </c>
      <c r="C20" s="493">
        <v>0</v>
      </c>
      <c r="D20" s="493">
        <v>0</v>
      </c>
      <c r="E20" s="493">
        <v>0</v>
      </c>
      <c r="F20" s="777" t="str">
        <f t="shared" si="0"/>
        <v/>
      </c>
    </row>
    <row r="21" spans="1:6" s="299" customFormat="1" ht="9" customHeight="1">
      <c r="A21" s="521" t="s">
        <v>503</v>
      </c>
      <c r="B21" s="400"/>
      <c r="C21" s="401">
        <v>0</v>
      </c>
      <c r="D21" s="401">
        <v>0</v>
      </c>
      <c r="E21" s="401">
        <v>0</v>
      </c>
      <c r="F21" s="776" t="str">
        <f t="shared" si="0"/>
        <v/>
      </c>
    </row>
    <row r="22" spans="1:6" s="299" customFormat="1" ht="9" customHeight="1">
      <c r="A22" s="520" t="s">
        <v>93</v>
      </c>
      <c r="B22" s="299" t="s">
        <v>315</v>
      </c>
      <c r="C22" s="493">
        <v>64.177880000000002</v>
      </c>
      <c r="D22" s="493">
        <v>107.86469</v>
      </c>
      <c r="E22" s="493">
        <v>113.32571999999999</v>
      </c>
      <c r="F22" s="777">
        <f t="shared" si="0"/>
        <v>-0.4050149312068666</v>
      </c>
    </row>
    <row r="23" spans="1:6" s="299" customFormat="1" ht="9" customHeight="1">
      <c r="A23" s="520"/>
      <c r="B23" s="299" t="s">
        <v>538</v>
      </c>
      <c r="C23" s="493">
        <v>0</v>
      </c>
      <c r="D23" s="493">
        <v>0</v>
      </c>
      <c r="E23" s="493">
        <v>0</v>
      </c>
      <c r="F23" s="777"/>
    </row>
    <row r="24" spans="1:6" s="299" customFormat="1" ht="9" customHeight="1">
      <c r="A24" s="521" t="s">
        <v>504</v>
      </c>
      <c r="B24" s="400"/>
      <c r="C24" s="401">
        <v>64.177880000000002</v>
      </c>
      <c r="D24" s="401">
        <v>107.86469</v>
      </c>
      <c r="E24" s="401">
        <v>113.32571999999999</v>
      </c>
      <c r="F24" s="776">
        <f t="shared" si="0"/>
        <v>-0.4050149312068666</v>
      </c>
    </row>
    <row r="25" spans="1:6" s="299" customFormat="1" ht="9" customHeight="1">
      <c r="A25" s="520" t="s">
        <v>406</v>
      </c>
      <c r="B25" s="299" t="s">
        <v>435</v>
      </c>
      <c r="C25" s="493">
        <v>8.1644000000000005</v>
      </c>
      <c r="D25" s="493">
        <v>0</v>
      </c>
      <c r="E25" s="493">
        <v>7.5971299999999999</v>
      </c>
      <c r="F25" s="777" t="str">
        <f t="shared" si="0"/>
        <v/>
      </c>
    </row>
    <row r="26" spans="1:6" s="299" customFormat="1" ht="9" customHeight="1">
      <c r="A26" s="521" t="s">
        <v>505</v>
      </c>
      <c r="B26" s="400"/>
      <c r="C26" s="401">
        <v>8.1644000000000005</v>
      </c>
      <c r="D26" s="401">
        <v>0</v>
      </c>
      <c r="E26" s="401">
        <v>7.5971299999999999</v>
      </c>
      <c r="F26" s="776" t="str">
        <f t="shared" si="0"/>
        <v/>
      </c>
    </row>
    <row r="27" spans="1:6" s="299" customFormat="1" ht="9" customHeight="1">
      <c r="A27" s="520" t="s">
        <v>382</v>
      </c>
      <c r="B27" s="299" t="s">
        <v>386</v>
      </c>
      <c r="C27" s="493">
        <v>14.711</v>
      </c>
      <c r="D27" s="493">
        <v>18.613389999999999</v>
      </c>
      <c r="E27" s="493">
        <v>20.632300000000001</v>
      </c>
      <c r="F27" s="777">
        <f t="shared" si="0"/>
        <v>-0.2096549849328897</v>
      </c>
    </row>
    <row r="28" spans="1:6" s="299" customFormat="1" ht="9" customHeight="1">
      <c r="A28" s="521" t="s">
        <v>506</v>
      </c>
      <c r="B28" s="400"/>
      <c r="C28" s="401">
        <v>14.711</v>
      </c>
      <c r="D28" s="401">
        <v>18.613389999999999</v>
      </c>
      <c r="E28" s="401">
        <v>20.632300000000001</v>
      </c>
      <c r="F28" s="776">
        <f t="shared" si="0"/>
        <v>-0.2096549849328897</v>
      </c>
    </row>
    <row r="29" spans="1:6" s="299" customFormat="1" ht="9" customHeight="1">
      <c r="A29" s="520" t="s">
        <v>100</v>
      </c>
      <c r="B29" s="299" t="s">
        <v>600</v>
      </c>
      <c r="C29" s="493">
        <v>29.614000000000001</v>
      </c>
      <c r="D29" s="493">
        <v>29.71406</v>
      </c>
      <c r="E29" s="493">
        <v>2.6991200000000002</v>
      </c>
      <c r="F29" s="777">
        <f t="shared" si="0"/>
        <v>-3.3674294256658133E-3</v>
      </c>
    </row>
    <row r="30" spans="1:6" s="299" customFormat="1" ht="9" customHeight="1">
      <c r="A30" s="521" t="s">
        <v>507</v>
      </c>
      <c r="B30" s="400"/>
      <c r="C30" s="401">
        <v>29.614000000000001</v>
      </c>
      <c r="D30" s="401">
        <v>29.71406</v>
      </c>
      <c r="E30" s="401">
        <v>2.6991200000000002</v>
      </c>
      <c r="F30" s="776">
        <f t="shared" si="0"/>
        <v>-3.3674294256658133E-3</v>
      </c>
    </row>
    <row r="31" spans="1:6" s="299" customFormat="1" ht="9" customHeight="1">
      <c r="A31" s="520" t="s">
        <v>115</v>
      </c>
      <c r="B31" s="299" t="s">
        <v>316</v>
      </c>
      <c r="C31" s="493">
        <v>17.21463</v>
      </c>
      <c r="D31" s="493">
        <v>0</v>
      </c>
      <c r="E31" s="493">
        <v>0</v>
      </c>
      <c r="F31" s="777" t="str">
        <f t="shared" si="0"/>
        <v/>
      </c>
    </row>
    <row r="32" spans="1:6" s="299" customFormat="1" ht="9" customHeight="1">
      <c r="A32" s="521" t="s">
        <v>508</v>
      </c>
      <c r="B32" s="400"/>
      <c r="C32" s="401">
        <v>17.21463</v>
      </c>
      <c r="D32" s="401">
        <v>0</v>
      </c>
      <c r="E32" s="401">
        <v>0</v>
      </c>
      <c r="F32" s="776" t="str">
        <f t="shared" si="0"/>
        <v/>
      </c>
    </row>
    <row r="33" spans="1:6" s="299" customFormat="1" ht="9" customHeight="1">
      <c r="A33" s="520" t="s">
        <v>109</v>
      </c>
      <c r="B33" s="299" t="s">
        <v>431</v>
      </c>
      <c r="C33" s="493">
        <v>16.568919999999999</v>
      </c>
      <c r="D33" s="493">
        <v>15.550840000000001</v>
      </c>
      <c r="E33" s="493">
        <v>19.995460000000001</v>
      </c>
      <c r="F33" s="777">
        <f t="shared" si="0"/>
        <v>6.5467846109920513E-2</v>
      </c>
    </row>
    <row r="34" spans="1:6" s="299" customFormat="1" ht="9" customHeight="1">
      <c r="A34" s="520"/>
      <c r="B34" s="299" t="s">
        <v>67</v>
      </c>
      <c r="C34" s="493">
        <v>6.8717100000000002</v>
      </c>
      <c r="D34" s="493">
        <v>6.37195</v>
      </c>
      <c r="E34" s="493">
        <v>6.7435400000000003</v>
      </c>
      <c r="F34" s="777">
        <f t="shared" si="0"/>
        <v>7.8431249460526153E-2</v>
      </c>
    </row>
    <row r="35" spans="1:6" s="299" customFormat="1" ht="9" customHeight="1">
      <c r="A35" s="521" t="s">
        <v>509</v>
      </c>
      <c r="B35" s="400"/>
      <c r="C35" s="401">
        <v>23.440629999999999</v>
      </c>
      <c r="D35" s="401">
        <v>21.922789999999999</v>
      </c>
      <c r="E35" s="401">
        <v>26.739000000000001</v>
      </c>
      <c r="F35" s="776">
        <f t="shared" si="0"/>
        <v>6.9235713155123113E-2</v>
      </c>
    </row>
    <row r="36" spans="1:6" s="299" customFormat="1" ht="9" customHeight="1">
      <c r="A36" s="520" t="s">
        <v>88</v>
      </c>
      <c r="B36" s="299" t="s">
        <v>317</v>
      </c>
      <c r="C36" s="493">
        <v>21.927029999999998</v>
      </c>
      <c r="D36" s="493">
        <v>32.175089999999997</v>
      </c>
      <c r="E36" s="493">
        <v>45.707560000000001</v>
      </c>
      <c r="F36" s="777">
        <f t="shared" si="0"/>
        <v>-0.31850913237538725</v>
      </c>
    </row>
    <row r="37" spans="1:6" s="299" customFormat="1" ht="9" customHeight="1">
      <c r="A37" s="520"/>
      <c r="B37" s="299" t="s">
        <v>318</v>
      </c>
      <c r="C37" s="493">
        <v>100.80729000000001</v>
      </c>
      <c r="D37" s="493">
        <v>60.741749999999996</v>
      </c>
      <c r="E37" s="493">
        <v>169.29408000000001</v>
      </c>
      <c r="F37" s="777">
        <f t="shared" si="0"/>
        <v>0.65960463766684385</v>
      </c>
    </row>
    <row r="38" spans="1:6" s="299" customFormat="1" ht="9" customHeight="1">
      <c r="A38" s="520"/>
      <c r="B38" s="299" t="s">
        <v>319</v>
      </c>
      <c r="C38" s="493">
        <v>17.210979999999999</v>
      </c>
      <c r="D38" s="493">
        <v>0.85523000000000005</v>
      </c>
      <c r="E38" s="493">
        <v>37.840170000000001</v>
      </c>
      <c r="F38" s="777">
        <f t="shared" si="0"/>
        <v>19.124387591642012</v>
      </c>
    </row>
    <row r="39" spans="1:6" s="299" customFormat="1" ht="9" customHeight="1">
      <c r="A39" s="520"/>
      <c r="B39" s="299" t="s">
        <v>320</v>
      </c>
      <c r="C39" s="493">
        <v>0</v>
      </c>
      <c r="D39" s="493">
        <v>0</v>
      </c>
      <c r="E39" s="493">
        <v>0</v>
      </c>
      <c r="F39" s="777" t="str">
        <f t="shared" si="0"/>
        <v/>
      </c>
    </row>
    <row r="40" spans="1:6" s="299" customFormat="1" ht="9" customHeight="1">
      <c r="A40" s="520"/>
      <c r="B40" s="299" t="s">
        <v>321</v>
      </c>
      <c r="C40" s="493">
        <v>20.01117</v>
      </c>
      <c r="D40" s="493">
        <v>17.041559999999997</v>
      </c>
      <c r="E40" s="493">
        <v>17.480400000000003</v>
      </c>
      <c r="F40" s="777">
        <f t="shared" si="0"/>
        <v>0.17425693422433186</v>
      </c>
    </row>
    <row r="41" spans="1:6" s="299" customFormat="1" ht="9" customHeight="1">
      <c r="A41" s="520"/>
      <c r="B41" s="299" t="s">
        <v>322</v>
      </c>
      <c r="C41" s="493">
        <v>2.9456899999999999</v>
      </c>
      <c r="D41" s="493">
        <v>2.1594500000000001</v>
      </c>
      <c r="E41" s="493">
        <v>1.9678100000000001</v>
      </c>
      <c r="F41" s="777">
        <f t="shared" si="0"/>
        <v>0.36409270879159039</v>
      </c>
    </row>
    <row r="42" spans="1:6" s="299" customFormat="1" ht="9" customHeight="1">
      <c r="A42" s="520"/>
      <c r="B42" s="299" t="s">
        <v>323</v>
      </c>
      <c r="C42" s="493">
        <v>3.4508299999999998</v>
      </c>
      <c r="D42" s="493">
        <v>8.3303999999999991</v>
      </c>
      <c r="E42" s="493">
        <v>8.1571999999999996</v>
      </c>
      <c r="F42" s="777">
        <f t="shared" si="0"/>
        <v>-0.58575458561413618</v>
      </c>
    </row>
    <row r="43" spans="1:6" s="299" customFormat="1" ht="9" customHeight="1">
      <c r="A43" s="520"/>
      <c r="B43" s="299" t="s">
        <v>324</v>
      </c>
      <c r="C43" s="493">
        <v>0</v>
      </c>
      <c r="D43" s="493">
        <v>7.188699999999999</v>
      </c>
      <c r="E43" s="493">
        <v>5.0612300000000001</v>
      </c>
      <c r="F43" s="777">
        <f t="shared" si="0"/>
        <v>-1</v>
      </c>
    </row>
    <row r="44" spans="1:6" s="299" customFormat="1" ht="9" customHeight="1">
      <c r="A44" s="520"/>
      <c r="B44" s="299" t="s">
        <v>325</v>
      </c>
      <c r="C44" s="493">
        <v>1.2897500000000002</v>
      </c>
      <c r="D44" s="493">
        <v>1.42991</v>
      </c>
      <c r="E44" s="493">
        <v>3.4939400000000003</v>
      </c>
      <c r="F44" s="777">
        <f t="shared" si="0"/>
        <v>-9.8020155114657448E-2</v>
      </c>
    </row>
    <row r="45" spans="1:6" s="299" customFormat="1" ht="9" customHeight="1">
      <c r="A45" s="520"/>
      <c r="B45" s="299" t="s">
        <v>326</v>
      </c>
      <c r="C45" s="493">
        <v>0.23038</v>
      </c>
      <c r="D45" s="493">
        <v>0</v>
      </c>
      <c r="E45" s="493">
        <v>0</v>
      </c>
      <c r="F45" s="777" t="str">
        <f t="shared" si="0"/>
        <v/>
      </c>
    </row>
    <row r="46" spans="1:6" s="299" customFormat="1" ht="9" customHeight="1">
      <c r="A46" s="520"/>
      <c r="B46" s="299" t="s">
        <v>327</v>
      </c>
      <c r="C46" s="493">
        <v>0.19109999999999999</v>
      </c>
      <c r="D46" s="493">
        <v>0</v>
      </c>
      <c r="E46" s="493">
        <v>0</v>
      </c>
      <c r="F46" s="777" t="str">
        <f t="shared" si="0"/>
        <v/>
      </c>
    </row>
    <row r="47" spans="1:6" s="299" customFormat="1" ht="9" customHeight="1">
      <c r="A47" s="520"/>
      <c r="B47" s="299" t="s">
        <v>328</v>
      </c>
      <c r="C47" s="493">
        <v>65.785939999999997</v>
      </c>
      <c r="D47" s="493">
        <v>80.647480000000002</v>
      </c>
      <c r="E47" s="493">
        <v>65.310100000000006</v>
      </c>
      <c r="F47" s="777">
        <f t="shared" si="0"/>
        <v>-0.18427779764476215</v>
      </c>
    </row>
    <row r="48" spans="1:6" s="299" customFormat="1" ht="9" customHeight="1">
      <c r="A48" s="521" t="s">
        <v>510</v>
      </c>
      <c r="B48" s="400"/>
      <c r="C48" s="401">
        <v>233.85016000000002</v>
      </c>
      <c r="D48" s="401">
        <v>210.56957</v>
      </c>
      <c r="E48" s="401">
        <v>354.31249000000003</v>
      </c>
      <c r="F48" s="776">
        <f t="shared" si="0"/>
        <v>0.11056008710090448</v>
      </c>
    </row>
    <row r="49" spans="1:22" s="299" customFormat="1" ht="9" customHeight="1">
      <c r="A49" s="520" t="s">
        <v>107</v>
      </c>
      <c r="B49" s="299" t="s">
        <v>224</v>
      </c>
      <c r="C49" s="493">
        <v>0</v>
      </c>
      <c r="D49" s="493">
        <v>0</v>
      </c>
      <c r="E49" s="493">
        <v>0</v>
      </c>
      <c r="F49" s="777" t="str">
        <f t="shared" si="0"/>
        <v/>
      </c>
    </row>
    <row r="50" spans="1:22" s="299" customFormat="1" ht="9" customHeight="1">
      <c r="A50" s="521" t="s">
        <v>511</v>
      </c>
      <c r="B50" s="400"/>
      <c r="C50" s="401">
        <v>0</v>
      </c>
      <c r="D50" s="401">
        <v>0</v>
      </c>
      <c r="E50" s="401">
        <v>0</v>
      </c>
      <c r="F50" s="776" t="str">
        <f t="shared" si="0"/>
        <v/>
      </c>
    </row>
    <row r="51" spans="1:22" s="299" customFormat="1" ht="9" customHeight="1">
      <c r="A51" s="520" t="s">
        <v>98</v>
      </c>
      <c r="B51" s="299" t="s">
        <v>408</v>
      </c>
      <c r="C51" s="493">
        <v>297.69799999999998</v>
      </c>
      <c r="D51" s="493">
        <v>292.51580000000001</v>
      </c>
      <c r="E51" s="493">
        <v>282.87038000000001</v>
      </c>
      <c r="F51" s="777">
        <f t="shared" si="0"/>
        <v>1.7715966111915948E-2</v>
      </c>
    </row>
    <row r="52" spans="1:22" s="299" customFormat="1" ht="9" customHeight="1">
      <c r="A52" s="521" t="s">
        <v>512</v>
      </c>
      <c r="B52" s="400"/>
      <c r="C52" s="401">
        <v>297.69799999999998</v>
      </c>
      <c r="D52" s="401">
        <v>292.51580000000001</v>
      </c>
      <c r="E52" s="401">
        <v>282.87038000000001</v>
      </c>
      <c r="F52" s="776">
        <f t="shared" si="0"/>
        <v>1.7715966111915948E-2</v>
      </c>
    </row>
    <row r="53" spans="1:22" s="299" customFormat="1" ht="9" customHeight="1">
      <c r="A53" s="520" t="s">
        <v>103</v>
      </c>
      <c r="B53" s="299" t="s">
        <v>329</v>
      </c>
      <c r="C53" s="493">
        <v>81.633979999999994</v>
      </c>
      <c r="D53" s="493">
        <v>82.828530000000001</v>
      </c>
      <c r="E53" s="493">
        <v>63.399000000000001</v>
      </c>
      <c r="F53" s="777">
        <f t="shared" si="0"/>
        <v>-1.4421963060312737E-2</v>
      </c>
    </row>
    <row r="54" spans="1:22" s="299" customFormat="1" ht="9" customHeight="1">
      <c r="A54" s="792" t="s">
        <v>513</v>
      </c>
      <c r="B54" s="793"/>
      <c r="C54" s="794">
        <v>81.633979999999994</v>
      </c>
      <c r="D54" s="794">
        <v>82.828530000000001</v>
      </c>
      <c r="E54" s="794">
        <v>63.399000000000001</v>
      </c>
      <c r="F54" s="795">
        <f t="shared" si="0"/>
        <v>-1.4421963060312737E-2</v>
      </c>
    </row>
    <row r="55" spans="1:22" s="326" customFormat="1" ht="12" customHeight="1">
      <c r="A55" s="499" t="s">
        <v>384</v>
      </c>
      <c r="B55" s="506"/>
      <c r="C55" s="796">
        <v>7374.1586099999977</v>
      </c>
      <c r="D55" s="796">
        <v>7315.8014000000003</v>
      </c>
      <c r="E55" s="796">
        <v>7605.50612</v>
      </c>
      <c r="F55" s="797">
        <f>+IF(D55=0,"",C55/D55-1)</f>
        <v>7.9768718161208341E-3</v>
      </c>
      <c r="G55" s="270"/>
      <c r="H55" s="270"/>
      <c r="I55" s="270"/>
      <c r="J55" s="270"/>
      <c r="K55" s="270"/>
      <c r="L55" s="270"/>
      <c r="M55" s="270"/>
      <c r="N55" s="270"/>
      <c r="O55" s="270"/>
      <c r="P55" s="270"/>
      <c r="Q55" s="270"/>
      <c r="R55" s="270"/>
      <c r="S55" s="270"/>
      <c r="T55" s="270"/>
      <c r="U55" s="270"/>
      <c r="V55" s="270"/>
    </row>
    <row r="56" spans="1:22" s="326" customFormat="1" ht="12" customHeight="1">
      <c r="A56" s="395" t="s">
        <v>330</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331</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425</v>
      </c>
      <c r="B58" s="506"/>
      <c r="C58" s="385">
        <f>+C55+C56-C57</f>
        <v>7374.1586099999977</v>
      </c>
      <c r="D58" s="385">
        <f>+D55+D56-D57</f>
        <v>7315.8014000000003</v>
      </c>
      <c r="E58" s="385">
        <f>+E55+E56-E57</f>
        <v>7605.50612</v>
      </c>
      <c r="F58" s="504">
        <f>+IF(D58=0,"",C58/D58-1)</f>
        <v>7.9768718161208341E-3</v>
      </c>
    </row>
    <row r="59" spans="1:22" ht="7.15" customHeight="1">
      <c r="A59" s="299"/>
    </row>
    <row r="60" spans="1:22" ht="27.75" customHeight="1">
      <c r="A60" s="934" t="s">
        <v>596</v>
      </c>
      <c r="B60" s="934"/>
      <c r="C60" s="934"/>
      <c r="D60" s="934"/>
      <c r="E60" s="934"/>
      <c r="F60" s="934"/>
    </row>
    <row r="61" spans="1:22" ht="7.9" customHeight="1">
      <c r="A61" s="945"/>
      <c r="B61" s="945"/>
      <c r="C61" s="945"/>
      <c r="D61" s="945"/>
      <c r="E61" s="945"/>
      <c r="F61" s="945"/>
      <c r="G61" s="533"/>
    </row>
    <row r="62" spans="1:22" ht="18" customHeight="1">
      <c r="A62" s="648" t="s">
        <v>589</v>
      </c>
      <c r="B62" s="706"/>
      <c r="C62" s="706"/>
      <c r="D62" s="706"/>
      <c r="E62" s="706"/>
      <c r="F62" s="706"/>
      <c r="G62" s="533"/>
    </row>
    <row r="63" spans="1:22" ht="18" customHeight="1">
      <c r="A63" s="533" t="s">
        <v>590</v>
      </c>
      <c r="B63" s="706"/>
      <c r="C63" s="706"/>
      <c r="D63" s="706"/>
      <c r="E63" s="706"/>
      <c r="F63" s="706"/>
      <c r="G63" s="533"/>
    </row>
    <row r="64" spans="1:22" ht="18" customHeight="1">
      <c r="A64" s="533" t="s">
        <v>591</v>
      </c>
      <c r="B64" s="706"/>
      <c r="C64" s="706"/>
      <c r="D64" s="706"/>
      <c r="E64" s="706"/>
      <c r="F64" s="706"/>
      <c r="G64" s="533"/>
    </row>
    <row r="65" spans="1:7" ht="18" customHeight="1">
      <c r="A65" s="533" t="s">
        <v>601</v>
      </c>
      <c r="B65" s="706"/>
      <c r="C65" s="706"/>
      <c r="D65" s="706"/>
      <c r="E65" s="706"/>
      <c r="F65" s="706"/>
      <c r="G65" s="533"/>
    </row>
    <row r="66" spans="1:7" ht="18" customHeight="1">
      <c r="A66" s="533" t="s">
        <v>602</v>
      </c>
      <c r="B66" s="706"/>
      <c r="C66" s="706"/>
      <c r="D66" s="706"/>
      <c r="E66" s="706"/>
      <c r="F66" s="706"/>
      <c r="G66" s="533"/>
    </row>
    <row r="67" spans="1:7" ht="18" customHeight="1">
      <c r="A67" s="533" t="s">
        <v>603</v>
      </c>
      <c r="B67" s="706"/>
      <c r="C67" s="706"/>
      <c r="D67" s="706"/>
      <c r="E67" s="706"/>
      <c r="F67" s="706"/>
      <c r="G67" s="533"/>
    </row>
    <row r="68" spans="1:7" ht="18" customHeight="1">
      <c r="A68" s="533" t="s">
        <v>598</v>
      </c>
      <c r="B68" s="706"/>
      <c r="C68" s="706"/>
      <c r="D68" s="706"/>
      <c r="E68" s="706"/>
      <c r="F68" s="706"/>
      <c r="G68" s="533"/>
    </row>
    <row r="69" spans="1:7" ht="18" customHeight="1">
      <c r="A69" s="533" t="s">
        <v>599</v>
      </c>
      <c r="B69" s="706"/>
      <c r="C69" s="706"/>
      <c r="D69" s="706"/>
      <c r="E69" s="706"/>
      <c r="F69" s="706"/>
      <c r="G69" s="533"/>
    </row>
    <row r="70" spans="1:7" ht="18" customHeight="1">
      <c r="A70" s="533" t="s">
        <v>620</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7"/>
  <sheetViews>
    <sheetView showGridLines="0" view="pageLayout" zoomScale="115" zoomScaleNormal="100" zoomScaleSheetLayoutView="100" zoomScalePageLayoutView="115" workbookViewId="0">
      <selection activeCell="H20" sqref="H20"/>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343</v>
      </c>
      <c r="B3" s="271"/>
    </row>
    <row r="4" spans="1:13" ht="11.25" customHeight="1">
      <c r="B4" s="271"/>
    </row>
    <row r="5" spans="1:13" ht="11.25" customHeight="1">
      <c r="A5" s="272" t="s">
        <v>389</v>
      </c>
      <c r="C5" s="271">
        <v>7374.1586100000004</v>
      </c>
    </row>
    <row r="6" spans="1:13" ht="11.25" customHeight="1">
      <c r="A6" s="272" t="s">
        <v>344</v>
      </c>
      <c r="C6" s="271" t="s">
        <v>753</v>
      </c>
    </row>
    <row r="7" spans="1:13" ht="11.25" customHeight="1">
      <c r="A7" s="272" t="s">
        <v>345</v>
      </c>
      <c r="C7" s="271" t="s">
        <v>566</v>
      </c>
    </row>
    <row r="8" spans="1:13" ht="11.25" customHeight="1"/>
    <row r="9" spans="1:13" ht="14.25" customHeight="1">
      <c r="A9" s="946" t="s">
        <v>336</v>
      </c>
      <c r="B9" s="949" t="s">
        <v>337</v>
      </c>
      <c r="C9" s="950"/>
      <c r="D9" s="950"/>
      <c r="E9" s="950"/>
      <c r="F9" s="951"/>
      <c r="G9" s="949" t="s">
        <v>338</v>
      </c>
      <c r="H9" s="950"/>
      <c r="I9" s="950"/>
      <c r="J9" s="950"/>
      <c r="K9" s="951"/>
    </row>
    <row r="10" spans="1:13" ht="26.25" customHeight="1">
      <c r="A10" s="947"/>
      <c r="B10" s="393" t="s">
        <v>339</v>
      </c>
      <c r="C10" s="393" t="s">
        <v>192</v>
      </c>
      <c r="D10" s="393" t="s">
        <v>330</v>
      </c>
      <c r="E10" s="393" t="s">
        <v>331</v>
      </c>
      <c r="F10" s="394" t="s">
        <v>342</v>
      </c>
      <c r="G10" s="393" t="s">
        <v>339</v>
      </c>
      <c r="H10" s="393" t="s">
        <v>192</v>
      </c>
      <c r="I10" s="393" t="s">
        <v>330</v>
      </c>
      <c r="J10" s="393" t="s">
        <v>331</v>
      </c>
      <c r="K10" s="394" t="s">
        <v>342</v>
      </c>
      <c r="L10" s="36"/>
      <c r="M10" s="46"/>
    </row>
    <row r="11" spans="1:13" ht="11.25" customHeight="1">
      <c r="A11" s="948"/>
      <c r="B11" s="393" t="s">
        <v>340</v>
      </c>
      <c r="C11" s="393" t="s">
        <v>341</v>
      </c>
      <c r="D11" s="393" t="s">
        <v>341</v>
      </c>
      <c r="E11" s="393" t="s">
        <v>341</v>
      </c>
      <c r="F11" s="393" t="s">
        <v>341</v>
      </c>
      <c r="G11" s="393" t="s">
        <v>340</v>
      </c>
      <c r="H11" s="393" t="s">
        <v>341</v>
      </c>
      <c r="I11" s="393" t="s">
        <v>341</v>
      </c>
      <c r="J11" s="393" t="s">
        <v>341</v>
      </c>
      <c r="K11" s="393" t="s">
        <v>341</v>
      </c>
      <c r="L11" s="36"/>
      <c r="M11" s="46"/>
    </row>
    <row r="12" spans="1:13" ht="15" customHeight="1">
      <c r="A12" s="825" t="s">
        <v>754</v>
      </c>
      <c r="B12" s="826" t="s">
        <v>437</v>
      </c>
      <c r="C12" s="826">
        <v>7316.5469899999998</v>
      </c>
      <c r="D12" s="826">
        <v>0</v>
      </c>
      <c r="E12" s="826">
        <v>0</v>
      </c>
      <c r="F12" s="826">
        <v>7316.5469899999998</v>
      </c>
      <c r="G12" s="826" t="s">
        <v>566</v>
      </c>
      <c r="H12" s="826">
        <v>7095.7981200000004</v>
      </c>
      <c r="I12" s="826">
        <v>0</v>
      </c>
      <c r="J12" s="826">
        <v>0</v>
      </c>
      <c r="K12" s="826">
        <v>7095.7981200000004</v>
      </c>
      <c r="L12" s="205"/>
      <c r="M12" s="46"/>
    </row>
    <row r="13" spans="1:13" ht="15" customHeight="1">
      <c r="A13" s="825" t="s">
        <v>755</v>
      </c>
      <c r="B13" s="826" t="s">
        <v>438</v>
      </c>
      <c r="C13" s="826">
        <v>6998.3421099999996</v>
      </c>
      <c r="D13" s="826">
        <v>0</v>
      </c>
      <c r="E13" s="826">
        <v>0</v>
      </c>
      <c r="F13" s="826">
        <v>6998.3421099999996</v>
      </c>
      <c r="G13" s="826" t="s">
        <v>423</v>
      </c>
      <c r="H13" s="826">
        <v>7016.3702000000003</v>
      </c>
      <c r="I13" s="826">
        <v>0</v>
      </c>
      <c r="J13" s="826">
        <v>0</v>
      </c>
      <c r="K13" s="826">
        <v>7016.3702000000003</v>
      </c>
      <c r="L13" s="5"/>
    </row>
    <row r="14" spans="1:13" ht="15" customHeight="1">
      <c r="A14" s="825" t="s">
        <v>756</v>
      </c>
      <c r="B14" s="826" t="s">
        <v>757</v>
      </c>
      <c r="C14" s="826">
        <v>6403.89887</v>
      </c>
      <c r="D14" s="826">
        <v>0</v>
      </c>
      <c r="E14" s="826">
        <v>0</v>
      </c>
      <c r="F14" s="826">
        <v>6403.89887</v>
      </c>
      <c r="G14" s="826" t="s">
        <v>423</v>
      </c>
      <c r="H14" s="826">
        <v>7026.1141699999998</v>
      </c>
      <c r="I14" s="826">
        <v>0</v>
      </c>
      <c r="J14" s="826">
        <v>0</v>
      </c>
      <c r="K14" s="826">
        <v>7026.1141699999998</v>
      </c>
      <c r="L14" s="15"/>
    </row>
    <row r="15" spans="1:13" ht="15" customHeight="1">
      <c r="A15" s="825" t="s">
        <v>758</v>
      </c>
      <c r="B15" s="826" t="s">
        <v>438</v>
      </c>
      <c r="C15" s="826">
        <v>7275.8549400000002</v>
      </c>
      <c r="D15" s="826">
        <v>0</v>
      </c>
      <c r="E15" s="826">
        <v>0</v>
      </c>
      <c r="F15" s="826">
        <v>7275.8549400000002</v>
      </c>
      <c r="G15" s="826" t="s">
        <v>526</v>
      </c>
      <c r="H15" s="826">
        <v>7164.9446600000001</v>
      </c>
      <c r="I15" s="826">
        <v>0</v>
      </c>
      <c r="J15" s="826">
        <v>0</v>
      </c>
      <c r="K15" s="826">
        <v>7164.9446600000001</v>
      </c>
      <c r="L15" s="12"/>
    </row>
    <row r="16" spans="1:13" ht="15" customHeight="1">
      <c r="A16" s="825" t="s">
        <v>759</v>
      </c>
      <c r="B16" s="826" t="s">
        <v>437</v>
      </c>
      <c r="C16" s="826">
        <v>7421.9487499999996</v>
      </c>
      <c r="D16" s="826">
        <v>0</v>
      </c>
      <c r="E16" s="826">
        <v>0</v>
      </c>
      <c r="F16" s="826">
        <v>7421.9487499999996</v>
      </c>
      <c r="G16" s="826" t="s">
        <v>566</v>
      </c>
      <c r="H16" s="826">
        <v>7305.6561400000001</v>
      </c>
      <c r="I16" s="826">
        <v>0</v>
      </c>
      <c r="J16" s="826">
        <v>0</v>
      </c>
      <c r="K16" s="826">
        <v>7305.6561400000001</v>
      </c>
      <c r="L16" s="22"/>
    </row>
    <row r="17" spans="1:12" ht="15" customHeight="1">
      <c r="A17" s="825" t="s">
        <v>760</v>
      </c>
      <c r="B17" s="826" t="s">
        <v>607</v>
      </c>
      <c r="C17" s="826">
        <v>7185.9233199999999</v>
      </c>
      <c r="D17" s="826">
        <v>0</v>
      </c>
      <c r="E17" s="826">
        <v>0</v>
      </c>
      <c r="F17" s="826">
        <v>7185.9233199999999</v>
      </c>
      <c r="G17" s="826" t="s">
        <v>514</v>
      </c>
      <c r="H17" s="826">
        <v>7101.2464099999997</v>
      </c>
      <c r="I17" s="826">
        <v>0</v>
      </c>
      <c r="J17" s="826">
        <v>0</v>
      </c>
      <c r="K17" s="826">
        <v>7101.2464099999997</v>
      </c>
      <c r="L17" s="22"/>
    </row>
    <row r="18" spans="1:12" ht="15" customHeight="1">
      <c r="A18" s="825" t="s">
        <v>761</v>
      </c>
      <c r="B18" s="826" t="s">
        <v>453</v>
      </c>
      <c r="C18" s="826">
        <v>7137.1367899999996</v>
      </c>
      <c r="D18" s="826">
        <v>0</v>
      </c>
      <c r="E18" s="826">
        <v>0</v>
      </c>
      <c r="F18" s="826">
        <v>7137.1367899999996</v>
      </c>
      <c r="G18" s="826" t="s">
        <v>573</v>
      </c>
      <c r="H18" s="826">
        <v>7165.2467500000002</v>
      </c>
      <c r="I18" s="826">
        <v>0</v>
      </c>
      <c r="J18" s="826">
        <v>0</v>
      </c>
      <c r="K18" s="826">
        <v>7165.2467500000002</v>
      </c>
      <c r="L18" s="22"/>
    </row>
    <row r="19" spans="1:12" ht="15" customHeight="1">
      <c r="A19" s="825" t="s">
        <v>762</v>
      </c>
      <c r="B19" s="826" t="s">
        <v>438</v>
      </c>
      <c r="C19" s="826">
        <v>7210.1044000000002</v>
      </c>
      <c r="D19" s="826">
        <v>0</v>
      </c>
      <c r="E19" s="826">
        <v>0</v>
      </c>
      <c r="F19" s="826">
        <v>7210.1044000000002</v>
      </c>
      <c r="G19" s="826" t="s">
        <v>423</v>
      </c>
      <c r="H19" s="826">
        <v>7200.0497999999998</v>
      </c>
      <c r="I19" s="826">
        <v>0</v>
      </c>
      <c r="J19" s="826">
        <v>0</v>
      </c>
      <c r="K19" s="826">
        <v>7200.0497999999998</v>
      </c>
      <c r="L19" s="22"/>
    </row>
    <row r="20" spans="1:12" ht="15" customHeight="1">
      <c r="A20" s="825" t="s">
        <v>763</v>
      </c>
      <c r="B20" s="826" t="s">
        <v>438</v>
      </c>
      <c r="C20" s="826">
        <v>7126.0445399999999</v>
      </c>
      <c r="D20" s="826">
        <v>0</v>
      </c>
      <c r="E20" s="826">
        <v>0</v>
      </c>
      <c r="F20" s="826">
        <v>7126.0445399999999</v>
      </c>
      <c r="G20" s="826" t="s">
        <v>566</v>
      </c>
      <c r="H20" s="826">
        <v>7045.1012899999996</v>
      </c>
      <c r="I20" s="826">
        <v>0</v>
      </c>
      <c r="J20" s="826">
        <v>0</v>
      </c>
      <c r="K20" s="826">
        <v>7045.1012899999996</v>
      </c>
      <c r="L20" s="24"/>
    </row>
    <row r="21" spans="1:12" ht="15" customHeight="1">
      <c r="A21" s="825" t="s">
        <v>764</v>
      </c>
      <c r="B21" s="826" t="s">
        <v>453</v>
      </c>
      <c r="C21" s="826">
        <v>6456.7849399999996</v>
      </c>
      <c r="D21" s="826">
        <v>0</v>
      </c>
      <c r="E21" s="826">
        <v>0</v>
      </c>
      <c r="F21" s="826">
        <v>6456.7849399999996</v>
      </c>
      <c r="G21" s="826" t="s">
        <v>574</v>
      </c>
      <c r="H21" s="826">
        <v>6896.6670299999996</v>
      </c>
      <c r="I21" s="826">
        <v>0</v>
      </c>
      <c r="J21" s="826">
        <v>0</v>
      </c>
      <c r="K21" s="826">
        <v>6896.6670299999996</v>
      </c>
      <c r="L21" s="22"/>
    </row>
    <row r="22" spans="1:12" ht="15" customHeight="1">
      <c r="A22" s="825" t="s">
        <v>765</v>
      </c>
      <c r="B22" s="826" t="s">
        <v>438</v>
      </c>
      <c r="C22" s="826">
        <v>7207.4315399999996</v>
      </c>
      <c r="D22" s="826">
        <v>0</v>
      </c>
      <c r="E22" s="826">
        <v>0</v>
      </c>
      <c r="F22" s="826">
        <v>7207.4315399999996</v>
      </c>
      <c r="G22" s="826" t="s">
        <v>526</v>
      </c>
      <c r="H22" s="826">
        <v>7143.0631100000001</v>
      </c>
      <c r="I22" s="826">
        <v>0</v>
      </c>
      <c r="J22" s="826">
        <v>0</v>
      </c>
      <c r="K22" s="826">
        <v>7143.0631100000001</v>
      </c>
      <c r="L22" s="22"/>
    </row>
    <row r="23" spans="1:12" ht="15" customHeight="1">
      <c r="A23" s="825" t="s">
        <v>766</v>
      </c>
      <c r="B23" s="826" t="s">
        <v>438</v>
      </c>
      <c r="C23" s="826">
        <v>7391.5156500000003</v>
      </c>
      <c r="D23" s="826">
        <v>0</v>
      </c>
      <c r="E23" s="826">
        <v>0</v>
      </c>
      <c r="F23" s="826">
        <v>7391.5156500000003</v>
      </c>
      <c r="G23" s="826" t="s">
        <v>526</v>
      </c>
      <c r="H23" s="826">
        <v>7291.97156</v>
      </c>
      <c r="I23" s="826">
        <v>0</v>
      </c>
      <c r="J23" s="826">
        <v>0</v>
      </c>
      <c r="K23" s="826">
        <v>7291.97156</v>
      </c>
      <c r="L23" s="22"/>
    </row>
    <row r="24" spans="1:12" ht="15" customHeight="1">
      <c r="A24" s="825" t="s">
        <v>767</v>
      </c>
      <c r="B24" s="826" t="s">
        <v>438</v>
      </c>
      <c r="C24" s="826">
        <v>7284.4436500000002</v>
      </c>
      <c r="D24" s="826">
        <v>0</v>
      </c>
      <c r="E24" s="826">
        <v>0</v>
      </c>
      <c r="F24" s="826">
        <v>7284.4436500000002</v>
      </c>
      <c r="G24" s="826" t="s">
        <v>526</v>
      </c>
      <c r="H24" s="826">
        <v>7050.4984899999999</v>
      </c>
      <c r="I24" s="826">
        <v>0</v>
      </c>
      <c r="J24" s="826">
        <v>0</v>
      </c>
      <c r="K24" s="826">
        <v>7050.4984899999999</v>
      </c>
      <c r="L24" s="22"/>
    </row>
    <row r="25" spans="1:12" ht="15" customHeight="1">
      <c r="A25" s="825" t="s">
        <v>768</v>
      </c>
      <c r="B25" s="826" t="s">
        <v>769</v>
      </c>
      <c r="C25" s="826">
        <v>7067.4233199999999</v>
      </c>
      <c r="D25" s="826">
        <v>0</v>
      </c>
      <c r="E25" s="826">
        <v>0</v>
      </c>
      <c r="F25" s="826">
        <v>7067.4233199999999</v>
      </c>
      <c r="G25" s="826" t="s">
        <v>566</v>
      </c>
      <c r="H25" s="826">
        <v>7190.7686899999999</v>
      </c>
      <c r="I25" s="826">
        <v>0</v>
      </c>
      <c r="J25" s="826">
        <v>0</v>
      </c>
      <c r="K25" s="826">
        <v>7190.7686899999999</v>
      </c>
      <c r="L25" s="22"/>
    </row>
    <row r="26" spans="1:12" ht="15" customHeight="1">
      <c r="A26" s="825" t="s">
        <v>770</v>
      </c>
      <c r="B26" s="826" t="s">
        <v>437</v>
      </c>
      <c r="C26" s="826">
        <v>7186.69128</v>
      </c>
      <c r="D26" s="826">
        <v>0</v>
      </c>
      <c r="E26" s="826">
        <v>0</v>
      </c>
      <c r="F26" s="826">
        <v>7186.69128</v>
      </c>
      <c r="G26" s="826" t="s">
        <v>566</v>
      </c>
      <c r="H26" s="826">
        <v>7167.8766999999998</v>
      </c>
      <c r="I26" s="826">
        <v>0</v>
      </c>
      <c r="J26" s="826">
        <v>0</v>
      </c>
      <c r="K26" s="826">
        <v>7167.8766999999998</v>
      </c>
      <c r="L26" s="22"/>
    </row>
    <row r="27" spans="1:12" ht="15" customHeight="1">
      <c r="A27" s="825" t="s">
        <v>771</v>
      </c>
      <c r="B27" s="826" t="s">
        <v>453</v>
      </c>
      <c r="C27" s="826">
        <v>7029.2394700000004</v>
      </c>
      <c r="D27" s="826">
        <v>0</v>
      </c>
      <c r="E27" s="826">
        <v>0</v>
      </c>
      <c r="F27" s="826">
        <v>7029.2394700000004</v>
      </c>
      <c r="G27" s="826" t="s">
        <v>566</v>
      </c>
      <c r="H27" s="826">
        <v>7122.5763299999999</v>
      </c>
      <c r="I27" s="826">
        <v>0</v>
      </c>
      <c r="J27" s="826">
        <v>0</v>
      </c>
      <c r="K27" s="826">
        <v>7122.5763299999999</v>
      </c>
      <c r="L27" s="22"/>
    </row>
    <row r="28" spans="1:12" ht="15" customHeight="1">
      <c r="A28" s="825" t="s">
        <v>772</v>
      </c>
      <c r="B28" s="826" t="s">
        <v>757</v>
      </c>
      <c r="C28" s="826">
        <v>6496.5825199999999</v>
      </c>
      <c r="D28" s="826">
        <v>0</v>
      </c>
      <c r="E28" s="826">
        <v>0</v>
      </c>
      <c r="F28" s="826">
        <v>6496.5825199999999</v>
      </c>
      <c r="G28" s="826" t="s">
        <v>514</v>
      </c>
      <c r="H28" s="826">
        <v>7140.0671499999999</v>
      </c>
      <c r="I28" s="826">
        <v>0</v>
      </c>
      <c r="J28" s="826">
        <v>0</v>
      </c>
      <c r="K28" s="826">
        <v>7140.0671499999999</v>
      </c>
      <c r="L28" s="22"/>
    </row>
    <row r="29" spans="1:12" ht="16.149999999999999" customHeight="1">
      <c r="A29" s="825" t="s">
        <v>773</v>
      </c>
      <c r="B29" s="826" t="s">
        <v>438</v>
      </c>
      <c r="C29" s="826">
        <v>7464.8278</v>
      </c>
      <c r="D29" s="826">
        <v>0</v>
      </c>
      <c r="E29" s="826">
        <v>0</v>
      </c>
      <c r="F29" s="826">
        <v>7464.8278</v>
      </c>
      <c r="G29" s="826" t="s">
        <v>514</v>
      </c>
      <c r="H29" s="826">
        <v>7299.0978400000004</v>
      </c>
      <c r="I29" s="826">
        <v>0</v>
      </c>
      <c r="J29" s="826">
        <v>0</v>
      </c>
      <c r="K29" s="826">
        <v>7299.0978400000004</v>
      </c>
      <c r="L29" s="22"/>
    </row>
    <row r="30" spans="1:12" ht="16.149999999999999" customHeight="1">
      <c r="A30" s="825" t="s">
        <v>774</v>
      </c>
      <c r="B30" s="826" t="s">
        <v>453</v>
      </c>
      <c r="C30" s="826">
        <v>7392.6875700000001</v>
      </c>
      <c r="D30" s="826">
        <v>0</v>
      </c>
      <c r="E30" s="826">
        <v>0</v>
      </c>
      <c r="F30" s="826">
        <v>7392.6875700000001</v>
      </c>
      <c r="G30" s="826" t="s">
        <v>566</v>
      </c>
      <c r="H30" s="826">
        <v>7266.7402099999999</v>
      </c>
      <c r="I30" s="826">
        <v>0</v>
      </c>
      <c r="J30" s="826">
        <v>0</v>
      </c>
      <c r="K30" s="826">
        <v>7266.7402099999999</v>
      </c>
      <c r="L30" s="22"/>
    </row>
    <row r="31" spans="1:12" ht="16.149999999999999" customHeight="1">
      <c r="A31" s="825" t="s">
        <v>775</v>
      </c>
      <c r="B31" s="827" t="s">
        <v>438</v>
      </c>
      <c r="C31" s="827">
        <v>7497.6647499999999</v>
      </c>
      <c r="D31" s="827">
        <v>0</v>
      </c>
      <c r="E31" s="827">
        <v>0</v>
      </c>
      <c r="F31" s="827">
        <v>7497.6647499999999</v>
      </c>
      <c r="G31" s="826" t="s">
        <v>611</v>
      </c>
      <c r="H31" s="826">
        <v>7276.7457000000004</v>
      </c>
      <c r="I31" s="826">
        <v>0</v>
      </c>
      <c r="J31" s="826">
        <v>0</v>
      </c>
      <c r="K31" s="826">
        <v>7276.7457000000004</v>
      </c>
      <c r="L31" s="30"/>
    </row>
    <row r="32" spans="1:12" ht="16.149999999999999" customHeight="1">
      <c r="A32" s="825" t="s">
        <v>776</v>
      </c>
      <c r="B32" s="826" t="s">
        <v>607</v>
      </c>
      <c r="C32" s="826">
        <v>7360.5201699999998</v>
      </c>
      <c r="D32" s="826">
        <v>0</v>
      </c>
      <c r="E32" s="826">
        <v>0</v>
      </c>
      <c r="F32" s="826">
        <v>7360.5201699999998</v>
      </c>
      <c r="G32" s="826" t="s">
        <v>566</v>
      </c>
      <c r="H32" s="826">
        <v>7283.6362900000004</v>
      </c>
      <c r="I32" s="826">
        <v>0</v>
      </c>
      <c r="J32" s="826">
        <v>0</v>
      </c>
      <c r="K32" s="826">
        <v>7283.6362900000004</v>
      </c>
      <c r="L32" s="22"/>
    </row>
    <row r="33" spans="1:12" ht="16.149999999999999" customHeight="1">
      <c r="A33" s="825" t="s">
        <v>777</v>
      </c>
      <c r="B33" s="826" t="s">
        <v>438</v>
      </c>
      <c r="C33" s="826">
        <v>7487.4772300000004</v>
      </c>
      <c r="D33" s="826">
        <v>0</v>
      </c>
      <c r="E33" s="826">
        <v>0</v>
      </c>
      <c r="F33" s="826">
        <v>7487.4772300000004</v>
      </c>
      <c r="G33" s="826" t="s">
        <v>573</v>
      </c>
      <c r="H33" s="826">
        <v>7341.0945700000002</v>
      </c>
      <c r="I33" s="826">
        <v>0</v>
      </c>
      <c r="J33" s="826">
        <v>0</v>
      </c>
      <c r="K33" s="826">
        <v>7341.0945700000002</v>
      </c>
      <c r="L33" s="22"/>
    </row>
    <row r="34" spans="1:12" ht="16.149999999999999" customHeight="1">
      <c r="A34" s="825" t="s">
        <v>778</v>
      </c>
      <c r="B34" s="826" t="s">
        <v>438</v>
      </c>
      <c r="C34" s="826">
        <v>7381.33734</v>
      </c>
      <c r="D34" s="826">
        <v>0</v>
      </c>
      <c r="E34" s="826">
        <v>0</v>
      </c>
      <c r="F34" s="826">
        <v>7381.33734</v>
      </c>
      <c r="G34" s="826" t="s">
        <v>423</v>
      </c>
      <c r="H34" s="826">
        <v>7191.2704299999996</v>
      </c>
      <c r="I34" s="826">
        <v>0</v>
      </c>
      <c r="J34" s="826">
        <v>0</v>
      </c>
      <c r="K34" s="826">
        <v>7191.2704299999996</v>
      </c>
      <c r="L34" s="15"/>
    </row>
    <row r="35" spans="1:12" ht="16.149999999999999" customHeight="1">
      <c r="A35" s="825" t="s">
        <v>779</v>
      </c>
      <c r="B35" s="826" t="s">
        <v>438</v>
      </c>
      <c r="C35" s="826">
        <v>6571.0656799999997</v>
      </c>
      <c r="D35" s="826">
        <v>0</v>
      </c>
      <c r="E35" s="826">
        <v>0</v>
      </c>
      <c r="F35" s="826">
        <v>6571.0656799999997</v>
      </c>
      <c r="G35" s="826" t="s">
        <v>574</v>
      </c>
      <c r="H35" s="826">
        <v>7126.0235199999997</v>
      </c>
      <c r="I35" s="826">
        <v>0</v>
      </c>
      <c r="J35" s="826">
        <v>0</v>
      </c>
      <c r="K35" s="826">
        <v>7126.0235199999997</v>
      </c>
      <c r="L35" s="16"/>
    </row>
    <row r="36" spans="1:12" ht="16.149999999999999" customHeight="1">
      <c r="A36" s="825" t="s">
        <v>780</v>
      </c>
      <c r="B36" s="826" t="s">
        <v>612</v>
      </c>
      <c r="C36" s="826">
        <v>7446.5794400000004</v>
      </c>
      <c r="D36" s="826">
        <v>0</v>
      </c>
      <c r="E36" s="826">
        <v>0</v>
      </c>
      <c r="F36" s="826">
        <v>7446.5794400000004</v>
      </c>
      <c r="G36" s="826" t="s">
        <v>566</v>
      </c>
      <c r="H36" s="826">
        <v>7319.8200900000002</v>
      </c>
      <c r="I36" s="826">
        <v>0</v>
      </c>
      <c r="J36" s="826">
        <v>0</v>
      </c>
      <c r="K36" s="826">
        <v>7319.8200900000002</v>
      </c>
      <c r="L36" s="15"/>
    </row>
    <row r="37" spans="1:12" ht="16.149999999999999" customHeight="1">
      <c r="A37" s="825" t="s">
        <v>781</v>
      </c>
      <c r="B37" s="826" t="s">
        <v>438</v>
      </c>
      <c r="C37" s="826">
        <v>7472.8575700000001</v>
      </c>
      <c r="D37" s="826">
        <v>0</v>
      </c>
      <c r="E37" s="826">
        <v>0</v>
      </c>
      <c r="F37" s="826">
        <v>7472.8575700000001</v>
      </c>
      <c r="G37" s="826" t="s">
        <v>566</v>
      </c>
      <c r="H37" s="826">
        <v>7297.5219299999999</v>
      </c>
      <c r="I37" s="826">
        <v>0</v>
      </c>
      <c r="J37" s="826">
        <v>0</v>
      </c>
      <c r="K37" s="826">
        <v>7297.5219299999999</v>
      </c>
      <c r="L37" s="15"/>
    </row>
    <row r="38" spans="1:12" ht="16.149999999999999" customHeight="1">
      <c r="A38" s="825" t="s">
        <v>782</v>
      </c>
      <c r="B38" s="826" t="s">
        <v>438</v>
      </c>
      <c r="C38" s="826">
        <v>7492.6536299999998</v>
      </c>
      <c r="D38" s="826">
        <v>0</v>
      </c>
      <c r="E38" s="826">
        <v>0</v>
      </c>
      <c r="F38" s="826">
        <v>7492.6536299999998</v>
      </c>
      <c r="G38" s="826" t="s">
        <v>423</v>
      </c>
      <c r="H38" s="826">
        <v>7344.5777500000004</v>
      </c>
      <c r="I38" s="826">
        <v>0</v>
      </c>
      <c r="J38" s="826">
        <v>0</v>
      </c>
      <c r="K38" s="826">
        <v>7344.5777500000004</v>
      </c>
      <c r="L38" s="15"/>
    </row>
    <row r="39" spans="1:12" ht="16.149999999999999" customHeight="1">
      <c r="A39" s="825" t="s">
        <v>753</v>
      </c>
      <c r="B39" s="826" t="s">
        <v>453</v>
      </c>
      <c r="C39" s="826">
        <v>7380.9999299999999</v>
      </c>
      <c r="D39" s="826">
        <v>0</v>
      </c>
      <c r="E39" s="826">
        <v>0</v>
      </c>
      <c r="F39" s="826">
        <v>7380.9999299999999</v>
      </c>
      <c r="G39" s="827" t="s">
        <v>566</v>
      </c>
      <c r="H39" s="827">
        <v>7374.1586100000004</v>
      </c>
      <c r="I39" s="827">
        <v>0</v>
      </c>
      <c r="J39" s="827">
        <v>0</v>
      </c>
      <c r="K39" s="827">
        <v>7374.1586100000004</v>
      </c>
      <c r="L39" s="15"/>
    </row>
    <row r="40" spans="1:12" ht="16.149999999999999" customHeight="1">
      <c r="A40" s="825" t="s">
        <v>783</v>
      </c>
      <c r="B40" s="826" t="s">
        <v>612</v>
      </c>
      <c r="C40" s="826">
        <v>7371.2990499999996</v>
      </c>
      <c r="D40" s="826">
        <v>0</v>
      </c>
      <c r="E40" s="826">
        <v>0</v>
      </c>
      <c r="F40" s="826">
        <v>7371.2990499999996</v>
      </c>
      <c r="G40" s="826" t="s">
        <v>573</v>
      </c>
      <c r="H40" s="826">
        <v>7248.40762</v>
      </c>
      <c r="I40" s="826">
        <v>0</v>
      </c>
      <c r="J40" s="826">
        <v>0</v>
      </c>
      <c r="K40" s="826">
        <v>7248.40762</v>
      </c>
    </row>
    <row r="41" spans="1:12" ht="16.149999999999999" customHeight="1">
      <c r="A41" s="825" t="s">
        <v>784</v>
      </c>
      <c r="B41" s="826" t="s">
        <v>437</v>
      </c>
      <c r="C41" s="826">
        <v>7118.4679999999998</v>
      </c>
      <c r="D41" s="826">
        <v>0</v>
      </c>
      <c r="E41" s="826">
        <v>0</v>
      </c>
      <c r="F41" s="826">
        <v>7118.4679999999998</v>
      </c>
      <c r="G41" s="826" t="s">
        <v>423</v>
      </c>
      <c r="H41" s="826">
        <v>7081.8954700000004</v>
      </c>
      <c r="I41" s="826">
        <v>0</v>
      </c>
      <c r="J41" s="826">
        <v>0</v>
      </c>
      <c r="K41" s="826">
        <v>7081.8954700000004</v>
      </c>
    </row>
    <row r="42" spans="1:12" ht="12.75">
      <c r="A42" s="196"/>
      <c r="B42" s="197"/>
      <c r="C42" s="197"/>
      <c r="D42" s="197"/>
      <c r="E42" s="197"/>
      <c r="F42" s="197"/>
      <c r="G42" s="197"/>
      <c r="H42" s="197"/>
      <c r="I42" s="197"/>
      <c r="J42" s="197"/>
      <c r="K42" s="198"/>
    </row>
    <row r="43" spans="1:12" ht="12.75">
      <c r="A43" s="196"/>
      <c r="B43" s="197"/>
      <c r="C43" s="197"/>
      <c r="D43" s="197"/>
      <c r="E43" s="197"/>
      <c r="F43" s="197"/>
      <c r="G43" s="197"/>
      <c r="H43" s="197"/>
      <c r="I43" s="197"/>
      <c r="J43" s="197"/>
      <c r="K43" s="198"/>
    </row>
    <row r="44" spans="1:12" ht="12.75">
      <c r="A44" s="196"/>
      <c r="B44" s="200"/>
      <c r="C44" s="198"/>
      <c r="D44" s="198"/>
      <c r="E44" s="198"/>
      <c r="F44" s="198"/>
      <c r="G44" s="197"/>
      <c r="H44" s="197"/>
      <c r="I44" s="197"/>
      <c r="J44" s="197"/>
      <c r="K44" s="198"/>
    </row>
    <row r="45" spans="1:12" ht="12.75">
      <c r="A45" s="201"/>
      <c r="B45" s="202"/>
      <c r="C45" s="202"/>
      <c r="D45" s="202"/>
      <c r="E45" s="202"/>
      <c r="F45" s="202"/>
      <c r="G45" s="202"/>
      <c r="H45" s="197"/>
      <c r="I45" s="197"/>
      <c r="J45" s="197"/>
      <c r="K45" s="198"/>
    </row>
    <row r="46" spans="1:12" ht="12.75">
      <c r="A46" s="201"/>
      <c r="B46" s="202"/>
      <c r="C46" s="202"/>
      <c r="D46" s="202"/>
      <c r="E46" s="202"/>
      <c r="F46" s="202"/>
      <c r="G46" s="202"/>
      <c r="H46" s="197"/>
      <c r="I46" s="197"/>
      <c r="J46" s="197"/>
      <c r="K46" s="197"/>
    </row>
    <row r="47" spans="1:12" ht="12.75">
      <c r="A47" s="201"/>
      <c r="B47" s="202"/>
      <c r="C47" s="202"/>
      <c r="D47" s="202"/>
      <c r="E47" s="202"/>
      <c r="F47" s="202"/>
      <c r="G47" s="202"/>
      <c r="H47" s="197"/>
      <c r="I47" s="197"/>
      <c r="J47" s="197"/>
      <c r="K47"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110" zoomScaleNormal="100" zoomScaleSheetLayoutView="110" workbookViewId="0">
      <selection activeCell="B6" sqref="B6"/>
    </sheetView>
  </sheetViews>
  <sheetFormatPr baseColWidth="10" defaultColWidth="9.33203125" defaultRowHeight="9"/>
  <cols>
    <col min="1" max="1" width="15.33203125" style="558" customWidth="1"/>
    <col min="2" max="2" width="17.6640625" style="558" customWidth="1"/>
    <col min="3" max="3" width="12.83203125" style="558" bestFit="1" customWidth="1"/>
    <col min="4" max="4" width="56" style="558" customWidth="1"/>
    <col min="5" max="5" width="12.33203125" style="558" customWidth="1"/>
    <col min="6" max="6" width="10.5" style="558" customWidth="1"/>
    <col min="7" max="8" width="9.33203125" style="558" customWidth="1"/>
    <col min="9" max="16384" width="9.332031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6.599999999999994" customHeight="1">
      <c r="A3" s="568" t="s">
        <v>441</v>
      </c>
      <c r="B3" s="568" t="s">
        <v>641</v>
      </c>
      <c r="C3" s="566" t="s">
        <v>642</v>
      </c>
      <c r="D3" s="567" t="s">
        <v>643</v>
      </c>
      <c r="E3" s="568">
        <v>18.399999999999999</v>
      </c>
      <c r="F3" s="568"/>
      <c r="H3" s="563"/>
      <c r="I3" s="565"/>
    </row>
    <row r="4" spans="1:9" ht="79.5" customHeight="1">
      <c r="A4" s="568" t="s">
        <v>617</v>
      </c>
      <c r="B4" s="568" t="s">
        <v>644</v>
      </c>
      <c r="C4" s="566" t="s">
        <v>645</v>
      </c>
      <c r="D4" s="567" t="s">
        <v>646</v>
      </c>
      <c r="E4" s="568">
        <v>24.47</v>
      </c>
      <c r="F4" s="568"/>
      <c r="G4" s="569"/>
      <c r="H4" s="569"/>
      <c r="I4" s="570"/>
    </row>
    <row r="5" spans="1:9" ht="73.5" customHeight="1">
      <c r="A5" s="568" t="s">
        <v>647</v>
      </c>
      <c r="B5" s="568" t="s">
        <v>648</v>
      </c>
      <c r="C5" s="566" t="s">
        <v>649</v>
      </c>
      <c r="D5" s="567" t="s">
        <v>650</v>
      </c>
      <c r="E5" s="568">
        <v>14.3</v>
      </c>
      <c r="F5" s="568"/>
      <c r="G5" s="569"/>
      <c r="H5" s="569"/>
      <c r="I5" s="571"/>
    </row>
    <row r="6" spans="1:9" ht="50.45" customHeight="1">
      <c r="A6" s="568" t="s">
        <v>651</v>
      </c>
      <c r="B6" s="568" t="s">
        <v>652</v>
      </c>
      <c r="C6" s="566" t="s">
        <v>653</v>
      </c>
      <c r="D6" s="567" t="s">
        <v>654</v>
      </c>
      <c r="E6" s="568">
        <v>1.1000000000000001</v>
      </c>
      <c r="F6" s="568"/>
      <c r="G6" s="569"/>
      <c r="H6" s="569"/>
      <c r="I6" s="572"/>
    </row>
    <row r="7" spans="1:9" ht="51" customHeight="1">
      <c r="A7" s="568" t="s">
        <v>651</v>
      </c>
      <c r="B7" s="568" t="s">
        <v>652</v>
      </c>
      <c r="C7" s="566" t="s">
        <v>655</v>
      </c>
      <c r="D7" s="567" t="s">
        <v>656</v>
      </c>
      <c r="E7" s="568">
        <v>1.3</v>
      </c>
      <c r="F7" s="568"/>
      <c r="G7" s="569"/>
      <c r="H7" s="569"/>
      <c r="I7" s="573"/>
    </row>
    <row r="8" spans="1:9" ht="93" customHeight="1">
      <c r="A8" s="568" t="s">
        <v>93</v>
      </c>
      <c r="B8" s="568" t="s">
        <v>657</v>
      </c>
      <c r="C8" s="566" t="s">
        <v>658</v>
      </c>
      <c r="D8" s="567" t="s">
        <v>659</v>
      </c>
      <c r="E8" s="568">
        <v>5.2</v>
      </c>
      <c r="F8" s="568"/>
      <c r="G8" s="569"/>
      <c r="H8" s="569"/>
      <c r="I8" s="572"/>
    </row>
    <row r="9" spans="1:9" ht="69" customHeight="1">
      <c r="A9" s="568" t="s">
        <v>93</v>
      </c>
      <c r="B9" s="568" t="s">
        <v>657</v>
      </c>
      <c r="C9" s="566" t="s">
        <v>660</v>
      </c>
      <c r="D9" s="567" t="s">
        <v>661</v>
      </c>
      <c r="E9" s="574">
        <v>19</v>
      </c>
      <c r="F9" s="574"/>
      <c r="G9" s="569"/>
      <c r="H9" s="569"/>
      <c r="I9" s="572"/>
    </row>
    <row r="10" spans="1:9" ht="54.75" customHeight="1">
      <c r="A10" s="568" t="s">
        <v>651</v>
      </c>
      <c r="B10" s="568" t="s">
        <v>652</v>
      </c>
      <c r="C10" s="566" t="s">
        <v>662</v>
      </c>
      <c r="D10" s="567" t="s">
        <v>663</v>
      </c>
      <c r="E10" s="574">
        <v>1.53</v>
      </c>
      <c r="F10" s="574"/>
      <c r="G10" s="569"/>
      <c r="H10" s="569"/>
      <c r="I10" s="572"/>
    </row>
    <row r="11" spans="1:9" ht="58.5" customHeight="1">
      <c r="A11" s="568" t="s">
        <v>651</v>
      </c>
      <c r="B11" s="568" t="s">
        <v>652</v>
      </c>
      <c r="C11" s="566" t="s">
        <v>664</v>
      </c>
      <c r="D11" s="567" t="s">
        <v>665</v>
      </c>
      <c r="E11" s="574">
        <v>1.7</v>
      </c>
      <c r="F11" s="574" t="s">
        <v>575</v>
      </c>
      <c r="G11" s="569"/>
      <c r="H11" s="569"/>
      <c r="I11" s="572"/>
    </row>
    <row r="12" spans="1:9" ht="97.5" customHeight="1">
      <c r="A12" s="568" t="s">
        <v>666</v>
      </c>
      <c r="B12" s="568" t="s">
        <v>667</v>
      </c>
      <c r="C12" s="566" t="s">
        <v>668</v>
      </c>
      <c r="D12" s="567" t="s">
        <v>749</v>
      </c>
      <c r="E12" s="574">
        <v>51.16</v>
      </c>
      <c r="F12" s="574"/>
      <c r="G12" s="569"/>
      <c r="H12" s="569"/>
      <c r="I12" s="572"/>
    </row>
    <row r="13" spans="1:9" ht="71.25" customHeight="1">
      <c r="A13" s="568" t="s">
        <v>651</v>
      </c>
      <c r="B13" s="568" t="s">
        <v>669</v>
      </c>
      <c r="C13" s="566" t="s">
        <v>670</v>
      </c>
      <c r="D13" s="567" t="s">
        <v>671</v>
      </c>
      <c r="E13" s="574">
        <v>3.64</v>
      </c>
      <c r="F13" s="574"/>
      <c r="G13" s="569"/>
      <c r="H13" s="569"/>
      <c r="I13" s="572"/>
    </row>
    <row r="14" spans="1:9" ht="9.6" customHeight="1">
      <c r="A14" s="818"/>
      <c r="B14" s="818"/>
      <c r="C14" s="819"/>
      <c r="D14" s="820"/>
      <c r="E14" s="821"/>
      <c r="F14" s="821"/>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9"/>
  <sheetViews>
    <sheetView showGridLines="0" view="pageBreakPreview" zoomScale="115" zoomScaleNormal="100" zoomScaleSheetLayoutView="115" zoomScalePageLayoutView="130" workbookViewId="0">
      <selection activeCell="D6" sqref="D6"/>
    </sheetView>
  </sheetViews>
  <sheetFormatPr baseColWidth="10" defaultColWidth="9.33203125" defaultRowHeight="9"/>
  <cols>
    <col min="1" max="1" width="16.1640625" style="558" customWidth="1"/>
    <col min="2" max="2" width="19.6640625" style="558" customWidth="1"/>
    <col min="3" max="3" width="12.83203125" style="558" bestFit="1" customWidth="1"/>
    <col min="4" max="4" width="51.33203125" style="558" customWidth="1"/>
    <col min="5" max="5" width="12.1640625" style="558" customWidth="1"/>
    <col min="6" max="6" width="11.83203125" style="558" customWidth="1"/>
    <col min="7" max="8" width="9.33203125" style="558" customWidth="1"/>
    <col min="9" max="16384" width="9.33203125" style="558"/>
  </cols>
  <sheetData>
    <row r="1" spans="1:9" ht="11.25" customHeight="1">
      <c r="A1" s="556" t="s">
        <v>346</v>
      </c>
      <c r="B1" s="557"/>
      <c r="C1" s="557"/>
      <c r="D1" s="557"/>
      <c r="E1" s="557"/>
      <c r="F1" s="557"/>
    </row>
    <row r="2" spans="1:9" ht="30" customHeight="1">
      <c r="A2" s="559" t="s">
        <v>243</v>
      </c>
      <c r="B2" s="560" t="s">
        <v>347</v>
      </c>
      <c r="C2" s="559" t="s">
        <v>336</v>
      </c>
      <c r="D2" s="561"/>
      <c r="E2" s="562" t="s">
        <v>349</v>
      </c>
      <c r="F2" s="562" t="s">
        <v>350</v>
      </c>
      <c r="G2" s="563"/>
      <c r="H2" s="564"/>
      <c r="I2" s="565"/>
    </row>
    <row r="3" spans="1:9" ht="86.25" customHeight="1">
      <c r="A3" s="568" t="s">
        <v>441</v>
      </c>
      <c r="B3" s="568" t="s">
        <v>672</v>
      </c>
      <c r="C3" s="566" t="s">
        <v>673</v>
      </c>
      <c r="D3" s="567" t="s">
        <v>674</v>
      </c>
      <c r="E3" s="568">
        <v>11.59</v>
      </c>
      <c r="F3" s="568"/>
      <c r="G3" s="569"/>
      <c r="H3" s="569"/>
      <c r="I3" s="573"/>
    </row>
    <row r="4" spans="1:9" ht="91.5" customHeight="1">
      <c r="A4" s="568" t="s">
        <v>675</v>
      </c>
      <c r="B4" s="568" t="s">
        <v>676</v>
      </c>
      <c r="C4" s="566" t="s">
        <v>677</v>
      </c>
      <c r="D4" s="567" t="s">
        <v>750</v>
      </c>
      <c r="E4" s="568">
        <v>250</v>
      </c>
      <c r="F4" s="568"/>
      <c r="G4" s="569"/>
      <c r="H4" s="569"/>
      <c r="I4" s="573"/>
    </row>
    <row r="5" spans="1:9" ht="64.900000000000006" customHeight="1">
      <c r="A5" s="568" t="s">
        <v>613</v>
      </c>
      <c r="B5" s="568" t="s">
        <v>678</v>
      </c>
      <c r="C5" s="566" t="s">
        <v>679</v>
      </c>
      <c r="D5" s="567" t="s">
        <v>680</v>
      </c>
      <c r="E5" s="568">
        <v>14.78</v>
      </c>
      <c r="F5" s="568"/>
      <c r="G5" s="569"/>
      <c r="H5" s="569"/>
      <c r="I5" s="573"/>
    </row>
    <row r="6" spans="1:9" ht="72.75" customHeight="1">
      <c r="A6" s="568" t="s">
        <v>613</v>
      </c>
      <c r="B6" s="568" t="s">
        <v>681</v>
      </c>
      <c r="C6" s="566" t="s">
        <v>682</v>
      </c>
      <c r="D6" s="567" t="s">
        <v>683</v>
      </c>
      <c r="E6" s="568">
        <v>24.16</v>
      </c>
      <c r="F6" s="568"/>
      <c r="G6" s="569"/>
      <c r="H6" s="569"/>
      <c r="I6" s="573"/>
    </row>
    <row r="7" spans="1:9" ht="69.75" customHeight="1">
      <c r="A7" s="568" t="s">
        <v>684</v>
      </c>
      <c r="B7" s="568" t="s">
        <v>685</v>
      </c>
      <c r="C7" s="566" t="s">
        <v>686</v>
      </c>
      <c r="D7" s="567" t="s">
        <v>687</v>
      </c>
      <c r="E7" s="568">
        <v>26.47</v>
      </c>
      <c r="F7" s="568"/>
      <c r="G7" s="569"/>
      <c r="H7" s="569"/>
      <c r="I7" s="573"/>
    </row>
    <row r="8" spans="1:9" ht="86.25" customHeight="1">
      <c r="A8" s="568" t="s">
        <v>617</v>
      </c>
      <c r="B8" s="568" t="s">
        <v>644</v>
      </c>
      <c r="C8" s="566" t="s">
        <v>688</v>
      </c>
      <c r="D8" s="567" t="s">
        <v>751</v>
      </c>
      <c r="E8" s="568">
        <v>20.03</v>
      </c>
      <c r="F8" s="568"/>
    </row>
    <row r="9" spans="1:9" ht="78.75" customHeight="1">
      <c r="A9" s="568" t="s">
        <v>609</v>
      </c>
      <c r="B9" s="568" t="s">
        <v>689</v>
      </c>
      <c r="C9" s="566" t="s">
        <v>690</v>
      </c>
      <c r="D9" s="567" t="s">
        <v>691</v>
      </c>
      <c r="E9" s="568">
        <v>0.66</v>
      </c>
      <c r="F9" s="568"/>
    </row>
    <row r="10" spans="1:9" ht="75.75" customHeight="1">
      <c r="A10" s="568" t="s">
        <v>615</v>
      </c>
      <c r="B10" s="568" t="s">
        <v>616</v>
      </c>
      <c r="C10" s="566" t="s">
        <v>692</v>
      </c>
      <c r="D10" s="567" t="s">
        <v>693</v>
      </c>
      <c r="E10" s="568">
        <v>4</v>
      </c>
      <c r="F10" s="568"/>
    </row>
    <row r="11" spans="1:9" ht="72.75" customHeight="1">
      <c r="A11" s="568" t="s">
        <v>613</v>
      </c>
      <c r="B11" s="568" t="s">
        <v>694</v>
      </c>
      <c r="C11" s="566" t="s">
        <v>695</v>
      </c>
      <c r="D11" s="567" t="s">
        <v>696</v>
      </c>
      <c r="E11" s="568">
        <v>0.59</v>
      </c>
      <c r="F11" s="568"/>
    </row>
    <row r="12" spans="1:9" ht="77.25" customHeight="1">
      <c r="A12" s="568" t="s">
        <v>613</v>
      </c>
      <c r="B12" s="568" t="s">
        <v>678</v>
      </c>
      <c r="C12" s="566" t="s">
        <v>697</v>
      </c>
      <c r="D12" s="567" t="s">
        <v>698</v>
      </c>
      <c r="E12" s="568">
        <v>13.6</v>
      </c>
      <c r="F12" s="568"/>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27"/>
  <sheetViews>
    <sheetView showGridLines="0" view="pageBreakPreview" zoomScale="130" zoomScaleNormal="100" zoomScaleSheetLayoutView="130" zoomScalePageLayoutView="145" workbookViewId="0">
      <selection activeCell="D6" sqref="D6"/>
    </sheetView>
  </sheetViews>
  <sheetFormatPr baseColWidth="10" defaultColWidth="9.33203125" defaultRowHeight="9"/>
  <cols>
    <col min="1" max="1" width="16.1640625" style="558" customWidth="1"/>
    <col min="2" max="2" width="19.6640625" style="558" customWidth="1"/>
    <col min="3" max="3" width="12.83203125" style="558" bestFit="1" customWidth="1"/>
    <col min="4" max="4" width="51.33203125" style="558" customWidth="1"/>
    <col min="5" max="5" width="12.1640625" style="558" customWidth="1"/>
    <col min="6" max="6" width="12" style="558" customWidth="1"/>
    <col min="7" max="8" width="9.33203125" style="558" customWidth="1"/>
    <col min="9" max="16384" width="9.332031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135.75" customHeight="1">
      <c r="A3" s="568" t="s">
        <v>608</v>
      </c>
      <c r="B3" s="568" t="s">
        <v>699</v>
      </c>
      <c r="C3" s="566" t="s">
        <v>700</v>
      </c>
      <c r="D3" s="567" t="s">
        <v>752</v>
      </c>
      <c r="E3" s="568">
        <v>103.9</v>
      </c>
      <c r="F3" s="568"/>
      <c r="G3" s="569"/>
      <c r="H3" s="569"/>
      <c r="I3" s="573"/>
    </row>
    <row r="4" spans="1:9" ht="66" customHeight="1">
      <c r="A4" s="568" t="s">
        <v>684</v>
      </c>
      <c r="B4" s="568" t="s">
        <v>701</v>
      </c>
      <c r="C4" s="566" t="s">
        <v>702</v>
      </c>
      <c r="D4" s="567" t="s">
        <v>703</v>
      </c>
      <c r="E4" s="568">
        <v>5.6</v>
      </c>
      <c r="F4" s="568"/>
      <c r="G4" s="569"/>
      <c r="H4" s="569"/>
      <c r="I4" s="573"/>
    </row>
    <row r="5" spans="1:9" ht="75.75" customHeight="1">
      <c r="A5" s="568" t="s">
        <v>704</v>
      </c>
      <c r="B5" s="568" t="s">
        <v>705</v>
      </c>
      <c r="C5" s="566" t="s">
        <v>706</v>
      </c>
      <c r="D5" s="567" t="s">
        <v>707</v>
      </c>
      <c r="E5" s="568">
        <v>10.67</v>
      </c>
      <c r="F5" s="568"/>
    </row>
    <row r="6" spans="1:9" ht="86.25" customHeight="1">
      <c r="A6" s="568" t="s">
        <v>441</v>
      </c>
      <c r="B6" s="568" t="s">
        <v>672</v>
      </c>
      <c r="C6" s="566" t="s">
        <v>708</v>
      </c>
      <c r="D6" s="567" t="s">
        <v>709</v>
      </c>
      <c r="E6" s="568">
        <v>10.43</v>
      </c>
      <c r="F6" s="568"/>
    </row>
    <row r="7" spans="1:9" ht="119.25" customHeight="1">
      <c r="A7" s="568" t="s">
        <v>609</v>
      </c>
      <c r="B7" s="568" t="s">
        <v>710</v>
      </c>
      <c r="C7" s="566" t="s">
        <v>711</v>
      </c>
      <c r="D7" s="567" t="s">
        <v>712</v>
      </c>
      <c r="E7" s="568">
        <v>14.2</v>
      </c>
      <c r="F7" s="568"/>
    </row>
    <row r="8" spans="1:9" ht="120" customHeight="1">
      <c r="A8" s="568" t="s">
        <v>609</v>
      </c>
      <c r="B8" s="568" t="s">
        <v>713</v>
      </c>
      <c r="C8" s="566" t="s">
        <v>714</v>
      </c>
      <c r="D8" s="567" t="s">
        <v>715</v>
      </c>
      <c r="E8" s="568">
        <v>1</v>
      </c>
      <c r="F8" s="568"/>
    </row>
    <row r="9" spans="1:9" ht="71.25" customHeight="1">
      <c r="A9" s="568" t="s">
        <v>441</v>
      </c>
      <c r="B9" s="568" t="s">
        <v>614</v>
      </c>
      <c r="C9" s="566" t="s">
        <v>716</v>
      </c>
      <c r="D9" s="567" t="s">
        <v>717</v>
      </c>
      <c r="E9" s="568">
        <v>11.5</v>
      </c>
      <c r="F9" s="568"/>
    </row>
    <row r="10" spans="1:9" ht="57.75" customHeight="1">
      <c r="A10" s="568" t="s">
        <v>613</v>
      </c>
      <c r="B10" s="568" t="s">
        <v>718</v>
      </c>
      <c r="C10" s="566" t="s">
        <v>719</v>
      </c>
      <c r="D10" s="567" t="s">
        <v>720</v>
      </c>
      <c r="E10" s="568">
        <v>4.8</v>
      </c>
      <c r="F10" s="568"/>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115" zoomScaleNormal="100" zoomScaleSheetLayoutView="115" zoomScalePageLayoutView="85" workbookViewId="0">
      <selection activeCell="P3" sqref="P3"/>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4.6640625" style="276" customWidth="1"/>
    <col min="18" max="18" width="9.33203125" style="276"/>
    <col min="19" max="22" width="9.33203125" style="665"/>
    <col min="23" max="23" width="9.33203125" style="296"/>
    <col min="24" max="16384" width="9.33203125" style="46"/>
  </cols>
  <sheetData>
    <row r="1" spans="1:17" ht="27.75" customHeight="1">
      <c r="A1" s="829" t="s">
        <v>22</v>
      </c>
      <c r="B1" s="829"/>
      <c r="C1" s="829"/>
      <c r="D1" s="829"/>
      <c r="E1" s="829"/>
      <c r="F1" s="829"/>
      <c r="G1" s="829"/>
      <c r="H1" s="829"/>
      <c r="I1" s="829"/>
      <c r="J1" s="829"/>
      <c r="K1" s="829"/>
      <c r="L1" s="829"/>
      <c r="M1" s="829"/>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36" t="str">
        <f>+UPPER(Q4)&amp;" "&amp;Q5</f>
        <v>SETIEMBRE 2023</v>
      </c>
      <c r="D3" s="836"/>
      <c r="E3" s="836"/>
      <c r="F3" s="836"/>
      <c r="G3" s="836"/>
      <c r="H3" s="836"/>
      <c r="I3" s="836"/>
      <c r="J3" s="836"/>
      <c r="K3" s="836"/>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625</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381</v>
      </c>
      <c r="B6" s="40"/>
      <c r="C6" s="40"/>
      <c r="D6" s="40"/>
      <c r="E6" s="40"/>
      <c r="F6" s="40"/>
      <c r="G6" s="40"/>
      <c r="H6" s="40"/>
      <c r="I6" s="40"/>
      <c r="J6" s="40"/>
      <c r="K6" s="40"/>
      <c r="L6" s="40"/>
      <c r="M6" s="40"/>
      <c r="N6" s="671"/>
      <c r="O6" s="671"/>
      <c r="P6" s="671"/>
      <c r="Q6" s="674">
        <v>45170</v>
      </c>
    </row>
    <row r="7" spans="1:17" ht="11.25" customHeight="1">
      <c r="A7" s="40"/>
      <c r="B7" s="40"/>
      <c r="C7" s="40"/>
      <c r="D7" s="40"/>
      <c r="E7" s="40"/>
      <c r="F7" s="40"/>
      <c r="G7" s="40"/>
      <c r="H7" s="40"/>
      <c r="I7" s="40"/>
      <c r="J7" s="40"/>
      <c r="K7" s="40"/>
      <c r="L7" s="40"/>
      <c r="M7" s="40"/>
      <c r="N7" s="671"/>
      <c r="O7" s="671"/>
      <c r="P7" s="671"/>
      <c r="Q7" s="671">
        <v>30</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setiembre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34" t="s">
        <v>785</v>
      </c>
      <c r="C12" s="834"/>
      <c r="D12" s="834"/>
      <c r="E12" s="834"/>
      <c r="F12" s="834"/>
      <c r="G12" s="834"/>
      <c r="H12" s="834"/>
      <c r="I12" s="834"/>
      <c r="J12" s="834"/>
      <c r="K12" s="834"/>
      <c r="L12" s="834"/>
      <c r="M12" s="834"/>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34" t="s">
        <v>786</v>
      </c>
      <c r="C14" s="834"/>
      <c r="D14" s="834"/>
      <c r="E14" s="834"/>
      <c r="F14" s="834"/>
      <c r="G14" s="834"/>
      <c r="H14" s="834"/>
      <c r="I14" s="834"/>
      <c r="J14" s="834"/>
      <c r="K14" s="834"/>
      <c r="L14" s="834"/>
      <c r="M14" s="834"/>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34" t="s">
        <v>787</v>
      </c>
      <c r="C16" s="834"/>
      <c r="D16" s="834"/>
      <c r="E16" s="834"/>
      <c r="F16" s="834"/>
      <c r="G16" s="834"/>
      <c r="H16" s="834"/>
      <c r="I16" s="834"/>
      <c r="J16" s="834"/>
      <c r="K16" s="834"/>
      <c r="L16" s="834"/>
      <c r="M16" s="834"/>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33" t="s">
        <v>788</v>
      </c>
      <c r="C18" s="833"/>
      <c r="D18" s="833"/>
      <c r="E18" s="833"/>
      <c r="F18" s="833"/>
      <c r="G18" s="833"/>
      <c r="H18" s="833"/>
      <c r="I18" s="833"/>
      <c r="J18" s="833"/>
      <c r="K18" s="833"/>
      <c r="L18" s="833"/>
      <c r="M18" s="833"/>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35" t="str">
        <f>+UPPER(Q4)&amp;" "&amp;Q5</f>
        <v>SETIEMBRE 2023</v>
      </c>
      <c r="D20" s="835"/>
      <c r="E20" s="835"/>
      <c r="F20" s="40"/>
      <c r="G20" s="40"/>
      <c r="H20" s="40"/>
      <c r="I20" s="835" t="str">
        <f>+UPPER(Q4)&amp;" "&amp;Q5-1</f>
        <v>SETIEMBRE 2022</v>
      </c>
      <c r="J20" s="835"/>
      <c r="K20" s="835"/>
      <c r="L20" s="835"/>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15">
        <v>1511.6390969974996</v>
      </c>
      <c r="P23" s="815">
        <v>1860.6528517199995</v>
      </c>
      <c r="Q23" s="679"/>
    </row>
    <row r="24" spans="1:18" ht="11.25" customHeight="1">
      <c r="A24" s="44"/>
      <c r="B24" s="44"/>
      <c r="C24" s="44"/>
      <c r="D24" s="44"/>
      <c r="E24" s="43"/>
      <c r="F24" s="44"/>
      <c r="G24" s="44"/>
      <c r="H24" s="44"/>
      <c r="I24" s="44"/>
      <c r="J24" s="44"/>
      <c r="K24" s="44"/>
      <c r="L24" s="44"/>
      <c r="M24" s="43"/>
      <c r="N24" s="679" t="s">
        <v>25</v>
      </c>
      <c r="O24" s="816">
        <v>2764.0918741500009</v>
      </c>
      <c r="P24" s="816">
        <v>2509.1940003674999</v>
      </c>
      <c r="Q24" s="680"/>
      <c r="R24" s="680"/>
    </row>
    <row r="25" spans="1:18" ht="11.25" customHeight="1">
      <c r="A25" s="44"/>
      <c r="B25" s="44"/>
      <c r="C25" s="44"/>
      <c r="D25" s="44"/>
      <c r="E25" s="44"/>
      <c r="F25" s="44"/>
      <c r="G25" s="44"/>
      <c r="H25" s="44"/>
      <c r="I25" s="44"/>
      <c r="J25" s="53"/>
      <c r="K25" s="53"/>
      <c r="L25" s="44"/>
      <c r="M25" s="44"/>
      <c r="N25" s="679" t="s">
        <v>26</v>
      </c>
      <c r="O25" s="816">
        <v>0</v>
      </c>
      <c r="P25" s="816">
        <v>0</v>
      </c>
      <c r="Q25" s="677"/>
    </row>
    <row r="26" spans="1:18" ht="11.25" customHeight="1">
      <c r="A26" s="44"/>
      <c r="B26" s="44"/>
      <c r="C26" s="44"/>
      <c r="D26" s="44"/>
      <c r="E26" s="44"/>
      <c r="F26" s="44"/>
      <c r="G26" s="44"/>
      <c r="H26" s="44"/>
      <c r="I26" s="44"/>
      <c r="J26" s="53"/>
      <c r="K26" s="53"/>
      <c r="L26" s="44"/>
      <c r="M26" s="44"/>
      <c r="N26" s="677" t="s">
        <v>536</v>
      </c>
      <c r="O26" s="815">
        <v>162.81346272000002</v>
      </c>
      <c r="P26" s="815">
        <v>3.1290560924999999</v>
      </c>
      <c r="Q26" s="677"/>
    </row>
    <row r="27" spans="1:18" ht="11.25" customHeight="1">
      <c r="A27" s="44"/>
      <c r="B27" s="44"/>
      <c r="C27" s="44"/>
      <c r="D27" s="44"/>
      <c r="E27" s="44"/>
      <c r="F27" s="44"/>
      <c r="G27" s="44"/>
      <c r="H27" s="44"/>
      <c r="I27" s="44"/>
      <c r="J27" s="53"/>
      <c r="K27" s="44"/>
      <c r="L27" s="44"/>
      <c r="M27" s="44"/>
      <c r="N27" s="677" t="s">
        <v>27</v>
      </c>
      <c r="O27" s="815">
        <v>37.100379517499995</v>
      </c>
      <c r="P27" s="815">
        <v>36.113519795000002</v>
      </c>
      <c r="Q27" s="677"/>
    </row>
    <row r="28" spans="1:18" ht="11.25" customHeight="1">
      <c r="A28" s="44"/>
      <c r="B28" s="44"/>
      <c r="C28" s="53"/>
      <c r="D28" s="53"/>
      <c r="E28" s="53"/>
      <c r="F28" s="53"/>
      <c r="G28" s="53"/>
      <c r="H28" s="53"/>
      <c r="I28" s="53"/>
      <c r="J28" s="53"/>
      <c r="K28" s="53"/>
      <c r="L28" s="44"/>
      <c r="M28" s="44"/>
      <c r="N28" s="677" t="s">
        <v>28</v>
      </c>
      <c r="O28" s="815">
        <v>250.44527581749998</v>
      </c>
      <c r="P28" s="815">
        <v>202.45501991499998</v>
      </c>
      <c r="Q28" s="677"/>
    </row>
    <row r="29" spans="1:18" ht="11.25" customHeight="1">
      <c r="A29" s="44"/>
      <c r="B29" s="44"/>
      <c r="C29" s="53"/>
      <c r="D29" s="53"/>
      <c r="E29" s="53"/>
      <c r="F29" s="53"/>
      <c r="G29" s="53"/>
      <c r="H29" s="53"/>
      <c r="I29" s="53"/>
      <c r="J29" s="53"/>
      <c r="K29" s="53"/>
      <c r="L29" s="44"/>
      <c r="M29" s="44"/>
      <c r="N29" s="677" t="s">
        <v>29</v>
      </c>
      <c r="O29" s="815">
        <v>100.26839323499999</v>
      </c>
      <c r="P29" s="815">
        <v>75.040616277499993</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2" t="str">
        <f>"Total = "&amp;TEXT(ROUND(SUM(O23:O29),2),"0 000,00")&amp;" GWh"</f>
        <v>Total = 4 826,36 GWh</v>
      </c>
      <c r="C47" s="832"/>
      <c r="D47" s="832"/>
      <c r="E47" s="832"/>
      <c r="F47" s="54"/>
      <c r="G47" s="54"/>
      <c r="H47" s="831" t="str">
        <f>"Total = "&amp;TEXT(ROUND(SUM(P23:P29),2),"0 000,00")&amp;" GWh"</f>
        <v>Total = 4 686,59 GWh</v>
      </c>
      <c r="I47" s="831"/>
      <c r="J47" s="831"/>
      <c r="K47" s="831"/>
      <c r="L47" s="54"/>
      <c r="M47" s="54"/>
      <c r="N47" s="672"/>
      <c r="O47" s="672"/>
      <c r="P47" s="672"/>
      <c r="Q47" s="672"/>
    </row>
    <row r="48" spans="1:17" ht="11.25" customHeight="1">
      <c r="H48" s="54"/>
      <c r="I48" s="54"/>
      <c r="J48" s="54"/>
      <c r="K48" s="54"/>
      <c r="L48" s="54"/>
      <c r="M48" s="54"/>
      <c r="N48" s="672"/>
      <c r="O48" s="672"/>
      <c r="P48" s="672"/>
      <c r="Q48" s="672"/>
    </row>
    <row r="49" spans="1:17" ht="11.25" customHeight="1">
      <c r="B49" s="830" t="str">
        <f>"Gráfico 1: Comparación de producción mensual de electricidad en "&amp;Q4&amp;" por tipo de recurso energético."</f>
        <v>Gráfico 1: Comparación de producción mensual de electricidad en setiembre por tipo de recurso energético.</v>
      </c>
      <c r="C49" s="830"/>
      <c r="D49" s="830"/>
      <c r="E49" s="830"/>
      <c r="F49" s="830"/>
      <c r="G49" s="830"/>
      <c r="H49" s="830"/>
      <c r="I49" s="830"/>
      <c r="J49" s="830"/>
      <c r="K49" s="830"/>
      <c r="L49" s="830"/>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D63E-CED6-4D04-B382-A38BA8323576}">
  <sheetPr>
    <tabColor theme="4"/>
  </sheetPr>
  <dimension ref="A1:I18"/>
  <sheetViews>
    <sheetView showGridLines="0" view="pageBreakPreview" zoomScale="130" zoomScaleNormal="100" zoomScaleSheetLayoutView="130" zoomScalePageLayoutView="145" workbookViewId="0">
      <selection activeCell="D6" sqref="D6"/>
    </sheetView>
  </sheetViews>
  <sheetFormatPr baseColWidth="10" defaultColWidth="9.33203125" defaultRowHeight="9"/>
  <cols>
    <col min="1" max="1" width="16.1640625" style="558" customWidth="1"/>
    <col min="2" max="2" width="19.6640625" style="558" customWidth="1"/>
    <col min="3" max="3" width="12.83203125" style="558" bestFit="1" customWidth="1"/>
    <col min="4" max="4" width="51.33203125" style="558" customWidth="1"/>
    <col min="5" max="5" width="12.1640625" style="558" customWidth="1"/>
    <col min="6" max="6" width="12" style="558" customWidth="1"/>
    <col min="7" max="8" width="9.33203125" style="558" customWidth="1"/>
    <col min="9" max="16384" width="9.332031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4.5" customHeight="1">
      <c r="A3" s="568" t="s">
        <v>613</v>
      </c>
      <c r="B3" s="568" t="s">
        <v>718</v>
      </c>
      <c r="C3" s="566" t="s">
        <v>721</v>
      </c>
      <c r="D3" s="567" t="s">
        <v>722</v>
      </c>
      <c r="E3" s="568">
        <v>5.74</v>
      </c>
      <c r="F3" s="568"/>
      <c r="G3" s="569"/>
      <c r="H3" s="569"/>
      <c r="I3" s="573"/>
    </row>
    <row r="4" spans="1:9" ht="116.25" customHeight="1">
      <c r="A4" s="568" t="s">
        <v>723</v>
      </c>
      <c r="B4" s="568" t="s">
        <v>724</v>
      </c>
      <c r="C4" s="566" t="s">
        <v>725</v>
      </c>
      <c r="D4" s="567" t="s">
        <v>726</v>
      </c>
      <c r="E4" s="568">
        <v>115.95</v>
      </c>
      <c r="F4" s="568"/>
      <c r="G4" s="569"/>
      <c r="H4" s="569"/>
      <c r="I4" s="573"/>
    </row>
    <row r="5" spans="1:9" ht="63" customHeight="1">
      <c r="A5" s="568" t="s">
        <v>613</v>
      </c>
      <c r="B5" s="568" t="s">
        <v>727</v>
      </c>
      <c r="C5" s="566" t="s">
        <v>728</v>
      </c>
      <c r="D5" s="567" t="s">
        <v>729</v>
      </c>
      <c r="E5" s="568">
        <v>7</v>
      </c>
      <c r="F5" s="568"/>
    </row>
    <row r="6" spans="1:9" ht="68.25" customHeight="1">
      <c r="A6" s="568" t="s">
        <v>615</v>
      </c>
      <c r="B6" s="568" t="s">
        <v>730</v>
      </c>
      <c r="C6" s="566" t="s">
        <v>731</v>
      </c>
      <c r="D6" s="567" t="s">
        <v>732</v>
      </c>
      <c r="E6" s="568">
        <v>1.58</v>
      </c>
      <c r="F6" s="568"/>
    </row>
    <row r="7" spans="1:9" ht="90" customHeight="1">
      <c r="A7" s="568" t="s">
        <v>723</v>
      </c>
      <c r="B7" s="568" t="s">
        <v>733</v>
      </c>
      <c r="C7" s="566" t="s">
        <v>734</v>
      </c>
      <c r="D7" s="567" t="s">
        <v>735</v>
      </c>
      <c r="E7" s="568">
        <v>105.03</v>
      </c>
      <c r="F7" s="568"/>
    </row>
    <row r="8" spans="1:9" ht="99" customHeight="1">
      <c r="A8" s="568" t="s">
        <v>736</v>
      </c>
      <c r="B8" s="568" t="s">
        <v>737</v>
      </c>
      <c r="C8" s="566" t="s">
        <v>738</v>
      </c>
      <c r="D8" s="567" t="s">
        <v>739</v>
      </c>
      <c r="E8" s="568">
        <v>61.47</v>
      </c>
      <c r="F8" s="568"/>
    </row>
    <row r="9" spans="1:9" ht="84" customHeight="1">
      <c r="A9" s="568" t="s">
        <v>441</v>
      </c>
      <c r="B9" s="568" t="s">
        <v>740</v>
      </c>
      <c r="C9" s="566" t="s">
        <v>741</v>
      </c>
      <c r="D9" s="567" t="s">
        <v>742</v>
      </c>
      <c r="E9" s="568">
        <v>21.35</v>
      </c>
      <c r="F9" s="568"/>
    </row>
    <row r="10" spans="1:9" ht="68.25" customHeight="1">
      <c r="A10" s="568" t="s">
        <v>90</v>
      </c>
      <c r="B10" s="568" t="s">
        <v>743</v>
      </c>
      <c r="C10" s="566" t="s">
        <v>744</v>
      </c>
      <c r="D10" s="567" t="s">
        <v>745</v>
      </c>
      <c r="E10" s="568">
        <v>8.1</v>
      </c>
      <c r="F10" s="568"/>
    </row>
    <row r="11" spans="1:9" ht="102" customHeight="1">
      <c r="A11" s="568" t="s">
        <v>609</v>
      </c>
      <c r="B11" s="568" t="s">
        <v>746</v>
      </c>
      <c r="C11" s="566" t="s">
        <v>747</v>
      </c>
      <c r="D11" s="567" t="s">
        <v>748</v>
      </c>
      <c r="E11" s="568">
        <v>15.16</v>
      </c>
      <c r="F11" s="568"/>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Layout" zoomScaleNormal="100" zoomScaleSheetLayoutView="100" workbookViewId="0">
      <selection activeCell="N9" sqref="N9"/>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Normal="100" zoomScaleSheetLayoutView="100" zoomScalePageLayoutView="145" workbookViewId="0"/>
  </sheetViews>
  <sheetFormatPr baseColWidth="10" defaultColWidth="9.33203125" defaultRowHeight="11.25"/>
  <cols>
    <col min="1" max="1" width="12" style="46" customWidth="1"/>
    <col min="2" max="3" width="11" style="46" customWidth="1"/>
    <col min="4" max="4" width="14.33203125"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65"/>
    <col min="12" max="12" width="18.6640625" style="276" bestFit="1" customWidth="1"/>
    <col min="13" max="14" width="9.33203125" style="276"/>
    <col min="15" max="16" width="9.33203125" style="665"/>
    <col min="17" max="17" width="9.33203125" style="659"/>
    <col min="18" max="16384" width="9.33203125" style="46"/>
  </cols>
  <sheetData>
    <row r="2" spans="1:17" ht="16.5" customHeight="1">
      <c r="A2" s="841" t="s">
        <v>565</v>
      </c>
      <c r="B2" s="841"/>
      <c r="C2" s="841"/>
      <c r="D2" s="841"/>
      <c r="E2" s="841"/>
      <c r="F2" s="841"/>
      <c r="G2" s="841"/>
      <c r="H2" s="841"/>
      <c r="I2" s="841"/>
      <c r="J2" s="841"/>
      <c r="K2" s="683"/>
    </row>
    <row r="3" spans="1:17" ht="12" customHeight="1">
      <c r="A3" s="137"/>
      <c r="B3" s="208"/>
      <c r="C3" s="218"/>
      <c r="D3" s="219"/>
      <c r="E3" s="219"/>
      <c r="F3" s="220"/>
      <c r="G3" s="221"/>
      <c r="H3" s="221"/>
      <c r="I3" s="172"/>
      <c r="J3" s="220"/>
    </row>
    <row r="4" spans="1:17" ht="11.25" customHeight="1">
      <c r="A4" s="187" t="s">
        <v>421</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798" t="s">
        <v>551</v>
      </c>
      <c r="B6" s="799" t="s">
        <v>207</v>
      </c>
      <c r="C6" s="799" t="s">
        <v>552</v>
      </c>
      <c r="D6" s="799" t="s">
        <v>553</v>
      </c>
      <c r="E6" s="799" t="s">
        <v>554</v>
      </c>
      <c r="F6" s="800" t="s">
        <v>555</v>
      </c>
      <c r="G6" s="801" t="s">
        <v>556</v>
      </c>
      <c r="H6" s="800" t="s">
        <v>557</v>
      </c>
      <c r="I6" s="801" t="s">
        <v>558</v>
      </c>
      <c r="J6" s="802" t="s">
        <v>569</v>
      </c>
      <c r="K6" s="664"/>
    </row>
    <row r="7" spans="1:17" ht="20.45" customHeight="1">
      <c r="A7" s="803" t="s">
        <v>561</v>
      </c>
      <c r="B7" s="804" t="s">
        <v>36</v>
      </c>
      <c r="C7" s="804" t="s">
        <v>559</v>
      </c>
      <c r="D7" s="804" t="s">
        <v>562</v>
      </c>
      <c r="E7" s="804" t="s">
        <v>563</v>
      </c>
      <c r="F7" s="805" t="s">
        <v>560</v>
      </c>
      <c r="G7" s="806">
        <v>10.5</v>
      </c>
      <c r="H7" s="823">
        <v>5.4</v>
      </c>
      <c r="I7" s="807">
        <v>5.4</v>
      </c>
      <c r="J7" s="808" t="s">
        <v>564</v>
      </c>
      <c r="K7" s="664"/>
    </row>
    <row r="8" spans="1:17" ht="20.45" customHeight="1">
      <c r="A8" s="803" t="s">
        <v>85</v>
      </c>
      <c r="B8" s="804" t="s">
        <v>37</v>
      </c>
      <c r="C8" s="804" t="s">
        <v>580</v>
      </c>
      <c r="D8" s="804" t="s">
        <v>581</v>
      </c>
      <c r="E8" s="804" t="s">
        <v>582</v>
      </c>
      <c r="F8" s="805" t="s">
        <v>582</v>
      </c>
      <c r="G8" s="806">
        <v>33</v>
      </c>
      <c r="H8" s="823">
        <v>260</v>
      </c>
      <c r="I8" s="807">
        <v>260</v>
      </c>
      <c r="J8" s="808" t="s">
        <v>583</v>
      </c>
      <c r="K8" s="664"/>
    </row>
    <row r="9" spans="1:17" ht="20.45" customHeight="1">
      <c r="A9" s="803" t="s">
        <v>561</v>
      </c>
      <c r="B9" s="804" t="s">
        <v>36</v>
      </c>
      <c r="C9" s="804" t="s">
        <v>25</v>
      </c>
      <c r="D9" s="804" t="s">
        <v>571</v>
      </c>
      <c r="E9" s="804" t="s">
        <v>563</v>
      </c>
      <c r="F9" s="805" t="s">
        <v>571</v>
      </c>
      <c r="G9" s="806">
        <v>13.11</v>
      </c>
      <c r="H9" s="823">
        <v>33</v>
      </c>
      <c r="I9" s="807">
        <v>27.954999999999998</v>
      </c>
      <c r="J9" s="808" t="s">
        <v>586</v>
      </c>
      <c r="K9" s="664"/>
    </row>
    <row r="10" spans="1:17" ht="13.9" customHeight="1">
      <c r="A10" s="809" t="s">
        <v>41</v>
      </c>
      <c r="B10" s="810"/>
      <c r="C10" s="810"/>
      <c r="D10" s="810"/>
      <c r="E10" s="811"/>
      <c r="F10" s="812"/>
      <c r="G10" s="813"/>
      <c r="H10" s="824">
        <f>+H7</f>
        <v>5.4</v>
      </c>
      <c r="I10" s="824">
        <f>+I7</f>
        <v>5.4</v>
      </c>
      <c r="J10" s="824"/>
      <c r="K10" s="664"/>
    </row>
    <row r="11" spans="1:17" ht="11.25" customHeight="1">
      <c r="A11" s="187"/>
      <c r="B11" s="208"/>
      <c r="C11" s="218"/>
      <c r="D11" s="219"/>
      <c r="E11" s="219"/>
      <c r="F11" s="220"/>
      <c r="G11" s="221"/>
      <c r="H11" s="221"/>
      <c r="I11" s="172"/>
      <c r="J11" s="220"/>
      <c r="K11" s="664"/>
    </row>
    <row r="12" spans="1:17" s="222" customFormat="1" ht="13.15" customHeight="1">
      <c r="H12" s="641"/>
      <c r="I12" s="641"/>
      <c r="J12" s="642"/>
      <c r="K12" s="664"/>
      <c r="L12" s="658"/>
      <c r="M12" s="658"/>
      <c r="N12" s="658"/>
      <c r="O12" s="685"/>
      <c r="P12" s="685"/>
      <c r="Q12" s="660"/>
    </row>
    <row r="13" spans="1:17" s="222" customFormat="1" ht="10.15" customHeight="1">
      <c r="A13" s="187" t="s">
        <v>515</v>
      </c>
      <c r="B13" s="550"/>
      <c r="C13" s="550"/>
      <c r="D13" s="550"/>
      <c r="E13" s="550"/>
      <c r="F13" s="551"/>
      <c r="G13" s="552"/>
      <c r="H13" s="553"/>
      <c r="I13" s="553"/>
      <c r="J13" s="554"/>
      <c r="K13" s="664"/>
      <c r="L13" s="658"/>
      <c r="M13" s="658"/>
      <c r="N13" s="658"/>
      <c r="O13" s="685"/>
      <c r="P13" s="685"/>
      <c r="Q13" s="660"/>
    </row>
    <row r="14" spans="1:17" s="222" customFormat="1" ht="10.15" customHeight="1">
      <c r="A14" s="549"/>
      <c r="B14" s="550"/>
      <c r="C14" s="550"/>
      <c r="D14" s="550"/>
      <c r="E14" s="550"/>
      <c r="F14" s="551"/>
      <c r="G14" s="552"/>
      <c r="H14" s="553"/>
      <c r="I14" s="553"/>
      <c r="J14" s="554"/>
      <c r="K14" s="664"/>
      <c r="L14" s="658"/>
      <c r="M14" s="658"/>
      <c r="N14" s="658"/>
      <c r="O14" s="685"/>
      <c r="P14" s="685"/>
      <c r="Q14" s="660"/>
    </row>
    <row r="15" spans="1:17" s="222" customFormat="1" ht="24" customHeight="1">
      <c r="A15" s="798" t="s">
        <v>551</v>
      </c>
      <c r="B15" s="799" t="s">
        <v>207</v>
      </c>
      <c r="C15" s="799" t="s">
        <v>552</v>
      </c>
      <c r="D15" s="799" t="s">
        <v>553</v>
      </c>
      <c r="E15" s="799" t="s">
        <v>554</v>
      </c>
      <c r="F15" s="800" t="s">
        <v>555</v>
      </c>
      <c r="G15" s="801" t="s">
        <v>556</v>
      </c>
      <c r="H15" s="800" t="s">
        <v>557</v>
      </c>
      <c r="I15" s="801" t="s">
        <v>558</v>
      </c>
      <c r="J15" s="802" t="s">
        <v>570</v>
      </c>
      <c r="K15" s="684"/>
      <c r="L15" s="658"/>
      <c r="M15" s="658"/>
      <c r="N15" s="658"/>
      <c r="O15" s="685"/>
      <c r="P15" s="685"/>
      <c r="Q15" s="660"/>
    </row>
    <row r="16" spans="1:17" s="222" customFormat="1" ht="13.9" customHeight="1">
      <c r="A16" s="803" t="s">
        <v>561</v>
      </c>
      <c r="B16" s="804" t="s">
        <v>36</v>
      </c>
      <c r="C16" s="804" t="s">
        <v>25</v>
      </c>
      <c r="D16" s="804" t="s">
        <v>571</v>
      </c>
      <c r="E16" s="804" t="s">
        <v>563</v>
      </c>
      <c r="F16" s="805" t="s">
        <v>571</v>
      </c>
      <c r="G16" s="806">
        <v>10.5</v>
      </c>
      <c r="H16" s="823">
        <v>33</v>
      </c>
      <c r="I16" s="807">
        <v>27.95523</v>
      </c>
      <c r="J16" s="808" t="s">
        <v>597</v>
      </c>
      <c r="K16" s="684"/>
      <c r="L16" s="658"/>
      <c r="M16" s="658"/>
      <c r="N16" s="658"/>
      <c r="O16" s="685"/>
      <c r="P16" s="685"/>
      <c r="Q16" s="660"/>
    </row>
    <row r="17" spans="1:17" s="222" customFormat="1" ht="13.9" customHeight="1">
      <c r="A17" s="803" t="s">
        <v>576</v>
      </c>
      <c r="B17" s="804" t="s">
        <v>35</v>
      </c>
      <c r="C17" s="804" t="s">
        <v>24</v>
      </c>
      <c r="D17" s="804" t="s">
        <v>24</v>
      </c>
      <c r="E17" s="804" t="s">
        <v>578</v>
      </c>
      <c r="F17" s="805" t="s">
        <v>588</v>
      </c>
      <c r="G17" s="806">
        <v>13</v>
      </c>
      <c r="H17" s="823">
        <v>11.9</v>
      </c>
      <c r="I17" s="807">
        <v>11.9</v>
      </c>
      <c r="J17" s="808" t="s">
        <v>584</v>
      </c>
      <c r="K17" s="684"/>
      <c r="L17" s="658"/>
      <c r="M17" s="658"/>
      <c r="N17" s="658"/>
      <c r="O17" s="685"/>
      <c r="P17" s="685"/>
      <c r="Q17" s="660"/>
    </row>
    <row r="18" spans="1:17" s="222" customFormat="1" ht="13.9" customHeight="1">
      <c r="A18" s="803" t="s">
        <v>85</v>
      </c>
      <c r="B18" s="804" t="s">
        <v>35</v>
      </c>
      <c r="C18" s="804" t="s">
        <v>24</v>
      </c>
      <c r="D18" s="804" t="s">
        <v>24</v>
      </c>
      <c r="E18" s="804" t="s">
        <v>577</v>
      </c>
      <c r="F18" s="805" t="s">
        <v>579</v>
      </c>
      <c r="G18" s="806">
        <v>33</v>
      </c>
      <c r="H18" s="823">
        <v>115</v>
      </c>
      <c r="I18" s="807">
        <v>117.78</v>
      </c>
      <c r="J18" s="808" t="s">
        <v>587</v>
      </c>
      <c r="K18" s="684"/>
      <c r="L18" s="658"/>
      <c r="M18" s="658"/>
      <c r="N18" s="658"/>
      <c r="O18" s="685"/>
      <c r="P18" s="685"/>
      <c r="Q18" s="660"/>
    </row>
    <row r="19" spans="1:17" s="222" customFormat="1" ht="13.9" customHeight="1">
      <c r="A19" s="809" t="s">
        <v>41</v>
      </c>
      <c r="B19" s="810"/>
      <c r="C19" s="810"/>
      <c r="D19" s="810"/>
      <c r="E19" s="811"/>
      <c r="F19" s="812"/>
      <c r="G19" s="813"/>
      <c r="H19" s="824">
        <f>+SUM(H16:H18)</f>
        <v>159.9</v>
      </c>
      <c r="I19" s="824">
        <f>+SUM(I16:I18)</f>
        <v>157.63523000000001</v>
      </c>
      <c r="J19" s="814"/>
      <c r="K19" s="684"/>
      <c r="L19" s="658"/>
      <c r="M19" s="658"/>
      <c r="N19" s="658"/>
      <c r="O19" s="685"/>
      <c r="P19" s="685"/>
      <c r="Q19" s="660"/>
    </row>
    <row r="20" spans="1:17" s="222" customFormat="1" ht="13.9" customHeight="1">
      <c r="A20" s="549"/>
      <c r="B20" s="550"/>
      <c r="C20" s="550"/>
      <c r="D20" s="550"/>
      <c r="E20" s="550"/>
      <c r="F20" s="551"/>
      <c r="G20" s="552"/>
      <c r="H20" s="553"/>
      <c r="I20" s="553"/>
      <c r="J20" s="554"/>
      <c r="K20" s="684"/>
      <c r="L20" s="658"/>
      <c r="M20" s="658"/>
      <c r="N20" s="658"/>
      <c r="O20" s="685"/>
      <c r="P20" s="685"/>
      <c r="Q20" s="660"/>
    </row>
    <row r="21" spans="1:17" s="222" customFormat="1" ht="13.9" customHeight="1">
      <c r="A21" s="549"/>
      <c r="B21" s="550"/>
      <c r="C21" s="550"/>
      <c r="D21" s="550"/>
      <c r="E21" s="550"/>
      <c r="F21" s="551"/>
      <c r="G21" s="552"/>
      <c r="H21" s="553"/>
      <c r="I21" s="553"/>
      <c r="J21" s="554"/>
      <c r="K21" s="684"/>
      <c r="L21" s="658"/>
      <c r="M21" s="658"/>
      <c r="N21" s="658"/>
      <c r="O21" s="685"/>
      <c r="P21" s="685"/>
      <c r="Q21" s="660"/>
    </row>
    <row r="22" spans="1:17" ht="11.25" customHeight="1">
      <c r="A22" s="187" t="s">
        <v>449</v>
      </c>
      <c r="B22" s="132"/>
      <c r="C22" s="223"/>
      <c r="D22" s="132"/>
      <c r="E22" s="132"/>
      <c r="F22" s="132"/>
      <c r="G22" s="132"/>
      <c r="H22" s="132"/>
      <c r="I22" s="132"/>
      <c r="J22" s="132"/>
      <c r="K22" s="686"/>
    </row>
    <row r="23" spans="1:17" ht="11.25" customHeight="1">
      <c r="B23" s="132"/>
      <c r="C23" s="223"/>
      <c r="D23" s="132"/>
      <c r="E23" s="132"/>
      <c r="F23" s="132"/>
      <c r="G23" s="132"/>
      <c r="H23" s="132"/>
      <c r="I23" s="132"/>
      <c r="J23" s="132"/>
      <c r="K23" s="686"/>
    </row>
    <row r="24" spans="1:17" ht="21" customHeight="1">
      <c r="B24" s="839" t="s">
        <v>211</v>
      </c>
      <c r="C24" s="840"/>
      <c r="D24" s="358" t="str">
        <f>UPPER('1. Resumen'!Q4)&amp;" "&amp;'1. Resumen'!Q5</f>
        <v>SETIEMBRE 2023</v>
      </c>
      <c r="E24" s="358" t="str">
        <f>UPPER('1. Resumen'!Q4)&amp;" "&amp;'1. Resumen'!Q5-1</f>
        <v>SETIEMBRE 2022</v>
      </c>
      <c r="F24" s="359" t="s">
        <v>212</v>
      </c>
      <c r="G24" s="224"/>
      <c r="H24" s="224"/>
      <c r="I24" s="132"/>
      <c r="J24" s="132"/>
    </row>
    <row r="25" spans="1:17" ht="9.75" customHeight="1">
      <c r="B25" s="842" t="s">
        <v>208</v>
      </c>
      <c r="C25" s="843"/>
      <c r="D25" s="349">
        <v>5134.2882475000006</v>
      </c>
      <c r="E25" s="350">
        <v>5260.9382475000002</v>
      </c>
      <c r="F25" s="643">
        <f>+D25/E25-1</f>
        <v>-2.4073652653152422E-2</v>
      </c>
      <c r="G25" s="224"/>
      <c r="H25" s="224"/>
      <c r="I25" s="132"/>
      <c r="J25" s="132"/>
      <c r="K25" s="686"/>
    </row>
    <row r="26" spans="1:17" ht="9.75" customHeight="1">
      <c r="B26" s="844" t="s">
        <v>209</v>
      </c>
      <c r="C26" s="845"/>
      <c r="D26" s="351">
        <v>7528.9944999999998</v>
      </c>
      <c r="E26" s="352">
        <v>7605.0945000000002</v>
      </c>
      <c r="F26" s="644">
        <f>+D26/E26-1</f>
        <v>-1.0006450281452861E-2</v>
      </c>
      <c r="G26" s="225"/>
      <c r="H26" s="225"/>
      <c r="M26" s="661"/>
      <c r="N26" s="661"/>
      <c r="O26" s="687"/>
    </row>
    <row r="27" spans="1:17" ht="9.75" customHeight="1">
      <c r="B27" s="846" t="s">
        <v>210</v>
      </c>
      <c r="C27" s="847"/>
      <c r="D27" s="353">
        <v>672.2</v>
      </c>
      <c r="E27" s="354">
        <v>412.2</v>
      </c>
      <c r="F27" s="645">
        <f>+D27/E27-1</f>
        <v>0.63076176613294543</v>
      </c>
      <c r="G27" s="225"/>
      <c r="H27" s="225"/>
    </row>
    <row r="28" spans="1:17" ht="9.75" customHeight="1">
      <c r="B28" s="848" t="s">
        <v>78</v>
      </c>
      <c r="C28" s="849"/>
      <c r="D28" s="355">
        <v>282.27499999999998</v>
      </c>
      <c r="E28" s="356">
        <v>282.27499999999998</v>
      </c>
      <c r="F28" s="646">
        <f>+D28/E28-1</f>
        <v>0</v>
      </c>
      <c r="G28" s="225"/>
      <c r="H28" s="225"/>
    </row>
    <row r="29" spans="1:17" ht="10.5" customHeight="1">
      <c r="B29" s="837" t="s">
        <v>192</v>
      </c>
      <c r="C29" s="838"/>
      <c r="D29" s="357">
        <f>+SUM(D25:D28)</f>
        <v>13617.757747500002</v>
      </c>
      <c r="E29" s="357">
        <v>13560.507747500002</v>
      </c>
      <c r="F29" s="647">
        <f>+D29/E29-1</f>
        <v>4.2218183172790802E-3</v>
      </c>
      <c r="G29" s="321"/>
      <c r="H29" s="225"/>
    </row>
    <row r="30" spans="1:17" ht="11.25" customHeight="1">
      <c r="B30" s="267" t="str">
        <f>"Cuadro N° 2: Comparación de la potencia instalada en el SEIN al término de "&amp;'1. Resumen'!Q4&amp;" "&amp;'1. Resumen'!Q5-1&amp;" y "&amp;'1. Resumen'!Q4&amp;" "&amp;'1. Resumen'!Q5</f>
        <v>Cuadro N° 2: Comparación de la potencia instalada en el SEIN al término de setiembre 2022 y setiembre 2023</v>
      </c>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766"/>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9"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setiembre 2022 y setiembre 2023</v>
      </c>
      <c r="C57" s="132"/>
      <c r="D57" s="132"/>
      <c r="E57" s="132"/>
      <c r="F57" s="132"/>
      <c r="G57" s="132"/>
      <c r="H57" s="132"/>
      <c r="I57" s="132"/>
      <c r="J57" s="132"/>
    </row>
  </sheetData>
  <mergeCells count="7">
    <mergeCell ref="B29:C29"/>
    <mergeCell ref="B24:C24"/>
    <mergeCell ref="A2:J2"/>
    <mergeCell ref="B25:C25"/>
    <mergeCell ref="B26:C26"/>
    <mergeCell ref="B27:C27"/>
    <mergeCell ref="B28:C2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I13" sqref="I13"/>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3" width="9.33203125" style="46"/>
    <col min="14" max="14" width="17.6640625" style="46" bestFit="1" customWidth="1"/>
    <col min="15" max="16384" width="9.33203125" style="46"/>
  </cols>
  <sheetData>
    <row r="1" spans="1:14" ht="11.25" customHeight="1"/>
    <row r="2" spans="1:14" ht="16.5" customHeight="1">
      <c r="A2" s="854" t="s">
        <v>214</v>
      </c>
      <c r="B2" s="854"/>
      <c r="C2" s="854"/>
      <c r="D2" s="854"/>
      <c r="E2" s="854"/>
      <c r="F2" s="854"/>
      <c r="G2" s="854"/>
      <c r="H2" s="854"/>
      <c r="I2" s="854"/>
      <c r="J2" s="854"/>
      <c r="K2" s="854"/>
    </row>
    <row r="3" spans="1:14" ht="11.25" customHeight="1">
      <c r="A3" s="83"/>
      <c r="B3" s="84"/>
      <c r="C3" s="85"/>
      <c r="D3" s="86"/>
      <c r="E3" s="86"/>
      <c r="F3" s="86"/>
      <c r="G3" s="86"/>
      <c r="H3" s="83"/>
      <c r="I3" s="83"/>
      <c r="J3" s="83"/>
      <c r="K3" s="87"/>
    </row>
    <row r="4" spans="1:14" ht="11.25" customHeight="1">
      <c r="A4" s="855" t="str">
        <f>+"3.1. PRODUCCIÓN POR TIPO DE GENERACIÓN (GWh)"</f>
        <v>3.1. PRODUCCIÓN POR TIPO DE GENERACIÓN (GWh)</v>
      </c>
      <c r="B4" s="855"/>
      <c r="C4" s="855"/>
      <c r="D4" s="855"/>
      <c r="E4" s="855"/>
      <c r="F4" s="855"/>
      <c r="G4" s="855"/>
      <c r="H4" s="855"/>
      <c r="I4" s="855"/>
      <c r="J4" s="855"/>
      <c r="K4" s="855"/>
    </row>
    <row r="5" spans="1:14" ht="11.25" customHeight="1">
      <c r="A5" s="54"/>
      <c r="B5" s="88"/>
      <c r="C5" s="89"/>
      <c r="D5" s="90"/>
      <c r="E5" s="90"/>
      <c r="F5" s="90"/>
      <c r="G5" s="90"/>
      <c r="H5" s="91"/>
      <c r="I5" s="83"/>
      <c r="J5" s="83"/>
      <c r="K5" s="92"/>
    </row>
    <row r="6" spans="1:14" ht="18" customHeight="1">
      <c r="A6" s="852" t="s">
        <v>31</v>
      </c>
      <c r="B6" s="856" t="s">
        <v>32</v>
      </c>
      <c r="C6" s="857"/>
      <c r="D6" s="857"/>
      <c r="E6" s="857" t="s">
        <v>33</v>
      </c>
      <c r="F6" s="857"/>
      <c r="G6" s="858" t="str">
        <f>"Generación Acumulada a "&amp;'1. Resumen'!Q4</f>
        <v>Generación Acumulada a setiembre</v>
      </c>
      <c r="H6" s="858"/>
      <c r="I6" s="858"/>
      <c r="J6" s="858"/>
      <c r="K6" s="859"/>
    </row>
    <row r="7" spans="1:14" ht="32.25" customHeight="1">
      <c r="A7" s="853"/>
      <c r="B7" s="360">
        <f>+C7-30</f>
        <v>45112</v>
      </c>
      <c r="C7" s="360">
        <f>+D7-28</f>
        <v>45142</v>
      </c>
      <c r="D7" s="360">
        <f>+'1. Resumen'!Q6</f>
        <v>45170</v>
      </c>
      <c r="E7" s="360">
        <f>+D7-365</f>
        <v>44805</v>
      </c>
      <c r="F7" s="361" t="s">
        <v>34</v>
      </c>
      <c r="G7" s="362">
        <v>2023</v>
      </c>
      <c r="H7" s="362">
        <v>2022</v>
      </c>
      <c r="I7" s="361" t="s">
        <v>537</v>
      </c>
      <c r="J7" s="362">
        <v>2021</v>
      </c>
      <c r="K7" s="363" t="s">
        <v>520</v>
      </c>
    </row>
    <row r="8" spans="1:14" ht="15" customHeight="1">
      <c r="A8" s="116" t="s">
        <v>35</v>
      </c>
      <c r="B8" s="304">
        <v>1675.4177321</v>
      </c>
      <c r="C8" s="300">
        <v>1663.3805131775002</v>
      </c>
      <c r="D8" s="305">
        <v>1511.6390969974996</v>
      </c>
      <c r="E8" s="304">
        <v>1860.6528517199995</v>
      </c>
      <c r="F8" s="233">
        <f>IF(E8=0,"",D8/E8-1)</f>
        <v>-0.18757596528544773</v>
      </c>
      <c r="G8" s="312">
        <v>20497.643968002503</v>
      </c>
      <c r="H8" s="300">
        <v>22673.959776664997</v>
      </c>
      <c r="I8" s="237">
        <f>IF(H8=0,"",G8/H8-1)</f>
        <v>-9.5983049723068592E-2</v>
      </c>
      <c r="J8" s="304">
        <v>23074.110056099002</v>
      </c>
      <c r="K8" s="233">
        <f t="shared" ref="K8:K15" si="0">IF(J8=0,"",H8/J8-1)</f>
        <v>-1.7341959384831629E-2</v>
      </c>
    </row>
    <row r="9" spans="1:14" ht="15" customHeight="1">
      <c r="A9" s="117" t="s">
        <v>36</v>
      </c>
      <c r="B9" s="306">
        <v>2872.8930510424998</v>
      </c>
      <c r="C9" s="243">
        <v>2974.5373380974997</v>
      </c>
      <c r="D9" s="307">
        <v>2964.0057163875008</v>
      </c>
      <c r="E9" s="306">
        <v>2548.4365762550001</v>
      </c>
      <c r="F9" s="234">
        <f t="shared" ref="F9:F15" si="1">IF(E9=0,"",D9/E9-1)</f>
        <v>0.16306826860223111</v>
      </c>
      <c r="G9" s="313">
        <v>20826.659479740003</v>
      </c>
      <c r="H9" s="243">
        <v>16662.790447722502</v>
      </c>
      <c r="I9" s="238">
        <f t="shared" ref="I9:I15" si="2">IF(H9=0,"",G9/H9-1)</f>
        <v>0.24989025968256273</v>
      </c>
      <c r="J9" s="306">
        <v>15180.075255562502</v>
      </c>
      <c r="K9" s="234">
        <f t="shared" si="0"/>
        <v>9.7675088377225494E-2</v>
      </c>
    </row>
    <row r="10" spans="1:14" ht="15" customHeight="1">
      <c r="A10" s="118" t="s">
        <v>37</v>
      </c>
      <c r="B10" s="308">
        <v>188.24767344500003</v>
      </c>
      <c r="C10" s="244">
        <v>179.942927285</v>
      </c>
      <c r="D10" s="309">
        <v>250.44527581749998</v>
      </c>
      <c r="E10" s="308">
        <v>202.45501991499998</v>
      </c>
      <c r="F10" s="235">
        <f>IF(E10=0,"",D10/E10-1)</f>
        <v>0.23704157062960718</v>
      </c>
      <c r="G10" s="314">
        <v>1606.47250523</v>
      </c>
      <c r="H10" s="244">
        <v>1474.0972423825001</v>
      </c>
      <c r="I10" s="239">
        <f t="shared" si="2"/>
        <v>8.9800902573801133E-2</v>
      </c>
      <c r="J10" s="308">
        <v>1322.2768018225001</v>
      </c>
      <c r="K10" s="235">
        <f t="shared" si="0"/>
        <v>0.11481744242260405</v>
      </c>
    </row>
    <row r="11" spans="1:14" ht="15" customHeight="1">
      <c r="A11" s="117" t="s">
        <v>29</v>
      </c>
      <c r="B11" s="306">
        <v>69.0593317525</v>
      </c>
      <c r="C11" s="243">
        <v>87.827360130000017</v>
      </c>
      <c r="D11" s="307">
        <v>100.26839323499999</v>
      </c>
      <c r="E11" s="306">
        <v>75.040616277499993</v>
      </c>
      <c r="F11" s="234">
        <f>IF(E11=0,"",D11/E11-1)</f>
        <v>0.33618829653807403</v>
      </c>
      <c r="G11" s="313">
        <v>625.77223493250006</v>
      </c>
      <c r="H11" s="243">
        <v>581.2404993350001</v>
      </c>
      <c r="I11" s="238">
        <f t="shared" si="2"/>
        <v>7.6614990952022399E-2</v>
      </c>
      <c r="J11" s="306">
        <v>571.17249222250007</v>
      </c>
      <c r="K11" s="234">
        <f t="shared" si="0"/>
        <v>1.7626911746614793E-2</v>
      </c>
      <c r="N11" s="822"/>
    </row>
    <row r="12" spans="1:14" ht="15" customHeight="1">
      <c r="A12" s="145" t="s">
        <v>41</v>
      </c>
      <c r="B12" s="310">
        <f>+SUM(B8:B11)</f>
        <v>4805.6177883399996</v>
      </c>
      <c r="C12" s="301">
        <f t="shared" ref="C12:E12" si="3">+SUM(C8:C11)</f>
        <v>4905.6881386900004</v>
      </c>
      <c r="D12" s="311">
        <f t="shared" si="3"/>
        <v>4826.3584824375012</v>
      </c>
      <c r="E12" s="310">
        <f t="shared" si="3"/>
        <v>4686.5850641674988</v>
      </c>
      <c r="F12" s="236">
        <f>IF(E12=0,"",D12/E12-1)</f>
        <v>2.9824150496845947E-2</v>
      </c>
      <c r="G12" s="310">
        <f t="shared" ref="G12:H12" si="4">+SUM(G8:G11)</f>
        <v>43556.548187905006</v>
      </c>
      <c r="H12" s="301">
        <f t="shared" si="4"/>
        <v>41392.087966104998</v>
      </c>
      <c r="I12" s="240">
        <f>IF(H12=0,"",G12/H12-1)</f>
        <v>5.2291641426072344E-2</v>
      </c>
      <c r="J12" s="310">
        <f>+SUM(J8:J11)</f>
        <v>40147.634605706502</v>
      </c>
      <c r="K12" s="236">
        <f t="shared" si="0"/>
        <v>3.0996928526932699E-2</v>
      </c>
    </row>
    <row r="13" spans="1:14" ht="15" customHeight="1">
      <c r="A13" s="112"/>
      <c r="B13" s="112"/>
      <c r="C13" s="112"/>
      <c r="D13" s="112"/>
      <c r="E13" s="112"/>
      <c r="F13" s="114"/>
      <c r="G13" s="112"/>
      <c r="H13" s="112"/>
      <c r="I13" s="580"/>
      <c r="J13" s="113"/>
      <c r="K13" s="114" t="str">
        <f t="shared" si="0"/>
        <v/>
      </c>
    </row>
    <row r="14" spans="1:14" ht="15" customHeight="1">
      <c r="A14" s="119" t="s">
        <v>38</v>
      </c>
      <c r="B14" s="231">
        <v>8.1428750999999977</v>
      </c>
      <c r="C14" s="232">
        <v>2.6124526299999995</v>
      </c>
      <c r="D14" s="303">
        <v>0</v>
      </c>
      <c r="E14" s="231">
        <v>0</v>
      </c>
      <c r="F14" s="120" t="str">
        <f>IF(E14=0,"",D14/E14-1)</f>
        <v/>
      </c>
      <c r="G14" s="231">
        <v>12.852016489999999</v>
      </c>
      <c r="H14" s="232">
        <v>32.101867080000005</v>
      </c>
      <c r="I14" s="123">
        <f t="shared" si="2"/>
        <v>-0.59964894073070851</v>
      </c>
      <c r="J14" s="231">
        <v>39.028395110000005</v>
      </c>
      <c r="K14" s="120">
        <f t="shared" si="0"/>
        <v>-0.17747406754691941</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-8.1428750999999977</v>
      </c>
      <c r="C16" s="242">
        <f t="shared" ref="C16:E16" si="5">+C15-C14</f>
        <v>-2.6124526299999995</v>
      </c>
      <c r="D16" s="242">
        <f t="shared" si="5"/>
        <v>0</v>
      </c>
      <c r="E16" s="241">
        <f t="shared" si="5"/>
        <v>0</v>
      </c>
      <c r="F16" s="122"/>
      <c r="G16" s="241">
        <f t="shared" ref="G16:H16" si="6">+G15-G14</f>
        <v>-12.597591959999999</v>
      </c>
      <c r="H16" s="242">
        <f t="shared" si="6"/>
        <v>-32.101867080000005</v>
      </c>
      <c r="I16" s="124"/>
      <c r="J16" s="241">
        <f>+J15-J14</f>
        <v>-39.028395110000005</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0"/>
      <c r="C42" s="850"/>
      <c r="D42" s="850"/>
      <c r="E42" s="93"/>
      <c r="F42" s="93"/>
      <c r="G42" s="851"/>
      <c r="H42" s="851"/>
      <c r="I42" s="851"/>
      <c r="J42" s="851"/>
      <c r="K42" s="85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2.75">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227" t="str">
        <f>"Gráfico N° 4: Comparación de la producción de energía eléctrica por tipo de generación acumulada a "&amp;'1. Resumen'!Q4&amp;"."</f>
        <v>Gráfico N° 4: Comparación de la producción de energía eléctrica por tipo de generación acumulada a setiembre.</v>
      </c>
      <c r="B57" s="72"/>
      <c r="C57" s="72"/>
      <c r="D57" s="72"/>
      <c r="E57" s="72"/>
      <c r="F57" s="72"/>
      <c r="G57" s="72"/>
      <c r="H57" s="72"/>
      <c r="I57" s="102"/>
      <c r="J57" s="72"/>
      <c r="K57" s="103"/>
    </row>
    <row r="58" spans="1:11" ht="12.75">
      <c r="B58" s="72"/>
      <c r="C58" s="72"/>
      <c r="D58" s="72"/>
      <c r="E58" s="72"/>
      <c r="F58" s="72"/>
      <c r="G58" s="72"/>
      <c r="H58" s="72"/>
      <c r="I58" s="102"/>
      <c r="J58" s="72"/>
      <c r="K58" s="103"/>
    </row>
    <row r="59" spans="1:11" ht="12.75">
      <c r="A59" s="1"/>
      <c r="B59" s="72"/>
      <c r="C59" s="72"/>
      <c r="D59" s="72"/>
      <c r="E59" s="72"/>
      <c r="F59" s="72"/>
      <c r="G59" s="72"/>
      <c r="H59" s="72"/>
      <c r="I59" s="102"/>
      <c r="J59" s="72"/>
      <c r="K59" s="103"/>
    </row>
    <row r="60" spans="1:11" ht="12.75">
      <c r="A60" s="1"/>
      <c r="B60" s="72"/>
      <c r="C60" s="72"/>
      <c r="D60" s="72"/>
      <c r="E60" s="72"/>
      <c r="F60" s="72"/>
      <c r="G60" s="72"/>
      <c r="H60" s="72"/>
      <c r="I60" s="102"/>
      <c r="J60" s="72"/>
      <c r="K60" s="103"/>
    </row>
    <row r="62" spans="1:11" ht="12.75">
      <c r="A62" s="104"/>
      <c r="B62" s="105"/>
      <c r="C62" s="105"/>
      <c r="D62" s="105"/>
      <c r="E62" s="105"/>
      <c r="F62" s="105"/>
      <c r="G62" s="105"/>
      <c r="H62" s="102"/>
      <c r="I62" s="102"/>
      <c r="J62" s="105"/>
      <c r="K62" s="103"/>
    </row>
    <row r="63" spans="1:11" ht="12.75">
      <c r="A63" s="1"/>
      <c r="B63" s="72"/>
      <c r="C63" s="72"/>
      <c r="D63" s="72"/>
      <c r="E63" s="72"/>
      <c r="F63" s="72"/>
      <c r="G63" s="72"/>
      <c r="H63" s="72"/>
      <c r="I63" s="102"/>
      <c r="J63" s="72"/>
      <c r="K63" s="106"/>
    </row>
    <row r="64" spans="1:11" ht="12.75">
      <c r="A64" s="1"/>
      <c r="B64" s="72"/>
      <c r="C64" s="72"/>
      <c r="D64" s="72"/>
      <c r="E64" s="72"/>
      <c r="F64" s="72"/>
      <c r="G64" s="72"/>
      <c r="H64" s="72"/>
      <c r="I64" s="107"/>
      <c r="J64" s="72"/>
      <c r="K64" s="106"/>
    </row>
    <row r="65" spans="1:11" ht="12.75">
      <c r="A65" s="1"/>
      <c r="B65" s="72"/>
      <c r="C65" s="72"/>
      <c r="D65" s="72"/>
      <c r="E65" s="72"/>
      <c r="F65" s="72"/>
      <c r="G65" s="72"/>
      <c r="H65" s="108"/>
      <c r="I65" s="108"/>
      <c r="J65" s="72"/>
      <c r="K65" s="106"/>
    </row>
    <row r="66" spans="1:11" ht="12.75">
      <c r="A66" s="1"/>
      <c r="B66" s="72"/>
      <c r="C66" s="72"/>
      <c r="D66" s="72"/>
      <c r="E66" s="72"/>
      <c r="F66" s="72"/>
      <c r="G66" s="72"/>
      <c r="H66" s="108"/>
      <c r="I66" s="108"/>
      <c r="J66" s="72"/>
      <c r="K66" s="106"/>
    </row>
    <row r="67" spans="1:11" ht="12.75">
      <c r="A67" s="104"/>
      <c r="B67" s="105"/>
      <c r="C67" s="105"/>
      <c r="D67" s="105"/>
      <c r="E67" s="105"/>
      <c r="F67" s="105"/>
      <c r="G67" s="105"/>
      <c r="H67" s="109"/>
      <c r="I67" s="102"/>
      <c r="J67" s="105"/>
      <c r="K67" s="103"/>
    </row>
    <row r="68" spans="1:11" ht="12.75">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O19" sqref="O19"/>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61" t="str">
        <f>+"3.2. PRODUCCIÓN POR TIPO DE RECURSO ENERGÉTICO (GWh)"</f>
        <v>3.2. PRODUCCIÓN POR TIPO DE RECURSO ENERGÉTICO (GWh)</v>
      </c>
      <c r="B2" s="861"/>
      <c r="C2" s="861"/>
      <c r="D2" s="861"/>
      <c r="E2" s="861"/>
      <c r="F2" s="861"/>
      <c r="G2" s="861"/>
      <c r="H2" s="861"/>
      <c r="I2" s="861"/>
      <c r="J2" s="861"/>
      <c r="K2" s="861"/>
    </row>
    <row r="3" spans="1:12" ht="18.75" customHeight="1">
      <c r="A3" s="126"/>
      <c r="B3" s="127"/>
      <c r="C3" s="128"/>
      <c r="D3" s="129"/>
      <c r="E3" s="129"/>
      <c r="F3" s="129"/>
      <c r="G3" s="130"/>
      <c r="H3" s="130"/>
      <c r="I3" s="130"/>
      <c r="J3" s="126"/>
      <c r="K3" s="126"/>
      <c r="L3" s="36"/>
    </row>
    <row r="4" spans="1:12" ht="14.25" customHeight="1">
      <c r="A4" s="865" t="s">
        <v>42</v>
      </c>
      <c r="B4" s="862" t="s">
        <v>32</v>
      </c>
      <c r="C4" s="863"/>
      <c r="D4" s="863"/>
      <c r="E4" s="863" t="s">
        <v>33</v>
      </c>
      <c r="F4" s="863"/>
      <c r="G4" s="864" t="str">
        <f>+'3. Tipo Generación'!G6:K6</f>
        <v>Generación Acumulada a setiembre</v>
      </c>
      <c r="H4" s="864"/>
      <c r="I4" s="864"/>
      <c r="J4" s="864"/>
      <c r="K4" s="864"/>
      <c r="L4" s="131"/>
    </row>
    <row r="5" spans="1:12" ht="26.25" customHeight="1">
      <c r="A5" s="865"/>
      <c r="B5" s="364">
        <f>+'3. Tipo Generación'!B7</f>
        <v>45112</v>
      </c>
      <c r="C5" s="364">
        <f>+'3. Tipo Generación'!C7</f>
        <v>45142</v>
      </c>
      <c r="D5" s="364">
        <f>+'3. Tipo Generación'!D7</f>
        <v>45170</v>
      </c>
      <c r="E5" s="364">
        <f>+'3. Tipo Generación'!E7</f>
        <v>44805</v>
      </c>
      <c r="F5" s="365" t="s">
        <v>34</v>
      </c>
      <c r="G5" s="366">
        <v>2023</v>
      </c>
      <c r="H5" s="366">
        <v>2022</v>
      </c>
      <c r="I5" s="365" t="s">
        <v>537</v>
      </c>
      <c r="J5" s="366">
        <v>2021</v>
      </c>
      <c r="K5" s="365" t="s">
        <v>520</v>
      </c>
      <c r="L5" s="19"/>
    </row>
    <row r="6" spans="1:12" ht="11.25" customHeight="1">
      <c r="A6" s="139" t="s">
        <v>43</v>
      </c>
      <c r="B6" s="278">
        <v>1675.4177321</v>
      </c>
      <c r="C6" s="279">
        <v>1663.3805131775002</v>
      </c>
      <c r="D6" s="280">
        <v>1511.6390969974996</v>
      </c>
      <c r="E6" s="278">
        <v>1860.6528517199995</v>
      </c>
      <c r="F6" s="248">
        <f>IF(E6=0,"",D6/E6-1)</f>
        <v>-0.18757596528544773</v>
      </c>
      <c r="G6" s="278">
        <v>20497.643968002503</v>
      </c>
      <c r="H6" s="279">
        <v>22673.959776664997</v>
      </c>
      <c r="I6" s="248">
        <f t="shared" ref="I6:I15" si="0">IF(H6=0,"",G6/H6-1)</f>
        <v>-9.5983049723068592E-2</v>
      </c>
      <c r="J6" s="278">
        <v>23074.110056099002</v>
      </c>
      <c r="K6" s="248">
        <f>IF(J6=0,"",H6/J6-1)</f>
        <v>-1.7341959384831629E-2</v>
      </c>
      <c r="L6" s="24"/>
    </row>
    <row r="7" spans="1:12" ht="11.25" customHeight="1">
      <c r="A7" s="140" t="s">
        <v>49</v>
      </c>
      <c r="B7" s="281">
        <v>2379.6435521075005</v>
      </c>
      <c r="C7" s="243">
        <v>2618.7970316275</v>
      </c>
      <c r="D7" s="282">
        <v>2643.0415582675014</v>
      </c>
      <c r="E7" s="281">
        <v>2396.916429895</v>
      </c>
      <c r="F7" s="249">
        <f t="shared" ref="F7:F17" si="1">IF(E7=0,"",D7/E7-1)</f>
        <v>0.10268406745548631</v>
      </c>
      <c r="G7" s="281">
        <v>18886.350226032504</v>
      </c>
      <c r="H7" s="243">
        <v>15686.830184052498</v>
      </c>
      <c r="I7" s="249">
        <f t="shared" si="0"/>
        <v>0.20396217747245671</v>
      </c>
      <c r="J7" s="281">
        <v>14160.591499210001</v>
      </c>
      <c r="K7" s="249">
        <f t="shared" ref="K7:K18" si="2">IF(J7=0,"",H7/J7-1)</f>
        <v>0.1077807155815238</v>
      </c>
      <c r="L7" s="22"/>
    </row>
    <row r="8" spans="1:12" ht="11.25" customHeight="1">
      <c r="A8" s="141" t="s">
        <v>50</v>
      </c>
      <c r="B8" s="283">
        <v>65.1625595</v>
      </c>
      <c r="C8" s="244">
        <v>69.277076249999993</v>
      </c>
      <c r="D8" s="284">
        <v>64.481121250000001</v>
      </c>
      <c r="E8" s="283">
        <v>65.371778750000004</v>
      </c>
      <c r="F8" s="323">
        <f t="shared" si="1"/>
        <v>-1.3624495417298155E-2</v>
      </c>
      <c r="G8" s="283">
        <v>553.40236525</v>
      </c>
      <c r="H8" s="244">
        <v>479.98428700000005</v>
      </c>
      <c r="I8" s="323">
        <f t="shared" si="0"/>
        <v>0.15295933687512564</v>
      </c>
      <c r="J8" s="283">
        <v>532.60915400249996</v>
      </c>
      <c r="K8" s="323">
        <f t="shared" si="2"/>
        <v>-9.8805787709485893E-2</v>
      </c>
      <c r="L8" s="22"/>
    </row>
    <row r="9" spans="1:12" ht="11.25" customHeight="1">
      <c r="A9" s="140" t="s">
        <v>51</v>
      </c>
      <c r="B9" s="281">
        <v>45.072545757500002</v>
      </c>
      <c r="C9" s="767">
        <v>37.225767304999998</v>
      </c>
      <c r="D9" s="282">
        <v>56.5691946325</v>
      </c>
      <c r="E9" s="281">
        <v>46.905791722499998</v>
      </c>
      <c r="F9" s="249">
        <f t="shared" si="1"/>
        <v>0.20601726471583293</v>
      </c>
      <c r="G9" s="281">
        <v>288.44143312</v>
      </c>
      <c r="H9" s="767">
        <v>196.87027196749997</v>
      </c>
      <c r="I9" s="249">
        <f t="shared" si="0"/>
        <v>0.4651345286281563</v>
      </c>
      <c r="J9" s="281">
        <v>189.31229674999997</v>
      </c>
      <c r="K9" s="249">
        <f t="shared" si="2"/>
        <v>3.9923319019687487E-2</v>
      </c>
      <c r="L9" s="22"/>
    </row>
    <row r="10" spans="1:12" ht="11.25" customHeight="1">
      <c r="A10" s="141" t="s">
        <v>26</v>
      </c>
      <c r="B10" s="283">
        <v>0</v>
      </c>
      <c r="C10" s="768">
        <v>0</v>
      </c>
      <c r="D10" s="284">
        <v>0</v>
      </c>
      <c r="E10" s="283">
        <v>0</v>
      </c>
      <c r="F10" s="323" t="str">
        <f t="shared" si="1"/>
        <v/>
      </c>
      <c r="G10" s="283">
        <v>0</v>
      </c>
      <c r="H10" s="768">
        <v>17.829347852500003</v>
      </c>
      <c r="I10" s="323">
        <f t="shared" si="0"/>
        <v>-1</v>
      </c>
      <c r="J10" s="283">
        <v>21.4586413675</v>
      </c>
      <c r="K10" s="323">
        <f t="shared" si="2"/>
        <v>-0.16912969711571357</v>
      </c>
      <c r="L10" s="24"/>
    </row>
    <row r="11" spans="1:12" ht="11.25" customHeight="1">
      <c r="A11" s="140" t="s">
        <v>44</v>
      </c>
      <c r="B11" s="281">
        <v>4.1225681874999998</v>
      </c>
      <c r="C11" s="767">
        <v>6.8604447674999998</v>
      </c>
      <c r="D11" s="282">
        <v>10.142815882499999</v>
      </c>
      <c r="E11" s="281">
        <v>1.248058205</v>
      </c>
      <c r="F11" s="249">
        <f t="shared" si="1"/>
        <v>7.1268772897494781</v>
      </c>
      <c r="G11" s="281">
        <v>25.28455615</v>
      </c>
      <c r="H11" s="767">
        <v>8.6910664824999984</v>
      </c>
      <c r="I11" s="249">
        <f t="shared" si="0"/>
        <v>1.9092581676727503</v>
      </c>
      <c r="J11" s="281">
        <v>5.2761084799999995</v>
      </c>
      <c r="K11" s="249">
        <f t="shared" si="2"/>
        <v>0.64724939137339321</v>
      </c>
      <c r="L11" s="22"/>
    </row>
    <row r="12" spans="1:12" ht="11.25" customHeight="1">
      <c r="A12" s="246" t="s">
        <v>45</v>
      </c>
      <c r="B12" s="330">
        <v>0</v>
      </c>
      <c r="C12" s="769">
        <v>0</v>
      </c>
      <c r="D12" s="331">
        <v>0</v>
      </c>
      <c r="E12" s="330">
        <v>0</v>
      </c>
      <c r="F12" s="250" t="str">
        <f>IF(E12=0,"",D12/E12-1)</f>
        <v/>
      </c>
      <c r="G12" s="330">
        <v>0</v>
      </c>
      <c r="H12" s="769">
        <v>0</v>
      </c>
      <c r="I12" s="250" t="str">
        <f t="shared" si="0"/>
        <v/>
      </c>
      <c r="J12" s="330">
        <v>0</v>
      </c>
      <c r="K12" s="250" t="str">
        <f t="shared" si="2"/>
        <v/>
      </c>
      <c r="L12" s="22"/>
    </row>
    <row r="13" spans="1:12" ht="11.25" customHeight="1">
      <c r="A13" s="140" t="s">
        <v>46</v>
      </c>
      <c r="B13" s="281">
        <v>345.92269866499993</v>
      </c>
      <c r="C13" s="767">
        <v>207.58639442499998</v>
      </c>
      <c r="D13" s="282">
        <v>152.67064683750002</v>
      </c>
      <c r="E13" s="281">
        <v>1.8809978875000002</v>
      </c>
      <c r="F13" s="249">
        <f>IF(E13=0,"",D13/E13-1)</f>
        <v>80.164709355634514</v>
      </c>
      <c r="G13" s="281">
        <v>834.33450871499986</v>
      </c>
      <c r="H13" s="767">
        <v>21.163339925000002</v>
      </c>
      <c r="I13" s="249">
        <f t="shared" si="0"/>
        <v>38.423574524237097</v>
      </c>
      <c r="J13" s="281">
        <v>15.73967094</v>
      </c>
      <c r="K13" s="249">
        <f t="shared" si="2"/>
        <v>0.34458591959610585</v>
      </c>
      <c r="L13" s="22"/>
    </row>
    <row r="14" spans="1:12" ht="11.25" customHeight="1">
      <c r="A14" s="141" t="s">
        <v>47</v>
      </c>
      <c r="B14" s="283">
        <v>27.041169224999997</v>
      </c>
      <c r="C14" s="768">
        <v>29.511682322499997</v>
      </c>
      <c r="D14" s="284">
        <v>31.370282867499999</v>
      </c>
      <c r="E14" s="283">
        <v>28.959644245000003</v>
      </c>
      <c r="F14" s="323">
        <f t="shared" si="1"/>
        <v>8.3241306492092049E-2</v>
      </c>
      <c r="G14" s="283">
        <v>188.64806197250002</v>
      </c>
      <c r="H14" s="768">
        <v>194.4180491425</v>
      </c>
      <c r="I14" s="323">
        <f>IF(H14=0,"",G14/H14-1)</f>
        <v>-2.9678248472552182E-2</v>
      </c>
      <c r="J14" s="283">
        <v>194.04777303</v>
      </c>
      <c r="K14" s="323">
        <f t="shared" si="2"/>
        <v>1.9081698631127075E-3</v>
      </c>
      <c r="L14" s="22"/>
    </row>
    <row r="15" spans="1:12" ht="11.25" customHeight="1">
      <c r="A15" s="140" t="s">
        <v>48</v>
      </c>
      <c r="B15" s="281">
        <v>5.9279576</v>
      </c>
      <c r="C15" s="243">
        <v>5.2789414000000008</v>
      </c>
      <c r="D15" s="282">
        <v>5.7300966500000001</v>
      </c>
      <c r="E15" s="281">
        <v>7.1538755499999986</v>
      </c>
      <c r="F15" s="249">
        <f t="shared" si="1"/>
        <v>-0.19902203917986783</v>
      </c>
      <c r="G15" s="281">
        <v>50.198328500000002</v>
      </c>
      <c r="H15" s="243">
        <v>57.003901299999995</v>
      </c>
      <c r="I15" s="249">
        <f t="shared" si="0"/>
        <v>-0.11938784267034008</v>
      </c>
      <c r="J15" s="281">
        <v>61.040111782500013</v>
      </c>
      <c r="K15" s="249">
        <f t="shared" si="2"/>
        <v>-6.6123903850011989E-2</v>
      </c>
      <c r="L15" s="22"/>
    </row>
    <row r="16" spans="1:12" ht="11.25" customHeight="1">
      <c r="A16" s="141" t="s">
        <v>29</v>
      </c>
      <c r="B16" s="283">
        <v>69.0593317525</v>
      </c>
      <c r="C16" s="244">
        <v>87.827360130000017</v>
      </c>
      <c r="D16" s="284">
        <v>100.26839323499999</v>
      </c>
      <c r="E16" s="283">
        <v>75.040616277499993</v>
      </c>
      <c r="F16" s="323">
        <f t="shared" si="1"/>
        <v>0.33618829653807403</v>
      </c>
      <c r="G16" s="283">
        <v>625.77223493250006</v>
      </c>
      <c r="H16" s="244">
        <v>581.2404993350001</v>
      </c>
      <c r="I16" s="323">
        <f>IF(H16=0,"",G16/H16-1)</f>
        <v>7.6614990952022399E-2</v>
      </c>
      <c r="J16" s="283">
        <v>571.17249222250007</v>
      </c>
      <c r="K16" s="323">
        <f t="shared" si="2"/>
        <v>1.7626911746614793E-2</v>
      </c>
      <c r="L16" s="22"/>
    </row>
    <row r="17" spans="1:12" ht="11.25" customHeight="1">
      <c r="A17" s="140" t="s">
        <v>28</v>
      </c>
      <c r="B17" s="281">
        <v>188.24767344500003</v>
      </c>
      <c r="C17" s="243">
        <v>179.942927285</v>
      </c>
      <c r="D17" s="282">
        <v>250.44527581749998</v>
      </c>
      <c r="E17" s="281">
        <v>202.45501991499998</v>
      </c>
      <c r="F17" s="249">
        <f t="shared" si="1"/>
        <v>0.23704157062960718</v>
      </c>
      <c r="G17" s="281">
        <v>1606.47250523</v>
      </c>
      <c r="H17" s="243">
        <v>1474.0972423825001</v>
      </c>
      <c r="I17" s="249">
        <f>IF(H17=0,"",G17/H17-1)</f>
        <v>8.9800902573801133E-2</v>
      </c>
      <c r="J17" s="281">
        <v>1322.2768018225001</v>
      </c>
      <c r="K17" s="249">
        <f t="shared" si="2"/>
        <v>0.11481744242260405</v>
      </c>
      <c r="L17" s="22"/>
    </row>
    <row r="18" spans="1:12" ht="11.25" customHeight="1">
      <c r="A18" s="146" t="s">
        <v>41</v>
      </c>
      <c r="B18" s="285">
        <f>+SUM(B6:B17)</f>
        <v>4805.6177883400005</v>
      </c>
      <c r="C18" s="286">
        <f t="shared" ref="C18:E18" si="3">+SUM(C6:C17)</f>
        <v>4905.6881386900004</v>
      </c>
      <c r="D18" s="540">
        <f t="shared" si="3"/>
        <v>4826.3584824375002</v>
      </c>
      <c r="E18" s="285">
        <f t="shared" si="3"/>
        <v>4686.5850641674988</v>
      </c>
      <c r="F18" s="324">
        <f>IF(E18=0,"",D18/E18-1)</f>
        <v>2.9824150496845947E-2</v>
      </c>
      <c r="G18" s="285">
        <f t="shared" ref="G18" si="4">+SUM(G6:G17)</f>
        <v>43556.548187905013</v>
      </c>
      <c r="H18" s="286">
        <f t="shared" ref="H18" si="5">+SUM(H6:H17)</f>
        <v>41392.087966104984</v>
      </c>
      <c r="I18" s="324">
        <f>IF(H18=0,"",G18/H18-1)</f>
        <v>5.229164142607301E-2</v>
      </c>
      <c r="J18" s="285">
        <f t="shared" ref="J18" si="6">+SUM(J6:J17)</f>
        <v>40147.634605706502</v>
      </c>
      <c r="K18" s="324">
        <f t="shared" si="2"/>
        <v>3.0996928526932477E-2</v>
      </c>
      <c r="L18" s="30"/>
    </row>
    <row r="19" spans="1:12" ht="11.25" customHeight="1">
      <c r="A19" s="22"/>
      <c r="B19" s="22"/>
      <c r="C19" s="22"/>
      <c r="D19" s="22"/>
      <c r="E19" s="22"/>
      <c r="F19" s="22"/>
      <c r="G19" s="22"/>
      <c r="H19" s="22"/>
      <c r="I19" s="22"/>
      <c r="J19" s="22"/>
      <c r="K19" s="22"/>
      <c r="L19" s="22"/>
    </row>
    <row r="20" spans="1:12" ht="11.25" customHeight="1">
      <c r="A20" s="142" t="s">
        <v>38</v>
      </c>
      <c r="B20" s="231">
        <v>8.1428750999999977</v>
      </c>
      <c r="C20" s="232">
        <v>2.6124526299999995</v>
      </c>
      <c r="D20" s="303">
        <v>0</v>
      </c>
      <c r="E20" s="526">
        <v>0</v>
      </c>
      <c r="F20" s="120" t="str">
        <f>IF(E20=0,"",D20/E20-1)</f>
        <v/>
      </c>
      <c r="G20" s="231">
        <v>12.852016489999999</v>
      </c>
      <c r="H20" s="302">
        <v>32.101867080000005</v>
      </c>
      <c r="I20" s="123">
        <f>IF(H20=0,"",G20/H20-1)</f>
        <v>-0.59964894073070851</v>
      </c>
      <c r="J20" s="231">
        <v>39.028395110000005</v>
      </c>
      <c r="K20" s="120">
        <f>IF(J20=0,"",H20/J20-1)</f>
        <v>-0.17747406754691941</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-8.1428750999999977</v>
      </c>
      <c r="C22" s="242">
        <f>+C21-C20</f>
        <v>-2.6124526299999995</v>
      </c>
      <c r="D22" s="325">
        <f>+D21-D20</f>
        <v>0</v>
      </c>
      <c r="E22" s="528">
        <f>+E21-E20</f>
        <v>0</v>
      </c>
      <c r="F22" s="242"/>
      <c r="G22" s="241">
        <f>+G21-G20</f>
        <v>-12.597591959999999</v>
      </c>
      <c r="H22" s="242">
        <f>+H21-H20</f>
        <v>-32.101867080000005</v>
      </c>
      <c r="I22" s="124"/>
      <c r="J22" s="241">
        <f>+J21-J20</f>
        <v>-39.028395110000005</v>
      </c>
      <c r="K22" s="122"/>
      <c r="L22" s="30"/>
    </row>
    <row r="23" spans="1:12" ht="11.25" customHeight="1">
      <c r="A23" s="226" t="s">
        <v>215</v>
      </c>
      <c r="B23" s="133"/>
      <c r="C23" s="133"/>
      <c r="D23" s="133"/>
      <c r="E23" s="133"/>
      <c r="F23" s="133"/>
      <c r="G23" s="133"/>
      <c r="H23" s="134"/>
      <c r="I23" s="134"/>
      <c r="J23" s="133"/>
      <c r="K23" s="135"/>
      <c r="L23" s="22"/>
    </row>
    <row r="24" spans="1:12" ht="22.9" customHeight="1">
      <c r="A24" s="860" t="s">
        <v>568</v>
      </c>
      <c r="B24" s="860"/>
      <c r="C24" s="860"/>
      <c r="D24" s="860"/>
      <c r="E24" s="860"/>
      <c r="F24" s="860"/>
      <c r="G24" s="860"/>
      <c r="H24" s="860"/>
      <c r="I24" s="860"/>
      <c r="J24" s="860"/>
      <c r="K24" s="860"/>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115" workbookViewId="0">
      <selection activeCell="M21" sqref="M21"/>
    </sheetView>
  </sheetViews>
  <sheetFormatPr baseColWidth="10" defaultColWidth="9.33203125" defaultRowHeight="11.25"/>
  <cols>
    <col min="1" max="12" width="10.33203125" customWidth="1"/>
    <col min="13" max="13" width="21.1640625" style="548" bestFit="1" customWidth="1"/>
    <col min="14" max="14" width="9.33203125" style="634"/>
    <col min="15" max="15" width="9.33203125" style="548"/>
    <col min="16" max="16" width="11.83203125" style="548" customWidth="1"/>
    <col min="17" max="20" width="9.33203125" style="548"/>
    <col min="21" max="21" width="15" style="548" customWidth="1"/>
    <col min="22" max="22" width="9.33203125" style="548"/>
    <col min="23" max="23" width="14.1640625" style="548" bestFit="1" customWidth="1"/>
    <col min="26" max="26" width="17.83203125" bestFit="1" customWidth="1"/>
  </cols>
  <sheetData>
    <row r="2" spans="1:26" ht="11.25" customHeight="1">
      <c r="A2" s="867" t="s">
        <v>227</v>
      </c>
      <c r="B2" s="867"/>
      <c r="C2" s="867"/>
      <c r="D2" s="867"/>
      <c r="E2" s="867"/>
      <c r="F2" s="867"/>
      <c r="G2" s="867"/>
      <c r="H2" s="867"/>
      <c r="I2" s="867"/>
      <c r="J2" s="867"/>
      <c r="K2" s="867"/>
      <c r="L2" s="867"/>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0"/>
    </row>
    <row r="6" spans="1:26" ht="10.5" customHeight="1">
      <c r="A6" s="111"/>
      <c r="B6" s="138"/>
      <c r="C6" s="138"/>
      <c r="D6" s="138"/>
      <c r="E6" s="138"/>
      <c r="F6" s="138"/>
      <c r="G6" s="138"/>
      <c r="H6" s="138"/>
      <c r="I6" s="138"/>
      <c r="J6" s="138"/>
      <c r="K6" s="138"/>
      <c r="L6" s="138"/>
      <c r="M6" s="635" t="s">
        <v>57</v>
      </c>
      <c r="N6" s="637" t="s">
        <v>56</v>
      </c>
      <c r="O6" s="636">
        <v>18.148</v>
      </c>
      <c r="P6" s="637">
        <v>10.090709777499999</v>
      </c>
      <c r="Q6" s="637">
        <v>0.77225450137603147</v>
      </c>
      <c r="R6" s="637"/>
      <c r="T6" s="548" t="s">
        <v>424</v>
      </c>
      <c r="U6" s="548" t="s">
        <v>386</v>
      </c>
      <c r="V6" s="638">
        <v>0.88906749027623699</v>
      </c>
      <c r="W6" s="639">
        <v>0.88145495539895347</v>
      </c>
      <c r="X6" s="761"/>
      <c r="Y6" s="732"/>
      <c r="Z6" s="698"/>
    </row>
    <row r="7" spans="1:26" ht="10.5" customHeight="1">
      <c r="A7" s="136"/>
      <c r="B7" s="138"/>
      <c r="C7" s="138"/>
      <c r="D7" s="138"/>
      <c r="E7" s="138"/>
      <c r="F7" s="138"/>
      <c r="G7" s="138"/>
      <c r="H7" s="138"/>
      <c r="I7" s="138"/>
      <c r="J7" s="138"/>
      <c r="K7" s="138"/>
      <c r="L7" s="138"/>
      <c r="M7" s="635" t="s">
        <v>431</v>
      </c>
      <c r="N7" s="637" t="s">
        <v>56</v>
      </c>
      <c r="O7" s="636">
        <v>20.295999999999999</v>
      </c>
      <c r="P7" s="637">
        <v>9.3683643725000003</v>
      </c>
      <c r="Q7" s="637">
        <v>0.6410926874274625</v>
      </c>
      <c r="R7" s="637"/>
      <c r="U7" s="548" t="s">
        <v>431</v>
      </c>
      <c r="V7" s="638">
        <v>0.84346247385083539</v>
      </c>
      <c r="W7" s="639">
        <v>0.8480124575618454</v>
      </c>
      <c r="X7" s="761"/>
      <c r="Y7" s="732"/>
      <c r="Z7" s="698"/>
    </row>
    <row r="8" spans="1:26" ht="10.5" customHeight="1">
      <c r="A8" s="136"/>
      <c r="B8" s="138"/>
      <c r="C8" s="138"/>
      <c r="D8" s="138"/>
      <c r="E8" s="138"/>
      <c r="F8" s="138"/>
      <c r="G8" s="138"/>
      <c r="H8" s="138"/>
      <c r="I8" s="138"/>
      <c r="J8" s="138"/>
      <c r="K8" s="138"/>
      <c r="L8" s="138"/>
      <c r="M8" s="635" t="s">
        <v>386</v>
      </c>
      <c r="N8" s="637" t="s">
        <v>56</v>
      </c>
      <c r="O8" s="636">
        <v>20.861999999999998</v>
      </c>
      <c r="P8" s="637">
        <v>9.0539346574999993</v>
      </c>
      <c r="Q8" s="637">
        <v>0.60276623749054636</v>
      </c>
      <c r="R8" s="637"/>
      <c r="U8" s="548" t="s">
        <v>57</v>
      </c>
      <c r="V8" s="638">
        <v>0.86797225447887705</v>
      </c>
      <c r="W8" s="639">
        <v>0.82739699379077691</v>
      </c>
      <c r="X8" s="761"/>
      <c r="Y8" s="732"/>
      <c r="Z8" s="698"/>
    </row>
    <row r="9" spans="1:26" ht="10.5" customHeight="1">
      <c r="A9" s="136"/>
      <c r="B9" s="138"/>
      <c r="C9" s="138"/>
      <c r="D9" s="138"/>
      <c r="E9" s="138"/>
      <c r="F9" s="138"/>
      <c r="G9" s="138"/>
      <c r="H9" s="138"/>
      <c r="I9" s="138"/>
      <c r="J9" s="138"/>
      <c r="K9" s="138"/>
      <c r="L9" s="138"/>
      <c r="M9" s="635" t="s">
        <v>399</v>
      </c>
      <c r="N9" s="759" t="s">
        <v>56</v>
      </c>
      <c r="O9" s="636">
        <v>20.365970000000001</v>
      </c>
      <c r="P9" s="637">
        <v>7.7319830475</v>
      </c>
      <c r="Q9" s="637">
        <v>0.52729456754330872</v>
      </c>
      <c r="R9" s="637"/>
      <c r="U9" s="548" t="s">
        <v>430</v>
      </c>
      <c r="V9" s="638">
        <v>0.74197067921731852</v>
      </c>
      <c r="W9" s="639">
        <v>0.71617446540160212</v>
      </c>
      <c r="X9" s="761"/>
      <c r="Y9" s="732"/>
      <c r="Z9" s="698"/>
    </row>
    <row r="10" spans="1:26" ht="10.5" customHeight="1">
      <c r="A10" s="136"/>
      <c r="B10" s="138"/>
      <c r="C10" s="138"/>
      <c r="D10" s="138"/>
      <c r="E10" s="138"/>
      <c r="F10" s="138"/>
      <c r="G10" s="138"/>
      <c r="H10" s="138"/>
      <c r="I10" s="138"/>
      <c r="J10" s="138"/>
      <c r="K10" s="138"/>
      <c r="L10" s="138"/>
      <c r="M10" s="635" t="s">
        <v>430</v>
      </c>
      <c r="N10" s="759" t="s">
        <v>56</v>
      </c>
      <c r="O10" s="636">
        <v>20.27</v>
      </c>
      <c r="P10" s="637">
        <v>6.8851207749999999</v>
      </c>
      <c r="Q10" s="637">
        <v>0.47176456551828089</v>
      </c>
      <c r="R10" s="637"/>
      <c r="U10" s="548" t="s">
        <v>432</v>
      </c>
      <c r="V10" s="638">
        <v>0.61626621538420034</v>
      </c>
      <c r="W10" s="639">
        <v>0.61018222701604641</v>
      </c>
      <c r="X10" s="761"/>
      <c r="Y10" s="732"/>
      <c r="Z10" s="698"/>
    </row>
    <row r="11" spans="1:26" ht="10.5" customHeight="1">
      <c r="A11" s="136"/>
      <c r="B11" s="138"/>
      <c r="C11" s="138"/>
      <c r="D11" s="138"/>
      <c r="E11" s="138"/>
      <c r="F11" s="138"/>
      <c r="G11" s="138"/>
      <c r="H11" s="138"/>
      <c r="I11" s="138"/>
      <c r="J11" s="138"/>
      <c r="K11" s="138"/>
      <c r="L11" s="138"/>
      <c r="M11" s="635" t="s">
        <v>67</v>
      </c>
      <c r="N11" s="759" t="s">
        <v>56</v>
      </c>
      <c r="O11" s="636">
        <v>9.5660000000000007</v>
      </c>
      <c r="P11" s="637">
        <v>4.9131312724999994</v>
      </c>
      <c r="Q11" s="637">
        <v>0.71333822224835641</v>
      </c>
      <c r="R11" s="637"/>
      <c r="U11" s="548" t="s">
        <v>61</v>
      </c>
      <c r="V11" s="638">
        <v>0.60802421787655303</v>
      </c>
      <c r="W11" s="639">
        <v>0.61502117188586958</v>
      </c>
      <c r="X11" s="761"/>
      <c r="Y11" s="732"/>
      <c r="Z11" s="698"/>
    </row>
    <row r="12" spans="1:26" ht="10.5" customHeight="1">
      <c r="A12" s="136"/>
      <c r="B12" s="138"/>
      <c r="C12" s="138"/>
      <c r="D12" s="138"/>
      <c r="E12" s="138"/>
      <c r="F12" s="138"/>
      <c r="G12" s="138"/>
      <c r="H12" s="138"/>
      <c r="I12" s="138"/>
      <c r="J12" s="138"/>
      <c r="K12" s="138"/>
      <c r="L12" s="138"/>
      <c r="M12" s="635" t="s">
        <v>60</v>
      </c>
      <c r="N12" s="637" t="s">
        <v>56</v>
      </c>
      <c r="O12" s="636">
        <v>9.9830000000000005</v>
      </c>
      <c r="P12" s="637">
        <v>4.5540491400000001</v>
      </c>
      <c r="Q12" s="637">
        <v>0.63358391766002198</v>
      </c>
      <c r="R12" s="637"/>
      <c r="U12" s="548" t="s">
        <v>55</v>
      </c>
      <c r="V12" s="638">
        <v>0.61324488401497446</v>
      </c>
      <c r="W12" s="639">
        <v>0.60734332184539719</v>
      </c>
      <c r="X12" s="761"/>
      <c r="Y12" s="732"/>
      <c r="Z12" s="698"/>
    </row>
    <row r="13" spans="1:26" ht="10.5" customHeight="1">
      <c r="A13" s="136"/>
      <c r="B13" s="138"/>
      <c r="C13" s="138"/>
      <c r="D13" s="138"/>
      <c r="E13" s="138"/>
      <c r="F13" s="138"/>
      <c r="G13" s="138"/>
      <c r="H13" s="138"/>
      <c r="I13" s="138"/>
      <c r="J13" s="138"/>
      <c r="K13" s="138"/>
      <c r="L13" s="138"/>
      <c r="M13" s="635" t="s">
        <v>432</v>
      </c>
      <c r="N13" s="637" t="s">
        <v>56</v>
      </c>
      <c r="O13" s="636">
        <v>20.58</v>
      </c>
      <c r="P13" s="637">
        <v>3.925174395</v>
      </c>
      <c r="Q13" s="637">
        <v>0.26489947056203439</v>
      </c>
      <c r="R13" s="637"/>
      <c r="U13" s="548" t="s">
        <v>59</v>
      </c>
      <c r="V13" s="638">
        <v>0.63668368562918232</v>
      </c>
      <c r="W13" s="639">
        <v>0.664238604788847</v>
      </c>
      <c r="X13" s="761"/>
      <c r="Y13" s="732"/>
      <c r="Z13" s="698"/>
    </row>
    <row r="14" spans="1:26" ht="10.5" customHeight="1">
      <c r="A14" s="136"/>
      <c r="B14" s="138"/>
      <c r="C14" s="138"/>
      <c r="D14" s="138"/>
      <c r="E14" s="138"/>
      <c r="F14" s="138"/>
      <c r="G14" s="138"/>
      <c r="H14" s="138"/>
      <c r="I14" s="138"/>
      <c r="J14" s="138"/>
      <c r="K14" s="138"/>
      <c r="L14" s="138"/>
      <c r="M14" s="635" t="s">
        <v>64</v>
      </c>
      <c r="N14" s="637" t="s">
        <v>56</v>
      </c>
      <c r="O14" s="636">
        <v>9.0798699999999997</v>
      </c>
      <c r="P14" s="637">
        <v>3.3686590725000003</v>
      </c>
      <c r="Q14" s="637">
        <v>0.51528195406432031</v>
      </c>
      <c r="R14" s="637"/>
      <c r="U14" s="548" t="s">
        <v>392</v>
      </c>
      <c r="V14" s="638">
        <v>0.59315332871659887</v>
      </c>
      <c r="W14" s="639">
        <v>0.59906035676175029</v>
      </c>
      <c r="X14" s="761"/>
      <c r="Y14" s="732"/>
      <c r="Z14" s="698"/>
    </row>
    <row r="15" spans="1:26" ht="11.25" customHeight="1">
      <c r="A15" s="136"/>
      <c r="B15" s="138"/>
      <c r="C15" s="138"/>
      <c r="D15" s="138"/>
      <c r="E15" s="138"/>
      <c r="F15" s="138"/>
      <c r="G15" s="138"/>
      <c r="H15" s="138"/>
      <c r="I15" s="138"/>
      <c r="J15" s="138"/>
      <c r="K15" s="138"/>
      <c r="L15" s="138"/>
      <c r="M15" s="635" t="s">
        <v>55</v>
      </c>
      <c r="N15" s="637" t="s">
        <v>56</v>
      </c>
      <c r="O15" s="636">
        <v>19.966000000000001</v>
      </c>
      <c r="P15" s="637">
        <v>2.9409661274999999</v>
      </c>
      <c r="Q15" s="637">
        <v>0.20458154748489096</v>
      </c>
      <c r="R15" s="637"/>
      <c r="U15" s="548" t="s">
        <v>393</v>
      </c>
      <c r="V15" s="638">
        <v>0.57991874764224316</v>
      </c>
      <c r="W15" s="639">
        <v>0.5947147413041729</v>
      </c>
      <c r="X15" s="761"/>
      <c r="Y15" s="732"/>
      <c r="Z15" s="698"/>
    </row>
    <row r="16" spans="1:26" ht="11.25" customHeight="1">
      <c r="A16" s="136"/>
      <c r="B16" s="138"/>
      <c r="C16" s="138"/>
      <c r="D16" s="138"/>
      <c r="E16" s="138"/>
      <c r="F16" s="138"/>
      <c r="G16" s="138"/>
      <c r="H16" s="138"/>
      <c r="I16" s="138"/>
      <c r="J16" s="138"/>
      <c r="K16" s="138"/>
      <c r="L16" s="138"/>
      <c r="M16" s="635" t="s">
        <v>393</v>
      </c>
      <c r="N16" s="637" t="s">
        <v>56</v>
      </c>
      <c r="O16" s="636">
        <v>20.084060000000001</v>
      </c>
      <c r="P16" s="637">
        <v>2.9035017574999999</v>
      </c>
      <c r="Q16" s="637">
        <v>0.20078815388228829</v>
      </c>
      <c r="R16" s="637"/>
      <c r="U16" s="548" t="s">
        <v>399</v>
      </c>
      <c r="V16" s="638">
        <v>0.5694035359196471</v>
      </c>
      <c r="W16" s="639">
        <v>0.62536024269159862</v>
      </c>
      <c r="X16" s="761"/>
      <c r="Y16" s="732"/>
      <c r="Z16" s="698"/>
    </row>
    <row r="17" spans="1:26" ht="11.25" customHeight="1">
      <c r="A17" s="136"/>
      <c r="B17" s="138"/>
      <c r="C17" s="138"/>
      <c r="D17" s="138"/>
      <c r="E17" s="138"/>
      <c r="F17" s="138"/>
      <c r="G17" s="138"/>
      <c r="H17" s="138"/>
      <c r="I17" s="138"/>
      <c r="J17" s="138"/>
      <c r="K17" s="138"/>
      <c r="L17" s="138"/>
      <c r="M17" s="635" t="s">
        <v>68</v>
      </c>
      <c r="N17" s="637" t="s">
        <v>56</v>
      </c>
      <c r="O17" s="636">
        <v>5.1890000000000001</v>
      </c>
      <c r="P17" s="637">
        <v>2.8839537399999999</v>
      </c>
      <c r="Q17" s="637">
        <v>0.77191969658037296</v>
      </c>
      <c r="R17" s="637"/>
      <c r="U17" s="548" t="s">
        <v>58</v>
      </c>
      <c r="V17" s="638">
        <v>0.51595851372484391</v>
      </c>
      <c r="W17" s="639">
        <v>0.50900004749900829</v>
      </c>
      <c r="X17" s="761"/>
      <c r="Y17" s="732"/>
      <c r="Z17" s="698"/>
    </row>
    <row r="18" spans="1:26">
      <c r="A18" s="136"/>
      <c r="B18" s="138"/>
      <c r="C18" s="138"/>
      <c r="D18" s="138"/>
      <c r="E18" s="138"/>
      <c r="F18" s="138"/>
      <c r="G18" s="138"/>
      <c r="H18" s="138"/>
      <c r="I18" s="138"/>
      <c r="J18" s="138"/>
      <c r="K18" s="138"/>
      <c r="L18" s="138"/>
      <c r="M18" s="635" t="s">
        <v>392</v>
      </c>
      <c r="N18" s="637" t="s">
        <v>56</v>
      </c>
      <c r="O18" s="636">
        <v>19.987169999999999</v>
      </c>
      <c r="P18" s="637">
        <v>2.8260836524999999</v>
      </c>
      <c r="Q18" s="637">
        <v>0.19638178811846688</v>
      </c>
      <c r="R18" s="637"/>
      <c r="U18" s="548" t="s">
        <v>394</v>
      </c>
      <c r="V18" s="638">
        <v>0.47337848208024674</v>
      </c>
      <c r="W18" s="639">
        <v>0.55652632358876764</v>
      </c>
      <c r="X18" s="761"/>
      <c r="Y18" s="732"/>
      <c r="Z18" s="698"/>
    </row>
    <row r="19" spans="1:26">
      <c r="A19" s="136"/>
      <c r="B19" s="138"/>
      <c r="C19" s="138"/>
      <c r="D19" s="138"/>
      <c r="E19" s="138"/>
      <c r="F19" s="138"/>
      <c r="G19" s="138"/>
      <c r="H19" s="138"/>
      <c r="I19" s="138"/>
      <c r="J19" s="138"/>
      <c r="K19" s="138"/>
      <c r="L19" s="138"/>
      <c r="M19" s="635" t="s">
        <v>72</v>
      </c>
      <c r="N19" s="637" t="s">
        <v>56</v>
      </c>
      <c r="O19" s="636">
        <v>3.9729999999999999</v>
      </c>
      <c r="P19" s="637">
        <v>2.1720999999999999</v>
      </c>
      <c r="Q19" s="637">
        <v>0.75932684509326842</v>
      </c>
      <c r="R19" s="637"/>
      <c r="U19" s="548" t="s">
        <v>440</v>
      </c>
      <c r="V19" s="638">
        <v>0.39902829995433331</v>
      </c>
      <c r="W19" s="639">
        <v>0.41086682100464916</v>
      </c>
      <c r="X19" s="761"/>
      <c r="Y19" s="732"/>
      <c r="Z19" s="698"/>
    </row>
    <row r="20" spans="1:26">
      <c r="A20" s="136"/>
      <c r="B20" s="138"/>
      <c r="C20" s="138"/>
      <c r="D20" s="138"/>
      <c r="E20" s="138"/>
      <c r="F20" s="138"/>
      <c r="G20" s="138"/>
      <c r="H20" s="138"/>
      <c r="I20" s="138"/>
      <c r="J20" s="138"/>
      <c r="K20" s="138"/>
      <c r="L20" s="138"/>
      <c r="M20" s="635" t="s">
        <v>394</v>
      </c>
      <c r="N20" s="637" t="s">
        <v>56</v>
      </c>
      <c r="O20" s="636">
        <v>20.050889999999999</v>
      </c>
      <c r="P20" s="637">
        <v>2.0140045200000003</v>
      </c>
      <c r="Q20" s="637">
        <v>0.1395064508358482</v>
      </c>
      <c r="R20" s="637"/>
      <c r="U20" s="548" t="s">
        <v>60</v>
      </c>
      <c r="V20" s="638">
        <v>0.79271990898721967</v>
      </c>
      <c r="W20" s="639">
        <v>0.93298958018772316</v>
      </c>
      <c r="X20" s="761"/>
      <c r="Y20" s="732"/>
      <c r="Z20" s="698"/>
    </row>
    <row r="21" spans="1:26">
      <c r="A21" s="136"/>
      <c r="B21" s="138"/>
      <c r="C21" s="138"/>
      <c r="D21" s="138"/>
      <c r="E21" s="138"/>
      <c r="F21" s="138"/>
      <c r="G21" s="138"/>
      <c r="H21" s="138"/>
      <c r="I21" s="138"/>
      <c r="J21" s="138"/>
      <c r="K21" s="138"/>
      <c r="L21" s="138"/>
      <c r="M21" s="635" t="s">
        <v>58</v>
      </c>
      <c r="N21" s="637" t="s">
        <v>56</v>
      </c>
      <c r="O21" s="636">
        <v>19.966999999999999</v>
      </c>
      <c r="P21" s="637">
        <v>2.0103674300000001</v>
      </c>
      <c r="Q21" s="637">
        <v>0.13983958462017884</v>
      </c>
      <c r="R21" s="637"/>
      <c r="U21" s="548" t="s">
        <v>67</v>
      </c>
      <c r="V21" s="638">
        <v>0.67907149341238826</v>
      </c>
      <c r="W21" s="639">
        <v>0.67354940063435642</v>
      </c>
      <c r="X21" s="761"/>
      <c r="Y21" s="732"/>
      <c r="Z21" s="698"/>
    </row>
    <row r="22" spans="1:26">
      <c r="A22" s="136"/>
      <c r="B22" s="138"/>
      <c r="C22" s="138"/>
      <c r="D22" s="138"/>
      <c r="E22" s="138"/>
      <c r="F22" s="138"/>
      <c r="G22" s="138"/>
      <c r="H22" s="138"/>
      <c r="I22" s="138"/>
      <c r="J22" s="138"/>
      <c r="K22" s="138"/>
      <c r="L22" s="138"/>
      <c r="M22" s="635" t="s">
        <v>440</v>
      </c>
      <c r="N22" s="637" t="s">
        <v>56</v>
      </c>
      <c r="O22" s="636">
        <v>20.763359999999999</v>
      </c>
      <c r="P22" s="637">
        <v>1.83143024</v>
      </c>
      <c r="Q22" s="637">
        <v>0.1225068154244357</v>
      </c>
      <c r="R22" s="637"/>
      <c r="U22" s="548" t="s">
        <v>62</v>
      </c>
      <c r="V22" s="638">
        <v>0.53125335150763597</v>
      </c>
      <c r="W22" s="639">
        <v>0.584393943797342</v>
      </c>
      <c r="X22" s="761"/>
      <c r="Y22" s="732"/>
      <c r="Z22" s="698"/>
    </row>
    <row r="23" spans="1:26">
      <c r="A23" s="136"/>
      <c r="B23" s="138"/>
      <c r="C23" s="138"/>
      <c r="D23" s="138"/>
      <c r="E23" s="138"/>
      <c r="F23" s="138"/>
      <c r="G23" s="138"/>
      <c r="H23" s="138"/>
      <c r="I23" s="138"/>
      <c r="J23" s="138"/>
      <c r="K23" s="138"/>
      <c r="L23" s="138"/>
      <c r="M23" s="635" t="s">
        <v>59</v>
      </c>
      <c r="N23" s="637" t="s">
        <v>56</v>
      </c>
      <c r="O23" s="636">
        <v>19.1995</v>
      </c>
      <c r="P23" s="637">
        <v>1.729740115</v>
      </c>
      <c r="Q23" s="637">
        <v>0.12512913494564384</v>
      </c>
      <c r="R23" s="637"/>
      <c r="U23" s="548" t="s">
        <v>64</v>
      </c>
      <c r="V23" s="638">
        <v>0.55310352774148375</v>
      </c>
      <c r="W23" s="639">
        <v>0.71719958334706813</v>
      </c>
      <c r="X23" s="761"/>
      <c r="Y23" s="732"/>
      <c r="Z23" s="698"/>
    </row>
    <row r="24" spans="1:26">
      <c r="A24" s="136"/>
      <c r="B24" s="138"/>
      <c r="C24" s="138"/>
      <c r="D24" s="138"/>
      <c r="E24" s="138"/>
      <c r="F24" s="138"/>
      <c r="G24" s="138"/>
      <c r="H24" s="138"/>
      <c r="I24" s="138"/>
      <c r="J24" s="138"/>
      <c r="K24" s="138"/>
      <c r="L24" s="138"/>
      <c r="M24" s="635" t="s">
        <v>429</v>
      </c>
      <c r="N24" s="637" t="s">
        <v>56</v>
      </c>
      <c r="O24" s="636">
        <v>8.58</v>
      </c>
      <c r="P24" s="637">
        <v>1.6370883699999998</v>
      </c>
      <c r="Q24" s="637">
        <v>0.26500394489769485</v>
      </c>
      <c r="R24" s="637"/>
      <c r="U24" s="548" t="s">
        <v>63</v>
      </c>
      <c r="V24" s="638">
        <v>0.4978323715624477</v>
      </c>
      <c r="W24" s="639">
        <v>0.56198830899078378</v>
      </c>
      <c r="X24" s="761"/>
      <c r="Y24" s="732"/>
      <c r="Z24" s="698"/>
    </row>
    <row r="25" spans="1:26">
      <c r="A25" s="136"/>
      <c r="B25" s="138"/>
      <c r="C25" s="138"/>
      <c r="D25" s="138"/>
      <c r="E25" s="138"/>
      <c r="F25" s="138"/>
      <c r="G25" s="138"/>
      <c r="H25" s="138"/>
      <c r="I25" s="138"/>
      <c r="J25" s="138"/>
      <c r="K25" s="138"/>
      <c r="L25" s="138"/>
      <c r="M25" s="635" t="s">
        <v>65</v>
      </c>
      <c r="N25" s="637" t="s">
        <v>56</v>
      </c>
      <c r="O25" s="636">
        <v>6.5019999999999998</v>
      </c>
      <c r="P25" s="637">
        <v>1.5158488400000001</v>
      </c>
      <c r="Q25" s="637">
        <v>0.32379969411121362</v>
      </c>
      <c r="R25" s="637"/>
      <c r="U25" s="548" t="s">
        <v>429</v>
      </c>
      <c r="V25" s="638">
        <v>0.56350044022039214</v>
      </c>
      <c r="W25" s="639">
        <v>0.57611896623675474</v>
      </c>
      <c r="X25" s="761"/>
      <c r="Y25" s="732"/>
      <c r="Z25" s="698"/>
    </row>
    <row r="26" spans="1:26">
      <c r="A26" s="136"/>
      <c r="B26" s="138"/>
      <c r="C26" s="138"/>
      <c r="D26" s="138"/>
      <c r="E26" s="138"/>
      <c r="F26" s="138"/>
      <c r="G26" s="138"/>
      <c r="H26" s="138"/>
      <c r="I26" s="138"/>
      <c r="J26" s="138"/>
      <c r="K26" s="138"/>
      <c r="L26" s="138"/>
      <c r="M26" s="635" t="s">
        <v>62</v>
      </c>
      <c r="N26" s="637" t="s">
        <v>56</v>
      </c>
      <c r="O26" s="636">
        <v>9.9643300000000004</v>
      </c>
      <c r="P26" s="637">
        <v>1.3964752550000001</v>
      </c>
      <c r="Q26" s="637">
        <v>0.19464921026077797</v>
      </c>
      <c r="R26" s="637"/>
      <c r="U26" s="548" t="s">
        <v>68</v>
      </c>
      <c r="V26" s="638">
        <v>0.79086226063822884</v>
      </c>
      <c r="W26" s="639">
        <v>0.56135085032711007</v>
      </c>
      <c r="X26" s="761"/>
      <c r="Y26" s="732"/>
      <c r="Z26" s="698"/>
    </row>
    <row r="27" spans="1:26">
      <c r="A27" s="136"/>
      <c r="B27" s="138"/>
      <c r="C27" s="138"/>
      <c r="D27" s="138"/>
      <c r="E27" s="138"/>
      <c r="F27" s="138"/>
      <c r="G27" s="138"/>
      <c r="H27" s="138"/>
      <c r="I27" s="138"/>
      <c r="J27" s="138"/>
      <c r="K27" s="138"/>
      <c r="L27" s="138"/>
      <c r="M27" s="635" t="s">
        <v>66</v>
      </c>
      <c r="N27" s="637" t="s">
        <v>56</v>
      </c>
      <c r="O27" s="636">
        <v>6.6360000000000001</v>
      </c>
      <c r="P27" s="637">
        <v>1.3069729649999999</v>
      </c>
      <c r="Q27" s="637">
        <v>0.27354433833132408</v>
      </c>
      <c r="R27" s="637"/>
      <c r="U27" s="548" t="s">
        <v>65</v>
      </c>
      <c r="V27" s="638">
        <v>0.61952833675390206</v>
      </c>
      <c r="W27" s="639">
        <v>0.5825765568774931</v>
      </c>
      <c r="X27" s="761"/>
      <c r="Y27" s="732"/>
      <c r="Z27" s="698"/>
    </row>
    <row r="28" spans="1:26">
      <c r="A28" s="136"/>
      <c r="B28" s="138"/>
      <c r="C28" s="138"/>
      <c r="D28" s="138"/>
      <c r="E28" s="138"/>
      <c r="F28" s="138"/>
      <c r="G28" s="138"/>
      <c r="H28" s="138"/>
      <c r="I28" s="138"/>
      <c r="J28" s="138"/>
      <c r="K28" s="138"/>
      <c r="L28" s="138"/>
      <c r="M28" s="635" t="s">
        <v>71</v>
      </c>
      <c r="N28" s="637" t="s">
        <v>56</v>
      </c>
      <c r="O28" s="636">
        <v>3.91621</v>
      </c>
      <c r="P28" s="637">
        <v>1.1583418000000001</v>
      </c>
      <c r="Q28" s="637">
        <v>0.41080740194104903</v>
      </c>
      <c r="R28" s="637"/>
      <c r="U28" s="548" t="s">
        <v>66</v>
      </c>
      <c r="V28" s="638">
        <v>0.52761610948136139</v>
      </c>
      <c r="W28" s="639">
        <v>0.51027447452190344</v>
      </c>
      <c r="X28" s="761"/>
      <c r="Y28" s="732"/>
      <c r="Z28" s="698"/>
    </row>
    <row r="29" spans="1:26">
      <c r="A29" s="136"/>
      <c r="B29" s="138"/>
      <c r="C29" s="138"/>
      <c r="D29" s="138"/>
      <c r="E29" s="138"/>
      <c r="F29" s="138"/>
      <c r="G29" s="138"/>
      <c r="H29" s="138"/>
      <c r="I29" s="138"/>
      <c r="J29" s="138"/>
      <c r="K29" s="138"/>
      <c r="L29" s="138"/>
      <c r="M29" s="635" t="s">
        <v>63</v>
      </c>
      <c r="N29" s="637" t="s">
        <v>56</v>
      </c>
      <c r="O29" s="636">
        <v>9.85</v>
      </c>
      <c r="P29" s="637">
        <v>1.0427986224999999</v>
      </c>
      <c r="Q29" s="637">
        <v>0.14703872285674</v>
      </c>
      <c r="R29" s="637"/>
      <c r="U29" s="548" t="s">
        <v>69</v>
      </c>
      <c r="V29" s="638">
        <v>0.58295197953746225</v>
      </c>
      <c r="W29" s="639">
        <v>0.79044264389833196</v>
      </c>
      <c r="X29" s="761"/>
      <c r="Y29" s="732"/>
      <c r="Z29" s="698"/>
    </row>
    <row r="30" spans="1:26">
      <c r="A30" s="136"/>
      <c r="B30" s="138"/>
      <c r="C30" s="138"/>
      <c r="D30" s="138"/>
      <c r="E30" s="138"/>
      <c r="F30" s="138"/>
      <c r="G30" s="138"/>
      <c r="H30" s="138"/>
      <c r="I30" s="138"/>
      <c r="J30" s="138"/>
      <c r="K30" s="138"/>
      <c r="L30" s="138"/>
      <c r="M30" s="548" t="s">
        <v>70</v>
      </c>
      <c r="N30" s="637" t="s">
        <v>56</v>
      </c>
      <c r="O30" s="636">
        <v>3.3107500000000001</v>
      </c>
      <c r="P30" s="637">
        <v>0.88280822999999997</v>
      </c>
      <c r="Q30" s="637">
        <v>0.37034585567217904</v>
      </c>
      <c r="R30" s="637"/>
      <c r="U30" s="548" t="s">
        <v>72</v>
      </c>
      <c r="V30" s="638">
        <v>0.80527151209845327</v>
      </c>
      <c r="W30" s="639">
        <v>0.82122550660179661</v>
      </c>
      <c r="X30" s="761"/>
      <c r="Y30" s="732"/>
      <c r="Z30" s="698"/>
    </row>
    <row r="31" spans="1:26">
      <c r="A31" s="136"/>
      <c r="B31" s="138"/>
      <c r="C31" s="138"/>
      <c r="D31" s="138"/>
      <c r="E31" s="138"/>
      <c r="F31" s="138"/>
      <c r="G31" s="138"/>
      <c r="H31" s="138"/>
      <c r="I31" s="138"/>
      <c r="J31" s="138"/>
      <c r="K31" s="138"/>
      <c r="L31" s="138"/>
      <c r="M31" s="635" t="s">
        <v>61</v>
      </c>
      <c r="N31" s="637" t="s">
        <v>56</v>
      </c>
      <c r="O31" s="637">
        <v>20.202000000000002</v>
      </c>
      <c r="P31" s="637">
        <v>0.87052809750000004</v>
      </c>
      <c r="Q31" s="637">
        <v>5.9848866551991543E-2</v>
      </c>
      <c r="R31" s="637"/>
      <c r="U31" s="548" t="s">
        <v>71</v>
      </c>
      <c r="V31" s="638">
        <v>0.70294909808032824</v>
      </c>
      <c r="W31" s="639">
        <v>0.74263231101570981</v>
      </c>
      <c r="X31" s="761"/>
      <c r="Y31" s="732"/>
      <c r="Z31" s="698"/>
    </row>
    <row r="32" spans="1:26">
      <c r="A32" s="136"/>
      <c r="B32" s="138"/>
      <c r="C32" s="138"/>
      <c r="D32" s="138"/>
      <c r="E32" s="138"/>
      <c r="F32" s="138"/>
      <c r="G32" s="138"/>
      <c r="H32" s="138"/>
      <c r="I32" s="138"/>
      <c r="J32" s="138"/>
      <c r="K32" s="138"/>
      <c r="L32" s="138"/>
      <c r="M32" s="635" t="s">
        <v>69</v>
      </c>
      <c r="N32" s="637" t="s">
        <v>56</v>
      </c>
      <c r="O32" s="637">
        <v>5.67</v>
      </c>
      <c r="P32" s="637">
        <v>0.84567810249999997</v>
      </c>
      <c r="Q32" s="637">
        <v>0.2071521905006859</v>
      </c>
      <c r="R32" s="637"/>
      <c r="U32" s="548" t="s">
        <v>70</v>
      </c>
      <c r="V32" s="638">
        <v>0.77126636407171423</v>
      </c>
      <c r="W32" s="639">
        <v>0.57596680998195005</v>
      </c>
      <c r="X32" s="761"/>
      <c r="Y32" s="732"/>
      <c r="Z32" s="698"/>
    </row>
    <row r="33" spans="1:26">
      <c r="A33" s="136"/>
      <c r="B33" s="138"/>
      <c r="C33" s="138"/>
      <c r="D33" s="138"/>
      <c r="E33" s="138"/>
      <c r="F33" s="138"/>
      <c r="G33" s="138"/>
      <c r="H33" s="138"/>
      <c r="I33" s="138"/>
      <c r="J33" s="138"/>
      <c r="K33" s="138"/>
      <c r="L33" s="138"/>
      <c r="M33" s="635" t="s">
        <v>395</v>
      </c>
      <c r="N33" s="637" t="s">
        <v>56</v>
      </c>
      <c r="O33" s="637">
        <v>0.678643</v>
      </c>
      <c r="P33" s="637">
        <v>0.34971199999999997</v>
      </c>
      <c r="Q33" s="637">
        <v>0.71570930682422296</v>
      </c>
      <c r="R33" s="637"/>
      <c r="U33" s="548" t="s">
        <v>73</v>
      </c>
      <c r="V33" s="638">
        <v>0.29572065537706438</v>
      </c>
      <c r="W33" s="639">
        <v>0.1552004016138061</v>
      </c>
      <c r="X33" s="761"/>
      <c r="Y33" s="732"/>
      <c r="Z33" s="698"/>
    </row>
    <row r="34" spans="1:26">
      <c r="B34" s="138"/>
      <c r="C34" s="138"/>
      <c r="D34" s="138"/>
      <c r="E34" s="138"/>
      <c r="F34" s="138"/>
      <c r="G34" s="138"/>
      <c r="H34" s="138"/>
      <c r="I34" s="138"/>
      <c r="J34" s="138"/>
      <c r="K34" s="138"/>
      <c r="L34" s="138"/>
      <c r="M34" s="635" t="s">
        <v>73</v>
      </c>
      <c r="N34" s="637" t="s">
        <v>56</v>
      </c>
      <c r="O34" s="637">
        <v>1.7689999999999999</v>
      </c>
      <c r="P34" s="637">
        <v>0.22091166999999998</v>
      </c>
      <c r="Q34" s="637">
        <v>0.17344362006155392</v>
      </c>
      <c r="R34" s="637"/>
      <c r="U34" s="548" t="s">
        <v>395</v>
      </c>
      <c r="V34" s="638">
        <v>0.69213600596264246</v>
      </c>
      <c r="W34" s="639">
        <v>0.45346791555770366</v>
      </c>
      <c r="X34" s="761"/>
      <c r="Y34" s="732"/>
      <c r="Z34" s="698"/>
    </row>
    <row r="35" spans="1:26">
      <c r="A35" s="136"/>
      <c r="B35" s="138"/>
      <c r="C35" s="138"/>
      <c r="D35" s="138"/>
      <c r="E35" s="138"/>
      <c r="F35" s="138"/>
      <c r="G35" s="138"/>
      <c r="H35" s="138"/>
      <c r="I35" s="138"/>
      <c r="J35" s="138"/>
      <c r="K35" s="138"/>
      <c r="L35" s="138"/>
      <c r="M35" s="635" t="s">
        <v>401</v>
      </c>
      <c r="N35" s="637" t="s">
        <v>210</v>
      </c>
      <c r="O35" s="636">
        <v>132.30000000000001</v>
      </c>
      <c r="P35" s="637">
        <v>54.619843000000003</v>
      </c>
      <c r="Q35" s="637">
        <v>0.57340055219618702</v>
      </c>
      <c r="R35" s="637"/>
      <c r="T35" s="548" t="s">
        <v>418</v>
      </c>
      <c r="U35" s="548" t="s">
        <v>401</v>
      </c>
      <c r="V35" s="638">
        <v>0.92303327441313998</v>
      </c>
      <c r="W35" s="639">
        <v>0.54478154847273319</v>
      </c>
      <c r="X35" s="761"/>
      <c r="Y35" s="732"/>
      <c r="Z35" s="698"/>
    </row>
    <row r="36" spans="1:26" ht="10.9" customHeight="1">
      <c r="A36" s="136"/>
      <c r="B36" s="138"/>
      <c r="C36" s="138"/>
      <c r="D36" s="138"/>
      <c r="E36" s="138"/>
      <c r="F36" s="138"/>
      <c r="G36" s="138"/>
      <c r="H36" s="138"/>
      <c r="I36" s="138"/>
      <c r="J36" s="138"/>
      <c r="K36" s="138"/>
      <c r="L36" s="138"/>
      <c r="M36" s="635" t="s">
        <v>74</v>
      </c>
      <c r="N36" s="637" t="s">
        <v>210</v>
      </c>
      <c r="O36" s="636">
        <v>97.15</v>
      </c>
      <c r="P36" s="637">
        <v>45.001129165000002</v>
      </c>
      <c r="Q36" s="637">
        <v>0.64335119181391875</v>
      </c>
      <c r="R36" s="637"/>
      <c r="U36" s="548" t="s">
        <v>74</v>
      </c>
      <c r="V36" s="638">
        <v>0.6846576386874772</v>
      </c>
      <c r="W36" s="639">
        <v>0.64622846226584651</v>
      </c>
      <c r="X36" s="761"/>
      <c r="Y36" s="732"/>
      <c r="Z36" s="698"/>
    </row>
    <row r="37" spans="1:26">
      <c r="A37" s="136"/>
      <c r="B37" s="138"/>
      <c r="C37" s="138"/>
      <c r="D37" s="138"/>
      <c r="E37" s="138"/>
      <c r="F37" s="138"/>
      <c r="G37" s="138"/>
      <c r="H37" s="138"/>
      <c r="I37" s="138"/>
      <c r="J37" s="138"/>
      <c r="K37" s="138"/>
      <c r="L37" s="138"/>
      <c r="M37" s="635" t="s">
        <v>75</v>
      </c>
      <c r="N37" s="637" t="s">
        <v>210</v>
      </c>
      <c r="O37" s="636">
        <v>83.15</v>
      </c>
      <c r="P37" s="637">
        <v>27.341725</v>
      </c>
      <c r="Q37" s="637">
        <v>0.45670015701209321</v>
      </c>
      <c r="R37" s="637"/>
      <c r="U37" s="548" t="s">
        <v>75</v>
      </c>
      <c r="V37" s="638">
        <v>0.77056852122125552</v>
      </c>
      <c r="W37" s="639">
        <v>0.46837479910014485</v>
      </c>
      <c r="X37" s="761"/>
      <c r="Y37" s="732"/>
      <c r="Z37" s="698"/>
    </row>
    <row r="38" spans="1:26" ht="11.25" customHeight="1">
      <c r="A38" s="136"/>
      <c r="B38" s="138"/>
      <c r="C38" s="138"/>
      <c r="D38" s="138"/>
      <c r="E38" s="138"/>
      <c r="F38" s="138"/>
      <c r="G38" s="138"/>
      <c r="H38" s="138"/>
      <c r="I38" s="138"/>
      <c r="J38" s="138"/>
      <c r="K38" s="138"/>
      <c r="L38" s="138"/>
      <c r="M38" s="635" t="s">
        <v>76</v>
      </c>
      <c r="N38" s="637" t="s">
        <v>210</v>
      </c>
      <c r="O38" s="636">
        <v>32</v>
      </c>
      <c r="P38" s="637">
        <v>14.909885792499999</v>
      </c>
      <c r="Q38" s="637">
        <v>0.64713045974392358</v>
      </c>
      <c r="R38" s="640"/>
      <c r="U38" s="548" t="s">
        <v>76</v>
      </c>
      <c r="V38" s="638">
        <v>0.73042146164021171</v>
      </c>
      <c r="W38" s="639">
        <v>0.67962934727707192</v>
      </c>
      <c r="X38" s="761"/>
      <c r="Y38" s="732"/>
      <c r="Z38" s="698"/>
    </row>
    <row r="39" spans="1:26">
      <c r="A39" s="136"/>
      <c r="B39" s="138"/>
      <c r="C39" s="138"/>
      <c r="D39" s="138"/>
      <c r="E39" s="138"/>
      <c r="F39" s="138"/>
      <c r="G39" s="138"/>
      <c r="H39" s="138"/>
      <c r="I39" s="138"/>
      <c r="J39" s="138"/>
      <c r="K39" s="138"/>
      <c r="L39" s="138"/>
      <c r="M39" s="635" t="s">
        <v>77</v>
      </c>
      <c r="N39" s="637" t="s">
        <v>210</v>
      </c>
      <c r="O39" s="636">
        <v>30.86</v>
      </c>
      <c r="P39" s="637">
        <v>13.965770000000001</v>
      </c>
      <c r="Q39" s="637">
        <v>0.62854513213797081</v>
      </c>
      <c r="U39" s="548" t="s">
        <v>77</v>
      </c>
      <c r="V39" s="638">
        <v>0.38622690356744249</v>
      </c>
      <c r="W39" s="639">
        <v>0.50676169919273861</v>
      </c>
      <c r="X39" s="761"/>
      <c r="Y39" s="732"/>
      <c r="Z39" s="698"/>
    </row>
    <row r="40" spans="1:26">
      <c r="A40" s="136"/>
      <c r="B40" s="138"/>
      <c r="C40" s="138"/>
      <c r="D40" s="138"/>
      <c r="E40" s="138"/>
      <c r="F40" s="138"/>
      <c r="G40" s="138"/>
      <c r="H40" s="138"/>
      <c r="I40" s="138"/>
      <c r="J40" s="138"/>
      <c r="K40" s="138"/>
      <c r="L40" s="138"/>
      <c r="M40" s="635" t="s">
        <v>451</v>
      </c>
      <c r="N40" s="637" t="s">
        <v>210</v>
      </c>
      <c r="O40" s="636">
        <v>18.37</v>
      </c>
      <c r="P40" s="637">
        <v>9.1080067299999996</v>
      </c>
      <c r="Q40" s="637">
        <v>0.68862326332184109</v>
      </c>
      <c r="U40" s="548" t="s">
        <v>451</v>
      </c>
      <c r="V40" s="638">
        <v>0.3845432637510301</v>
      </c>
      <c r="W40" s="639">
        <v>0.4295951973633485</v>
      </c>
      <c r="X40" s="761"/>
      <c r="Y40" s="732"/>
      <c r="Z40" s="698"/>
    </row>
    <row r="41" spans="1:26">
      <c r="A41" s="136"/>
      <c r="B41" s="138"/>
      <c r="C41" s="138"/>
      <c r="D41" s="138"/>
      <c r="E41" s="138"/>
      <c r="F41" s="138"/>
      <c r="G41" s="138"/>
      <c r="H41" s="138"/>
      <c r="I41" s="138"/>
      <c r="J41" s="138"/>
      <c r="K41" s="138"/>
      <c r="L41" s="138"/>
      <c r="M41" s="548" t="s">
        <v>450</v>
      </c>
      <c r="N41" s="637" t="s">
        <v>210</v>
      </c>
      <c r="O41" s="636">
        <v>18.37</v>
      </c>
      <c r="P41" s="637">
        <v>7.7355354424999998</v>
      </c>
      <c r="Q41" s="637">
        <v>0.58485570090878847</v>
      </c>
      <c r="U41" s="548" t="s">
        <v>450</v>
      </c>
      <c r="V41" s="638">
        <v>0.48740771132495908</v>
      </c>
      <c r="W41" s="639">
        <v>0.32143653566576463</v>
      </c>
      <c r="X41" s="761"/>
      <c r="Y41" s="732"/>
      <c r="Z41" s="698"/>
    </row>
    <row r="42" spans="1:26">
      <c r="A42" s="136"/>
      <c r="B42" s="138"/>
      <c r="C42" s="138"/>
      <c r="D42" s="138"/>
      <c r="E42" s="138"/>
      <c r="F42" s="138"/>
      <c r="G42" s="138"/>
      <c r="H42" s="138"/>
      <c r="I42" s="138"/>
      <c r="J42" s="138"/>
      <c r="K42" s="138"/>
      <c r="L42" s="138"/>
      <c r="M42" s="548" t="s">
        <v>402</v>
      </c>
      <c r="N42" s="637" t="s">
        <v>78</v>
      </c>
      <c r="O42" s="636">
        <v>144.47999999999999</v>
      </c>
      <c r="P42" s="637">
        <v>40.519474500000001</v>
      </c>
      <c r="Q42" s="637">
        <v>0.38951445125046147</v>
      </c>
      <c r="T42" s="548" t="s">
        <v>410</v>
      </c>
      <c r="U42" s="548" t="s">
        <v>402</v>
      </c>
      <c r="V42" s="638">
        <v>0.33747555879344809</v>
      </c>
      <c r="W42" s="639">
        <v>0.33707833657091341</v>
      </c>
      <c r="X42" s="761"/>
      <c r="Y42" s="732"/>
      <c r="Z42" s="698"/>
    </row>
    <row r="43" spans="1:26" ht="36" customHeight="1">
      <c r="A43" s="866"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setiembre 2023.
Nota: Son consideradas las centrales adjudicadas por subasta RER y cuenten con operación comercial</v>
      </c>
      <c r="B43" s="866"/>
      <c r="C43" s="866"/>
      <c r="D43" s="866"/>
      <c r="E43" s="866"/>
      <c r="F43" s="866"/>
      <c r="G43" s="866"/>
      <c r="H43" s="866"/>
      <c r="I43" s="866"/>
      <c r="J43" s="866"/>
      <c r="K43" s="866"/>
      <c r="L43" s="866"/>
      <c r="M43" s="635" t="s">
        <v>403</v>
      </c>
      <c r="N43" s="637" t="s">
        <v>78</v>
      </c>
      <c r="O43" s="636">
        <v>44.54</v>
      </c>
      <c r="P43" s="637">
        <v>10.126011892500001</v>
      </c>
      <c r="Q43" s="637">
        <v>0.31575898981252803</v>
      </c>
      <c r="U43" s="548" t="s">
        <v>403</v>
      </c>
      <c r="V43" s="638">
        <v>0.49601709332551142</v>
      </c>
      <c r="W43" s="639">
        <v>0.26917211090249377</v>
      </c>
      <c r="X43" s="761"/>
      <c r="Y43" s="732"/>
      <c r="Z43" s="698"/>
    </row>
    <row r="44" spans="1:26" ht="18" customHeight="1">
      <c r="A44" s="136"/>
      <c r="B44" s="138"/>
      <c r="C44" s="138"/>
      <c r="D44" s="138"/>
      <c r="E44" s="138"/>
      <c r="F44" s="138"/>
      <c r="G44" s="138"/>
      <c r="H44" s="138"/>
      <c r="I44" s="138"/>
      <c r="J44" s="138"/>
      <c r="K44" s="138"/>
      <c r="L44" s="138"/>
      <c r="M44" s="635" t="s">
        <v>225</v>
      </c>
      <c r="N44" s="637" t="s">
        <v>78</v>
      </c>
      <c r="O44" s="636">
        <v>20</v>
      </c>
      <c r="P44" s="637">
        <v>5.0573886249999997</v>
      </c>
      <c r="Q44" s="637">
        <v>0.35120754340277777</v>
      </c>
      <c r="U44" s="548" t="s">
        <v>225</v>
      </c>
      <c r="V44" s="638">
        <v>0.38091494572657486</v>
      </c>
      <c r="W44" s="639">
        <v>0.31869691552197804</v>
      </c>
      <c r="X44" s="761"/>
      <c r="Y44" s="732"/>
      <c r="Z44" s="698"/>
    </row>
    <row r="45" spans="1:26" ht="12">
      <c r="A45" s="136"/>
      <c r="B45" s="138"/>
      <c r="C45" s="868" t="str">
        <f>"Factor de planta de las centrales RER  Acumulado al "&amp;'1. Resumen'!Q7&amp;" de "&amp;'1. Resumen'!Q4</f>
        <v>Factor de planta de las centrales RER  Acumulado al 30 de setiembre</v>
      </c>
      <c r="D45" s="868"/>
      <c r="E45" s="868"/>
      <c r="F45" s="868"/>
      <c r="G45" s="868"/>
      <c r="H45" s="868"/>
      <c r="I45" s="868"/>
      <c r="J45" s="868"/>
      <c r="K45" s="138"/>
      <c r="L45" s="138"/>
      <c r="M45" s="635" t="s">
        <v>79</v>
      </c>
      <c r="N45" s="637" t="s">
        <v>78</v>
      </c>
      <c r="O45" s="636">
        <v>16</v>
      </c>
      <c r="P45" s="637">
        <v>4.2076391774999999</v>
      </c>
      <c r="Q45" s="637">
        <v>0.36524645638020836</v>
      </c>
      <c r="U45" s="548" t="s">
        <v>224</v>
      </c>
      <c r="V45" s="638">
        <v>0.53838470536449579</v>
      </c>
      <c r="W45" s="639">
        <v>0.30008198239087303</v>
      </c>
      <c r="X45" s="761"/>
      <c r="Y45" s="732"/>
      <c r="Z45" s="698"/>
    </row>
    <row r="46" spans="1:26" ht="9.75" customHeight="1">
      <c r="A46" s="136"/>
      <c r="B46" s="138"/>
      <c r="C46" s="138"/>
      <c r="D46" s="138"/>
      <c r="E46" s="138"/>
      <c r="F46" s="138"/>
      <c r="G46" s="138"/>
      <c r="H46" s="138"/>
      <c r="I46" s="138"/>
      <c r="J46" s="138"/>
      <c r="K46" s="138"/>
      <c r="L46" s="138"/>
      <c r="M46" s="635" t="s">
        <v>226</v>
      </c>
      <c r="N46" s="637" t="s">
        <v>78</v>
      </c>
      <c r="O46" s="636">
        <v>20</v>
      </c>
      <c r="P46" s="637">
        <v>4.0944099999999999</v>
      </c>
      <c r="Q46" s="637">
        <v>0.28433402777777778</v>
      </c>
      <c r="U46" s="547" t="s">
        <v>79</v>
      </c>
      <c r="V46" s="638">
        <v>0.44455073853707833</v>
      </c>
      <c r="W46" s="639">
        <v>0.33116480449671859</v>
      </c>
      <c r="X46" s="761"/>
      <c r="Y46" s="732"/>
      <c r="Z46" s="698"/>
    </row>
    <row r="47" spans="1:26" ht="9.75" customHeight="1">
      <c r="A47" s="136"/>
      <c r="B47" s="138"/>
      <c r="C47" s="138"/>
      <c r="D47" s="138"/>
      <c r="E47" s="138"/>
      <c r="F47" s="138"/>
      <c r="G47" s="138"/>
      <c r="H47" s="138"/>
      <c r="I47" s="138"/>
      <c r="J47" s="138"/>
      <c r="K47" s="138"/>
      <c r="L47" s="138"/>
      <c r="M47" s="635" t="s">
        <v>80</v>
      </c>
      <c r="N47" s="637" t="s">
        <v>78</v>
      </c>
      <c r="O47" s="636">
        <v>20</v>
      </c>
      <c r="P47" s="637">
        <v>4.0078735000000005</v>
      </c>
      <c r="Q47" s="637">
        <v>0.27832454861111117</v>
      </c>
      <c r="U47" s="548" t="s">
        <v>226</v>
      </c>
      <c r="V47" s="638">
        <v>0.32525912630382109</v>
      </c>
      <c r="W47" s="639">
        <v>0.25675520718864475</v>
      </c>
      <c r="Y47" s="732"/>
      <c r="Z47" s="698"/>
    </row>
    <row r="48" spans="1:26" ht="9.75" customHeight="1">
      <c r="A48" s="136"/>
      <c r="B48" s="138"/>
      <c r="C48" s="138"/>
      <c r="D48" s="138"/>
      <c r="E48" s="138"/>
      <c r="F48" s="138"/>
      <c r="G48" s="138"/>
      <c r="H48" s="138"/>
      <c r="I48" s="138"/>
      <c r="J48" s="138"/>
      <c r="K48" s="138"/>
      <c r="L48" s="138"/>
      <c r="M48" s="635" t="s">
        <v>224</v>
      </c>
      <c r="N48" s="637" t="s">
        <v>78</v>
      </c>
      <c r="O48" s="636">
        <v>20</v>
      </c>
      <c r="P48" s="637">
        <v>3.73867474</v>
      </c>
      <c r="Q48" s="637">
        <v>0.25963019027777778</v>
      </c>
      <c r="U48" s="548" t="s">
        <v>80</v>
      </c>
      <c r="V48" s="638">
        <v>0.25479005918525166</v>
      </c>
      <c r="W48" s="639">
        <v>0.24503495228556163</v>
      </c>
      <c r="Y48" s="732"/>
      <c r="Z48" s="698"/>
    </row>
    <row r="49" spans="1:26" ht="9.75" customHeight="1">
      <c r="A49" s="136"/>
      <c r="B49" s="138"/>
      <c r="C49" s="138"/>
      <c r="D49" s="138"/>
      <c r="E49" s="138"/>
      <c r="F49" s="138"/>
      <c r="G49" s="138"/>
      <c r="H49" s="138"/>
      <c r="I49" s="138"/>
      <c r="J49" s="138"/>
      <c r="K49" s="138"/>
      <c r="L49" s="138"/>
      <c r="M49" s="635" t="s">
        <v>81</v>
      </c>
      <c r="N49" s="637" t="s">
        <v>383</v>
      </c>
      <c r="O49" s="636">
        <v>12.74105</v>
      </c>
      <c r="P49" s="637">
        <v>9.8725716799999983</v>
      </c>
      <c r="Q49" s="637">
        <v>1</v>
      </c>
      <c r="T49" s="548" t="s">
        <v>411</v>
      </c>
      <c r="U49" s="548" t="s">
        <v>81</v>
      </c>
      <c r="V49" s="663">
        <v>0.31622398986950551</v>
      </c>
      <c r="W49" s="639">
        <v>0.8643294286244142</v>
      </c>
      <c r="Y49" s="732"/>
      <c r="Z49" s="698"/>
    </row>
    <row r="50" spans="1:26" ht="9.75" customHeight="1">
      <c r="A50" s="136"/>
      <c r="B50" s="138"/>
      <c r="C50" s="138"/>
      <c r="D50" s="138"/>
      <c r="E50" s="138"/>
      <c r="F50" s="138"/>
      <c r="G50" s="138"/>
      <c r="H50" s="138"/>
      <c r="I50" s="138"/>
      <c r="J50" s="138"/>
      <c r="K50" s="138"/>
      <c r="L50" s="138"/>
      <c r="M50" s="635" t="s">
        <v>82</v>
      </c>
      <c r="N50" s="637" t="s">
        <v>383</v>
      </c>
      <c r="O50" s="636">
        <v>4.2625000000000002</v>
      </c>
      <c r="P50" s="637">
        <v>1.9893136</v>
      </c>
      <c r="Q50" s="637">
        <v>0.64819602476376659</v>
      </c>
      <c r="U50" s="548" t="s">
        <v>82</v>
      </c>
      <c r="V50" s="663">
        <v>0.28934536555631862</v>
      </c>
      <c r="W50" s="639">
        <v>0.74781778159116885</v>
      </c>
    </row>
    <row r="51" spans="1:26" ht="20.25" customHeight="1">
      <c r="A51" s="136"/>
      <c r="B51" s="138"/>
      <c r="C51" s="138"/>
      <c r="D51" s="138"/>
      <c r="E51" s="138"/>
      <c r="F51" s="138"/>
      <c r="G51" s="138"/>
      <c r="H51" s="138"/>
      <c r="I51" s="138"/>
      <c r="J51" s="138"/>
      <c r="K51" s="138"/>
      <c r="L51" s="138"/>
      <c r="M51" s="635" t="s">
        <v>404</v>
      </c>
      <c r="N51" s="637" t="s">
        <v>383</v>
      </c>
      <c r="O51" s="636">
        <v>2.4</v>
      </c>
      <c r="P51" s="637">
        <v>1.6281840249999999</v>
      </c>
      <c r="Q51" s="637">
        <v>0.94223612557870384</v>
      </c>
      <c r="U51" s="548" t="s">
        <v>404</v>
      </c>
      <c r="V51" s="663">
        <v>0.32469339915293038</v>
      </c>
      <c r="W51" s="639">
        <v>0.68891301399699834</v>
      </c>
    </row>
    <row r="52" spans="1:26" ht="9.75" customHeight="1">
      <c r="A52" s="136"/>
      <c r="B52" s="138"/>
      <c r="C52" s="138"/>
      <c r="D52" s="138"/>
      <c r="E52" s="138"/>
      <c r="F52" s="138"/>
      <c r="G52" s="138"/>
      <c r="H52" s="138"/>
      <c r="I52" s="138"/>
      <c r="J52" s="138"/>
      <c r="K52" s="138"/>
      <c r="L52" s="138"/>
      <c r="M52" s="635" t="s">
        <v>439</v>
      </c>
      <c r="N52" s="637" t="s">
        <v>383</v>
      </c>
      <c r="O52" s="636">
        <v>2.4</v>
      </c>
      <c r="P52" s="637">
        <v>1.1900684500000001</v>
      </c>
      <c r="Q52" s="637">
        <v>0.688697019675926</v>
      </c>
      <c r="U52" s="548" t="s">
        <v>439</v>
      </c>
      <c r="V52" s="663">
        <v>0.25565122252747252</v>
      </c>
      <c r="W52" s="639">
        <v>0.66049323679792427</v>
      </c>
    </row>
    <row r="53" spans="1:26" ht="9.75" customHeight="1">
      <c r="B53" s="138"/>
      <c r="C53" s="138"/>
      <c r="D53" s="138"/>
      <c r="E53" s="138"/>
      <c r="F53" s="138"/>
      <c r="G53" s="138"/>
      <c r="H53" s="138"/>
      <c r="I53" s="138"/>
      <c r="J53" s="138"/>
      <c r="K53" s="138"/>
      <c r="L53" s="138"/>
      <c r="M53" s="635" t="s">
        <v>83</v>
      </c>
      <c r="N53" s="637" t="s">
        <v>383</v>
      </c>
      <c r="O53" s="636">
        <v>2.9537</v>
      </c>
      <c r="P53" s="637">
        <v>0.92253057500000002</v>
      </c>
      <c r="Q53" s="637">
        <v>0.43379235036658348</v>
      </c>
      <c r="U53" s="548" t="s">
        <v>83</v>
      </c>
      <c r="V53" s="663">
        <v>0.24979268339819902</v>
      </c>
      <c r="W53" s="639">
        <v>0.76990921224276843</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66"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setiembre.
Nota: Son consideradas las centrales adjudicadas por subasta RER y cuenten con operación comercial</v>
      </c>
      <c r="B64" s="866"/>
      <c r="C64" s="866"/>
      <c r="D64" s="866"/>
      <c r="E64" s="866"/>
      <c r="F64" s="866"/>
      <c r="G64" s="866"/>
      <c r="H64" s="866"/>
      <c r="I64" s="866"/>
      <c r="J64" s="866"/>
      <c r="K64" s="866"/>
      <c r="L64" s="866"/>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O39" sqref="O39"/>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27"/>
  </cols>
  <sheetData>
    <row r="1" spans="1:12" ht="11.25" customHeight="1"/>
    <row r="2" spans="1:12" ht="11.25" customHeight="1">
      <c r="A2" s="869" t="s">
        <v>223</v>
      </c>
      <c r="B2" s="869"/>
      <c r="C2" s="869"/>
      <c r="D2" s="869"/>
      <c r="E2" s="869"/>
      <c r="F2" s="869"/>
      <c r="G2" s="869"/>
      <c r="H2" s="869"/>
      <c r="I2" s="869"/>
      <c r="J2" s="869"/>
      <c r="K2" s="869"/>
      <c r="L2" s="428"/>
    </row>
    <row r="3" spans="1:12" ht="11.25" customHeight="1">
      <c r="A3" s="74"/>
      <c r="B3" s="73"/>
      <c r="C3" s="73"/>
      <c r="D3" s="73"/>
      <c r="E3" s="73"/>
      <c r="F3" s="73"/>
      <c r="G3" s="73"/>
      <c r="H3" s="73"/>
      <c r="I3" s="73"/>
      <c r="J3" s="73"/>
      <c r="K3" s="73"/>
      <c r="L3" s="428"/>
    </row>
    <row r="4" spans="1:12" ht="15.75" customHeight="1">
      <c r="A4" s="865" t="s">
        <v>219</v>
      </c>
      <c r="B4" s="862" t="s">
        <v>32</v>
      </c>
      <c r="C4" s="863"/>
      <c r="D4" s="863"/>
      <c r="E4" s="863" t="s">
        <v>33</v>
      </c>
      <c r="F4" s="863"/>
      <c r="G4" s="864" t="str">
        <f>+'4. Tipo Recurso'!G4:K4</f>
        <v>Generación Acumulada a setiembre</v>
      </c>
      <c r="H4" s="864"/>
      <c r="I4" s="864"/>
      <c r="J4" s="864"/>
      <c r="K4" s="864"/>
      <c r="L4" s="429"/>
    </row>
    <row r="5" spans="1:12" ht="29.25" customHeight="1">
      <c r="A5" s="865"/>
      <c r="B5" s="364">
        <f>+'4. Tipo Recurso'!B5</f>
        <v>45112</v>
      </c>
      <c r="C5" s="364">
        <f>+'4. Tipo Recurso'!C5</f>
        <v>45142</v>
      </c>
      <c r="D5" s="364">
        <f>+'4. Tipo Recurso'!D5</f>
        <v>45170</v>
      </c>
      <c r="E5" s="364">
        <f>+'4. Tipo Recurso'!E5</f>
        <v>44805</v>
      </c>
      <c r="F5" s="364" t="s">
        <v>34</v>
      </c>
      <c r="G5" s="366">
        <v>2023</v>
      </c>
      <c r="H5" s="366">
        <v>2022</v>
      </c>
      <c r="I5" s="365" t="s">
        <v>537</v>
      </c>
      <c r="J5" s="366">
        <v>2021</v>
      </c>
      <c r="K5" s="365" t="s">
        <v>520</v>
      </c>
      <c r="L5" s="430"/>
    </row>
    <row r="6" spans="1:12" ht="11.25" customHeight="1">
      <c r="A6" s="139" t="s">
        <v>43</v>
      </c>
      <c r="B6" s="278">
        <v>106.27169382249998</v>
      </c>
      <c r="C6" s="279">
        <v>97.214334345000026</v>
      </c>
      <c r="D6" s="280">
        <v>92.430438045000002</v>
      </c>
      <c r="E6" s="278">
        <v>110.53781431749999</v>
      </c>
      <c r="F6" s="248">
        <f t="shared" ref="F6:F11" si="0">IF(E6=0,"",D6/E6-1)</f>
        <v>-0.16381160044009746</v>
      </c>
      <c r="G6" s="278">
        <v>1559.1891163125006</v>
      </c>
      <c r="H6" s="279">
        <v>1594.1083920550002</v>
      </c>
      <c r="I6" s="252">
        <f t="shared" ref="I6:I11" si="1">IF(H6=0,"",G6/H6-1)</f>
        <v>-2.1905207899623691E-2</v>
      </c>
      <c r="J6" s="278">
        <v>1720.2077802739948</v>
      </c>
      <c r="K6" s="248">
        <f t="shared" ref="K6:K11" si="2">IF(J6=0,"",H6/J6-1)</f>
        <v>-7.3304742406704815E-2</v>
      </c>
      <c r="L6" s="431"/>
    </row>
    <row r="7" spans="1:12" ht="11.25" customHeight="1">
      <c r="A7" s="140" t="s">
        <v>37</v>
      </c>
      <c r="B7" s="281">
        <v>188.24767344500003</v>
      </c>
      <c r="C7" s="243">
        <v>179.942927285</v>
      </c>
      <c r="D7" s="282">
        <v>250.44527581749998</v>
      </c>
      <c r="E7" s="281">
        <v>202.45501991499998</v>
      </c>
      <c r="F7" s="249">
        <f t="shared" si="0"/>
        <v>0.23704157062960718</v>
      </c>
      <c r="G7" s="281">
        <v>1606.47250523</v>
      </c>
      <c r="H7" s="243">
        <v>1474.0972423825001</v>
      </c>
      <c r="I7" s="238">
        <f t="shared" si="1"/>
        <v>8.9800902573801133E-2</v>
      </c>
      <c r="J7" s="281">
        <v>1322.2768018225001</v>
      </c>
      <c r="K7" s="249">
        <f t="shared" si="2"/>
        <v>0.11481744242260405</v>
      </c>
      <c r="L7" s="431"/>
    </row>
    <row r="8" spans="1:12" ht="11.25" customHeight="1">
      <c r="A8" s="246" t="s">
        <v>29</v>
      </c>
      <c r="B8" s="330">
        <v>69.0593317525</v>
      </c>
      <c r="C8" s="287">
        <v>87.827360130000017</v>
      </c>
      <c r="D8" s="331">
        <v>100.26839323499999</v>
      </c>
      <c r="E8" s="330">
        <v>75.040616277499993</v>
      </c>
      <c r="F8" s="250">
        <f t="shared" si="0"/>
        <v>0.33618829653807403</v>
      </c>
      <c r="G8" s="330">
        <v>625.77223493250006</v>
      </c>
      <c r="H8" s="287">
        <v>581.2404993350001</v>
      </c>
      <c r="I8" s="245">
        <f t="shared" si="1"/>
        <v>7.6614990952022399E-2</v>
      </c>
      <c r="J8" s="330">
        <v>571.17249222250007</v>
      </c>
      <c r="K8" s="250">
        <f t="shared" si="2"/>
        <v>1.7626911746614793E-2</v>
      </c>
      <c r="L8" s="431"/>
    </row>
    <row r="9" spans="1:12" ht="11.25" customHeight="1">
      <c r="A9" s="140" t="s">
        <v>47</v>
      </c>
      <c r="B9" s="281">
        <v>27.041169224999997</v>
      </c>
      <c r="C9" s="243">
        <v>29.511682322499997</v>
      </c>
      <c r="D9" s="282">
        <v>31.370282867499999</v>
      </c>
      <c r="E9" s="281">
        <v>28.959644245000003</v>
      </c>
      <c r="F9" s="249">
        <f t="shared" si="0"/>
        <v>8.3241306492092049E-2</v>
      </c>
      <c r="G9" s="281">
        <v>188.64806197250002</v>
      </c>
      <c r="H9" s="243">
        <v>194.4180491425</v>
      </c>
      <c r="I9" s="238">
        <f t="shared" si="1"/>
        <v>-2.9678248472552182E-2</v>
      </c>
      <c r="J9" s="281">
        <v>194.04777303</v>
      </c>
      <c r="K9" s="249">
        <f t="shared" si="2"/>
        <v>1.9081698631127075E-3</v>
      </c>
      <c r="L9" s="432"/>
    </row>
    <row r="10" spans="1:12" ht="11.25" customHeight="1">
      <c r="A10" s="247" t="s">
        <v>48</v>
      </c>
      <c r="B10" s="332">
        <v>5.9279576</v>
      </c>
      <c r="C10" s="333">
        <v>5.2789414000000008</v>
      </c>
      <c r="D10" s="334">
        <v>5.7300966500000001</v>
      </c>
      <c r="E10" s="332">
        <v>7.1538755499999986</v>
      </c>
      <c r="F10" s="251">
        <f t="shared" si="0"/>
        <v>-0.19902203917986783</v>
      </c>
      <c r="G10" s="332">
        <v>50.198328500000002</v>
      </c>
      <c r="H10" s="333">
        <v>57.003901299999995</v>
      </c>
      <c r="I10" s="253">
        <f t="shared" si="1"/>
        <v>-0.11938784267034008</v>
      </c>
      <c r="J10" s="332">
        <v>61.040111782500013</v>
      </c>
      <c r="K10" s="251">
        <f t="shared" si="2"/>
        <v>-6.6123903850011989E-2</v>
      </c>
      <c r="L10" s="431"/>
    </row>
    <row r="11" spans="1:12" ht="11.25" customHeight="1">
      <c r="A11" s="254" t="s">
        <v>216</v>
      </c>
      <c r="B11" s="315">
        <f>+B6+B7+B8+B9+B10</f>
        <v>396.54782584499998</v>
      </c>
      <c r="C11" s="316">
        <f t="shared" ref="C11:D11" si="3">+C6+C7+C8+C9+C10</f>
        <v>399.7752454825</v>
      </c>
      <c r="D11" s="317">
        <f t="shared" si="3"/>
        <v>480.24448661499997</v>
      </c>
      <c r="E11" s="318">
        <f>+E6+E7+E8+E9+E10</f>
        <v>424.14697030499997</v>
      </c>
      <c r="F11" s="255">
        <f t="shared" si="0"/>
        <v>0.13225961809808706</v>
      </c>
      <c r="G11" s="328">
        <f>+G6+G7+G8+G9+G10</f>
        <v>4030.2802469475005</v>
      </c>
      <c r="H11" s="329">
        <f>+H6+H7+H8+H9+H10</f>
        <v>3900.8680842150006</v>
      </c>
      <c r="I11" s="256">
        <f t="shared" si="1"/>
        <v>3.3175221499073704E-2</v>
      </c>
      <c r="J11" s="328">
        <f>+J6+J7+J8+J9+J10</f>
        <v>3868.7449591314949</v>
      </c>
      <c r="K11" s="255">
        <f t="shared" si="2"/>
        <v>8.3032418582373868E-3</v>
      </c>
      <c r="L11" s="429"/>
    </row>
    <row r="12" spans="1:12" ht="24.75" customHeight="1">
      <c r="A12" s="257" t="s">
        <v>217</v>
      </c>
      <c r="B12" s="258">
        <f>B11/'4. Tipo Recurso'!B18</f>
        <v>8.2517554102441229E-2</v>
      </c>
      <c r="C12" s="539">
        <f>C11/'4. Tipo Recurso'!C18</f>
        <v>8.1492185026921571E-2</v>
      </c>
      <c r="D12" s="435">
        <f>D11/'4. Tipo Recurso'!D18</f>
        <v>9.9504520512213937E-2</v>
      </c>
      <c r="E12" s="817">
        <f>E11/'4. Tipo Recurso'!E18</f>
        <v>9.050235181858228E-2</v>
      </c>
      <c r="F12" s="259"/>
      <c r="G12" s="258">
        <f>G11/'4. Tipo Recurso'!G18</f>
        <v>9.2529835687637146E-2</v>
      </c>
      <c r="H12" s="256">
        <f>H11/'4. Tipo Recurso'!H18</f>
        <v>9.4241877515561207E-2</v>
      </c>
      <c r="I12" s="256"/>
      <c r="J12" s="258">
        <f>J11/'4. Tipo Recurso'!J18</f>
        <v>9.6362961283442572E-2</v>
      </c>
      <c r="K12" s="259"/>
      <c r="L12" s="429"/>
    </row>
    <row r="13" spans="1:12" ht="11.25" customHeight="1">
      <c r="A13" s="260" t="s">
        <v>218</v>
      </c>
      <c r="B13" s="134"/>
      <c r="C13" s="134"/>
      <c r="D13" s="134"/>
      <c r="E13" s="134"/>
      <c r="F13" s="134"/>
      <c r="G13" s="134"/>
      <c r="H13" s="134"/>
      <c r="I13" s="134"/>
      <c r="J13" s="134"/>
      <c r="K13" s="135"/>
      <c r="L13" s="429"/>
    </row>
    <row r="14" spans="1:12" ht="35.25" customHeight="1">
      <c r="A14" s="870" t="s">
        <v>595</v>
      </c>
      <c r="B14" s="870"/>
      <c r="C14" s="870"/>
      <c r="D14" s="870"/>
      <c r="E14" s="870"/>
      <c r="F14" s="870"/>
      <c r="G14" s="870"/>
      <c r="H14" s="870"/>
      <c r="I14" s="870"/>
      <c r="J14" s="870"/>
      <c r="K14" s="870"/>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66"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5" s="866"/>
      <c r="C35" s="866"/>
      <c r="D35" s="866"/>
      <c r="E35" s="866"/>
      <c r="F35" s="866"/>
      <c r="G35" s="866"/>
      <c r="H35" s="866"/>
      <c r="I35" s="866"/>
      <c r="J35" s="866"/>
      <c r="K35" s="866"/>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4826.3584824375002</v>
      </c>
      <c r="G40" s="261" t="s">
        <v>220</v>
      </c>
      <c r="H40" s="138"/>
      <c r="I40" s="138"/>
      <c r="J40" s="138"/>
      <c r="K40" s="138"/>
      <c r="L40" s="581"/>
      <c r="M40" s="583">
        <f>+F40-F41</f>
        <v>4346.1184824375005</v>
      </c>
      <c r="N40" s="277"/>
      <c r="O40" s="277"/>
      <c r="P40" s="434"/>
    </row>
    <row r="41" spans="1:16" ht="11.25" customHeight="1">
      <c r="A41" s="136"/>
      <c r="B41" s="138"/>
      <c r="C41" s="261" t="s">
        <v>222</v>
      </c>
      <c r="D41" s="158"/>
      <c r="E41" s="158"/>
      <c r="F41" s="327">
        <f>ROUND(D11,2)</f>
        <v>480.24</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setiembre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3"/>
  <sheetViews>
    <sheetView showGridLines="0" view="pageBreakPreview" zoomScale="115" zoomScaleNormal="100" zoomScaleSheetLayoutView="115" workbookViewId="0">
      <selection activeCell="B14" sqref="B14"/>
    </sheetView>
  </sheetViews>
  <sheetFormatPr baseColWidth="10" defaultColWidth="9.33203125" defaultRowHeight="11.25"/>
  <cols>
    <col min="1" max="1" width="30.1640625" customWidth="1"/>
    <col min="2" max="2" width="11.5" bestFit="1" customWidth="1"/>
    <col min="3" max="3" width="11" bestFit="1" customWidth="1"/>
    <col min="4" max="4" width="10.33203125" bestFit="1" customWidth="1"/>
    <col min="8" max="8" width="8" customWidth="1"/>
    <col min="10" max="10" width="8.83203125" customWidth="1"/>
    <col min="11" max="11" width="9.33203125" customWidth="1"/>
    <col min="12" max="12" width="22.83203125" style="662" customWidth="1"/>
    <col min="13" max="13" width="19.1640625" style="277" customWidth="1"/>
    <col min="14" max="14" width="10.5" style="277" bestFit="1" customWidth="1"/>
    <col min="15" max="15" width="9.5" style="277" bestFit="1" customWidth="1"/>
    <col min="16" max="18" width="9.33203125" style="662"/>
  </cols>
  <sheetData>
    <row r="1" spans="1:15" ht="11.25" customHeight="1">
      <c r="A1" s="869" t="s">
        <v>228</v>
      </c>
      <c r="B1" s="869"/>
      <c r="C1" s="869"/>
      <c r="D1" s="869"/>
      <c r="E1" s="869"/>
      <c r="F1" s="869"/>
      <c r="G1" s="869"/>
      <c r="H1" s="869"/>
      <c r="I1" s="869"/>
      <c r="J1" s="869"/>
      <c r="K1" s="17"/>
    </row>
    <row r="2" spans="1:15" ht="6" customHeight="1">
      <c r="A2" s="17"/>
      <c r="B2" s="17"/>
      <c r="C2" s="17"/>
      <c r="D2" s="17"/>
      <c r="E2" s="17"/>
      <c r="F2" s="17"/>
      <c r="G2" s="17"/>
      <c r="H2" s="17"/>
      <c r="I2" s="17"/>
      <c r="J2" s="17"/>
      <c r="K2" s="17"/>
      <c r="L2" s="664"/>
      <c r="M2" s="707"/>
    </row>
    <row r="3" spans="1:15" ht="11.25" customHeight="1">
      <c r="A3" s="873" t="s">
        <v>238</v>
      </c>
      <c r="B3" s="874" t="str">
        <f>+'1. Resumen'!Q4</f>
        <v>setiembre</v>
      </c>
      <c r="C3" s="875"/>
      <c r="D3" s="875"/>
      <c r="E3" s="138"/>
      <c r="F3" s="138"/>
      <c r="G3" s="876" t="s">
        <v>549</v>
      </c>
      <c r="H3" s="876"/>
      <c r="I3" s="876"/>
      <c r="J3" s="876"/>
      <c r="K3" s="138"/>
      <c r="M3" s="708"/>
      <c r="N3" s="709">
        <v>2023</v>
      </c>
      <c r="O3" s="709">
        <v>2022</v>
      </c>
    </row>
    <row r="4" spans="1:15" ht="11.25" customHeight="1">
      <c r="A4" s="873"/>
      <c r="B4" s="367">
        <f>+'1. Resumen'!Q5</f>
        <v>2023</v>
      </c>
      <c r="C4" s="368">
        <f>+B4-1</f>
        <v>2022</v>
      </c>
      <c r="D4" s="368" t="s">
        <v>34</v>
      </c>
      <c r="E4" s="138"/>
      <c r="F4" s="138"/>
      <c r="G4" s="138"/>
      <c r="H4" s="138"/>
      <c r="I4" s="138"/>
      <c r="J4" s="138"/>
      <c r="K4" s="138"/>
      <c r="L4" s="714"/>
      <c r="M4" s="710" t="s">
        <v>96</v>
      </c>
      <c r="N4" s="711"/>
      <c r="O4" s="711">
        <v>108.78785724999999</v>
      </c>
    </row>
    <row r="5" spans="1:15" ht="10.5" customHeight="1">
      <c r="A5" s="585" t="s">
        <v>390</v>
      </c>
      <c r="B5" s="734">
        <v>961.70301054499998</v>
      </c>
      <c r="C5" s="735">
        <v>951.40427125000019</v>
      </c>
      <c r="D5" s="586">
        <f>IF(C5=0,"",B5/C5-1)</f>
        <v>1.0824777233203742E-2</v>
      </c>
      <c r="E5" s="138"/>
      <c r="F5" s="138"/>
      <c r="G5" s="138"/>
      <c r="H5" s="138"/>
      <c r="I5" s="138"/>
      <c r="J5" s="138"/>
      <c r="K5" s="138"/>
      <c r="L5" s="715"/>
      <c r="M5" s="710" t="s">
        <v>236</v>
      </c>
      <c r="N5" s="711">
        <v>0</v>
      </c>
      <c r="O5" s="711">
        <v>0</v>
      </c>
    </row>
    <row r="6" spans="1:15" ht="10.5" customHeight="1">
      <c r="A6" s="587" t="s">
        <v>86</v>
      </c>
      <c r="B6" s="736">
        <v>895.26787300000024</v>
      </c>
      <c r="C6" s="736">
        <v>598.5217080000001</v>
      </c>
      <c r="D6" s="588">
        <f t="shared" ref="D6:D64" si="0">IF(C6=0,"",B6/C6-1)</f>
        <v>0.4957984999267564</v>
      </c>
      <c r="E6" s="322"/>
      <c r="F6" s="138"/>
      <c r="G6" s="138"/>
      <c r="H6" s="138"/>
      <c r="I6" s="138"/>
      <c r="J6" s="138"/>
      <c r="K6" s="138"/>
      <c r="M6" s="711" t="s">
        <v>114</v>
      </c>
      <c r="N6" s="711">
        <v>2.8031975000000001E-2</v>
      </c>
      <c r="O6" s="711">
        <v>0.17726348750000001</v>
      </c>
    </row>
    <row r="7" spans="1:15" ht="10.5" customHeight="1">
      <c r="A7" s="585" t="s">
        <v>85</v>
      </c>
      <c r="B7" s="735">
        <v>833.69971275749981</v>
      </c>
      <c r="C7" s="735">
        <v>708.68248098499998</v>
      </c>
      <c r="D7" s="586">
        <f t="shared" si="0"/>
        <v>0.17640796143110249</v>
      </c>
      <c r="E7" s="138"/>
      <c r="F7" s="138"/>
      <c r="G7" s="138"/>
      <c r="H7" s="138"/>
      <c r="I7" s="138"/>
      <c r="J7" s="138"/>
      <c r="K7" s="138"/>
      <c r="M7" s="710" t="s">
        <v>446</v>
      </c>
      <c r="N7" s="711">
        <v>0.22091166999999998</v>
      </c>
      <c r="O7" s="711">
        <v>0.33088889249999998</v>
      </c>
    </row>
    <row r="8" spans="1:15" ht="10.5" customHeight="1">
      <c r="A8" s="587" t="s">
        <v>87</v>
      </c>
      <c r="B8" s="736">
        <v>459.19292172000007</v>
      </c>
      <c r="C8" s="736">
        <v>536.77286196</v>
      </c>
      <c r="D8" s="588">
        <f t="shared" si="0"/>
        <v>-0.14453029528490047</v>
      </c>
      <c r="E8" s="138"/>
      <c r="F8" s="138"/>
      <c r="G8" s="138"/>
      <c r="H8" s="138"/>
      <c r="I8" s="138"/>
      <c r="J8" s="138"/>
      <c r="K8" s="138"/>
      <c r="M8" s="711" t="s">
        <v>517</v>
      </c>
      <c r="N8" s="711">
        <v>0.26052405000000001</v>
      </c>
      <c r="O8" s="711">
        <v>0.26329651999999998</v>
      </c>
    </row>
    <row r="9" spans="1:15" ht="10.5" customHeight="1">
      <c r="A9" s="585" t="s">
        <v>232</v>
      </c>
      <c r="B9" s="735">
        <v>406.82220158500002</v>
      </c>
      <c r="C9" s="735">
        <v>390.43313621750002</v>
      </c>
      <c r="D9" s="586">
        <f t="shared" si="0"/>
        <v>4.1976625053592009E-2</v>
      </c>
      <c r="E9" s="138"/>
      <c r="F9" s="138"/>
      <c r="G9" s="138"/>
      <c r="H9" s="138"/>
      <c r="I9" s="138"/>
      <c r="J9" s="138"/>
      <c r="K9" s="138"/>
      <c r="L9" s="714"/>
      <c r="M9" s="711" t="s">
        <v>116</v>
      </c>
      <c r="N9" s="711">
        <v>0.87052809750000004</v>
      </c>
      <c r="O9" s="711">
        <v>3.3266396500000002</v>
      </c>
    </row>
    <row r="10" spans="1:15" ht="10.5" customHeight="1">
      <c r="A10" s="587" t="s">
        <v>98</v>
      </c>
      <c r="B10" s="736">
        <v>205.73270099999996</v>
      </c>
      <c r="C10" s="736">
        <v>199.60011030749999</v>
      </c>
      <c r="D10" s="588">
        <f t="shared" si="0"/>
        <v>3.0724385287424161E-2</v>
      </c>
      <c r="E10" s="138"/>
      <c r="F10" s="138"/>
      <c r="G10" s="138"/>
      <c r="H10" s="138"/>
      <c r="I10" s="138"/>
      <c r="J10" s="138"/>
      <c r="K10" s="138"/>
      <c r="L10" s="715"/>
      <c r="M10" s="711" t="s">
        <v>113</v>
      </c>
      <c r="N10" s="711">
        <v>0.88280822999999997</v>
      </c>
      <c r="O10" s="711">
        <v>1.34565275</v>
      </c>
    </row>
    <row r="11" spans="1:15" ht="10.5" customHeight="1">
      <c r="A11" s="585" t="s">
        <v>88</v>
      </c>
      <c r="B11" s="735">
        <v>117.3652005725</v>
      </c>
      <c r="C11" s="735">
        <v>146.82310203499998</v>
      </c>
      <c r="D11" s="586">
        <f t="shared" si="0"/>
        <v>-0.20063532955105212</v>
      </c>
      <c r="E11" s="138"/>
      <c r="F11" s="138"/>
      <c r="G11" s="138"/>
      <c r="H11" s="138"/>
      <c r="I11" s="138"/>
      <c r="J11" s="138"/>
      <c r="K11" s="138"/>
      <c r="L11" s="715"/>
      <c r="M11" s="710" t="s">
        <v>516</v>
      </c>
      <c r="N11" s="711">
        <v>0.94071642999999994</v>
      </c>
      <c r="O11" s="711">
        <v>1.1341358375000001</v>
      </c>
    </row>
    <row r="12" spans="1:15" ht="10.5" customHeight="1">
      <c r="A12" s="587" t="s">
        <v>234</v>
      </c>
      <c r="B12" s="736">
        <v>83.0567803</v>
      </c>
      <c r="C12" s="736">
        <v>108.2747775</v>
      </c>
      <c r="D12" s="589">
        <f t="shared" si="0"/>
        <v>-0.23290740264970755</v>
      </c>
      <c r="E12" s="138"/>
      <c r="F12" s="138"/>
      <c r="G12" s="138"/>
      <c r="H12" s="138"/>
      <c r="I12" s="138"/>
      <c r="J12" s="138"/>
      <c r="K12" s="138"/>
      <c r="L12" s="715"/>
      <c r="M12" s="710" t="s">
        <v>111</v>
      </c>
      <c r="N12" s="711">
        <v>1.1583418000000001</v>
      </c>
      <c r="O12" s="711">
        <v>1.5370052250000001</v>
      </c>
    </row>
    <row r="13" spans="1:15" ht="10.5" customHeight="1">
      <c r="A13" s="585" t="s">
        <v>237</v>
      </c>
      <c r="B13" s="735">
        <v>76.499341622499998</v>
      </c>
      <c r="C13" s="735">
        <v>0.39804674999999995</v>
      </c>
      <c r="D13" s="586">
        <f t="shared" si="0"/>
        <v>191.18682635268345</v>
      </c>
      <c r="E13" s="138"/>
      <c r="F13" s="138"/>
      <c r="G13" s="138"/>
      <c r="H13" s="138"/>
      <c r="I13" s="138"/>
      <c r="J13" s="138"/>
      <c r="K13" s="138"/>
      <c r="L13" s="715"/>
      <c r="M13" s="711" t="s">
        <v>229</v>
      </c>
      <c r="N13" s="711">
        <v>1.1608021025000002</v>
      </c>
      <c r="O13" s="711">
        <v>0.43082889749999997</v>
      </c>
    </row>
    <row r="14" spans="1:15" ht="10.5" customHeight="1">
      <c r="A14" s="587" t="s">
        <v>90</v>
      </c>
      <c r="B14" s="736">
        <v>67.752224250000012</v>
      </c>
      <c r="C14" s="736">
        <v>85.686941250000004</v>
      </c>
      <c r="D14" s="588">
        <f t="shared" si="0"/>
        <v>-0.20930513726325817</v>
      </c>
      <c r="E14" s="138"/>
      <c r="F14" s="138"/>
      <c r="G14" s="138"/>
      <c r="H14" s="138"/>
      <c r="I14" s="138"/>
      <c r="J14" s="138"/>
      <c r="K14" s="138"/>
      <c r="L14" s="715"/>
      <c r="M14" s="711" t="s">
        <v>102</v>
      </c>
      <c r="N14" s="711">
        <v>1.729740115</v>
      </c>
      <c r="O14" s="711">
        <v>3.9255816824999998</v>
      </c>
    </row>
    <row r="15" spans="1:15" ht="10.5" customHeight="1">
      <c r="A15" s="585" t="s">
        <v>89</v>
      </c>
      <c r="B15" s="735">
        <v>67.446096454999989</v>
      </c>
      <c r="C15" s="735">
        <v>80.013880867500006</v>
      </c>
      <c r="D15" s="586">
        <f t="shared" si="0"/>
        <v>-0.15707005179903466</v>
      </c>
      <c r="E15" s="138"/>
      <c r="F15" s="138"/>
      <c r="G15" s="138"/>
      <c r="H15" s="138"/>
      <c r="I15" s="138"/>
      <c r="J15" s="138"/>
      <c r="K15" s="138" t="s">
        <v>8</v>
      </c>
      <c r="L15" s="715"/>
      <c r="M15" s="711" t="s">
        <v>436</v>
      </c>
      <c r="N15" s="711">
        <v>1.83143024</v>
      </c>
      <c r="O15" s="711">
        <v>3.5522643125000002</v>
      </c>
    </row>
    <row r="16" spans="1:15" ht="10.5" customHeight="1">
      <c r="A16" s="587" t="s">
        <v>94</v>
      </c>
      <c r="B16" s="736">
        <v>65.310528250000004</v>
      </c>
      <c r="C16" s="736">
        <v>65.371778750000004</v>
      </c>
      <c r="D16" s="588">
        <f t="shared" si="0"/>
        <v>-9.3695630088697079E-4</v>
      </c>
      <c r="E16" s="138"/>
      <c r="F16" s="138"/>
      <c r="G16" s="138"/>
      <c r="H16" s="138"/>
      <c r="I16" s="138"/>
      <c r="J16" s="138"/>
      <c r="K16" s="138"/>
      <c r="L16" s="715"/>
      <c r="M16" s="711" t="s">
        <v>112</v>
      </c>
      <c r="N16" s="711">
        <v>2.1720999999999999</v>
      </c>
      <c r="O16" s="711">
        <v>2.2746999999999997</v>
      </c>
    </row>
    <row r="17" spans="1:15" ht="10.5" customHeight="1">
      <c r="A17" s="585" t="s">
        <v>103</v>
      </c>
      <c r="B17" s="735">
        <v>56.5691946325</v>
      </c>
      <c r="C17" s="735">
        <v>46.905791722499998</v>
      </c>
      <c r="D17" s="586">
        <f t="shared" si="0"/>
        <v>0.20601726471583293</v>
      </c>
      <c r="E17" s="138"/>
      <c r="F17" s="138"/>
      <c r="G17" s="138"/>
      <c r="H17" s="138"/>
      <c r="I17" s="138"/>
      <c r="J17" s="138"/>
      <c r="K17" s="138"/>
      <c r="L17" s="716"/>
      <c r="M17" s="710" t="s">
        <v>110</v>
      </c>
      <c r="N17" s="711">
        <v>2.8839537399999999</v>
      </c>
      <c r="O17" s="711">
        <v>1.8244124174999998</v>
      </c>
    </row>
    <row r="18" spans="1:15" ht="10.5" customHeight="1">
      <c r="A18" s="587" t="s">
        <v>97</v>
      </c>
      <c r="B18" s="736">
        <v>45.001129165000002</v>
      </c>
      <c r="C18" s="736">
        <v>56.684076425000001</v>
      </c>
      <c r="D18" s="588">
        <f t="shared" si="0"/>
        <v>-0.20610633526785915</v>
      </c>
      <c r="E18" s="138"/>
      <c r="F18" s="138"/>
      <c r="G18" s="138"/>
      <c r="H18" s="138"/>
      <c r="I18" s="138"/>
      <c r="J18" s="138"/>
      <c r="K18" s="138"/>
      <c r="L18" s="715"/>
      <c r="M18" s="711" t="s">
        <v>107</v>
      </c>
      <c r="N18" s="711">
        <v>3.73867474</v>
      </c>
      <c r="O18" s="711">
        <v>4.3936759499999996</v>
      </c>
    </row>
    <row r="19" spans="1:15" ht="10.5" customHeight="1">
      <c r="A19" s="585" t="s">
        <v>95</v>
      </c>
      <c r="B19" s="735">
        <v>41.307495000000003</v>
      </c>
      <c r="C19" s="735">
        <v>48.955121024999997</v>
      </c>
      <c r="D19" s="586">
        <f t="shared" si="0"/>
        <v>-0.15621707933465356</v>
      </c>
      <c r="E19" s="138"/>
      <c r="F19" s="138"/>
      <c r="G19" s="138"/>
      <c r="H19" s="138"/>
      <c r="I19" s="138"/>
      <c r="J19" s="138"/>
      <c r="K19" s="138"/>
      <c r="L19" s="715"/>
      <c r="M19" s="710" t="s">
        <v>443</v>
      </c>
      <c r="N19" s="711">
        <v>4.0078735000000005</v>
      </c>
      <c r="O19" s="711">
        <v>3.9791716275</v>
      </c>
    </row>
    <row r="20" spans="1:15" ht="10.5" customHeight="1">
      <c r="A20" s="587" t="s">
        <v>91</v>
      </c>
      <c r="B20" s="736">
        <v>37.441067000000004</v>
      </c>
      <c r="C20" s="736">
        <v>42.28803525</v>
      </c>
      <c r="D20" s="588">
        <f t="shared" si="0"/>
        <v>-0.11461795804287211</v>
      </c>
      <c r="E20" s="138"/>
      <c r="F20" s="138"/>
      <c r="G20" s="138"/>
      <c r="H20" s="138"/>
      <c r="I20" s="138"/>
      <c r="J20" s="138"/>
      <c r="K20" s="138"/>
      <c r="L20" s="715"/>
      <c r="M20" s="711" t="s">
        <v>442</v>
      </c>
      <c r="N20" s="711">
        <v>4.0944099999999999</v>
      </c>
      <c r="O20" s="711">
        <v>4.042351</v>
      </c>
    </row>
    <row r="21" spans="1:15" ht="10.5" customHeight="1">
      <c r="A21" s="585" t="s">
        <v>92</v>
      </c>
      <c r="B21" s="735">
        <v>36.077453074999994</v>
      </c>
      <c r="C21" s="735">
        <v>60.038337075000001</v>
      </c>
      <c r="D21" s="586">
        <f t="shared" si="0"/>
        <v>-0.39909306565350111</v>
      </c>
      <c r="E21" s="138"/>
      <c r="F21" s="138"/>
      <c r="G21" s="138"/>
      <c r="H21" s="138"/>
      <c r="I21" s="138"/>
      <c r="J21" s="138"/>
      <c r="K21" s="138"/>
      <c r="L21" s="716"/>
      <c r="M21" s="710" t="s">
        <v>108</v>
      </c>
      <c r="N21" s="711">
        <v>4.2076391774999999</v>
      </c>
      <c r="O21" s="711">
        <v>4.45519467</v>
      </c>
    </row>
    <row r="22" spans="1:15" ht="10.5" customHeight="1">
      <c r="A22" s="587" t="s">
        <v>93</v>
      </c>
      <c r="B22" s="736">
        <v>35.9461605925</v>
      </c>
      <c r="C22" s="736">
        <v>56.119326152500008</v>
      </c>
      <c r="D22" s="588">
        <f t="shared" si="0"/>
        <v>-0.35946913377364798</v>
      </c>
      <c r="E22" s="138"/>
      <c r="F22" s="138"/>
      <c r="G22" s="138"/>
      <c r="H22" s="138"/>
      <c r="I22" s="138"/>
      <c r="J22" s="138"/>
      <c r="K22" s="138"/>
      <c r="L22" s="715"/>
      <c r="M22" s="710" t="s">
        <v>230</v>
      </c>
      <c r="N22" s="711">
        <v>4.5880560324999999</v>
      </c>
      <c r="O22" s="711">
        <v>45.402496552499997</v>
      </c>
    </row>
    <row r="23" spans="1:15" ht="10.5" customHeight="1">
      <c r="A23" s="585" t="s">
        <v>405</v>
      </c>
      <c r="B23" s="735">
        <v>35.540032759999995</v>
      </c>
      <c r="C23" s="735">
        <v>44.021163774999998</v>
      </c>
      <c r="D23" s="586">
        <f t="shared" si="0"/>
        <v>-0.19266030899020692</v>
      </c>
      <c r="E23" s="138"/>
      <c r="F23" s="138"/>
      <c r="G23" s="138"/>
      <c r="H23" s="138"/>
      <c r="I23" s="138"/>
      <c r="J23" s="138"/>
      <c r="K23" s="138"/>
      <c r="L23" s="715"/>
      <c r="M23" s="710" t="s">
        <v>105</v>
      </c>
      <c r="N23" s="711">
        <v>5.0573886249999997</v>
      </c>
      <c r="O23" s="711">
        <v>5.3450408850000004</v>
      </c>
    </row>
    <row r="24" spans="1:15" ht="10.5" customHeight="1">
      <c r="A24" s="587" t="s">
        <v>231</v>
      </c>
      <c r="B24" s="736">
        <v>31.01171119</v>
      </c>
      <c r="C24" s="736">
        <v>33.925130732500001</v>
      </c>
      <c r="D24" s="588">
        <f t="shared" si="0"/>
        <v>-8.5877916447024027E-2</v>
      </c>
      <c r="E24" s="138"/>
      <c r="F24" s="138"/>
      <c r="G24" s="138"/>
      <c r="H24" s="138"/>
      <c r="I24" s="138"/>
      <c r="J24" s="138"/>
      <c r="K24" s="138"/>
      <c r="L24" s="715"/>
      <c r="M24" s="711" t="s">
        <v>406</v>
      </c>
      <c r="N24" s="711">
        <v>5.4897718825000004</v>
      </c>
      <c r="O24" s="711">
        <v>3.7835683025</v>
      </c>
    </row>
    <row r="25" spans="1:15" ht="10.5" customHeight="1">
      <c r="A25" s="585" t="s">
        <v>100</v>
      </c>
      <c r="B25" s="735">
        <v>22.144131529999999</v>
      </c>
      <c r="C25" s="735">
        <v>20.458332267500001</v>
      </c>
      <c r="D25" s="586">
        <f t="shared" si="0"/>
        <v>8.2401597571960972E-2</v>
      </c>
      <c r="E25" s="138"/>
      <c r="F25" s="138"/>
      <c r="G25" s="138"/>
      <c r="H25" s="138"/>
      <c r="I25" s="138"/>
      <c r="J25" s="138"/>
      <c r="K25" s="138"/>
      <c r="L25" s="715"/>
      <c r="M25" s="710" t="s">
        <v>428</v>
      </c>
      <c r="N25" s="711">
        <v>5.5622627649999998</v>
      </c>
      <c r="O25" s="711">
        <v>4.8732327575000003</v>
      </c>
    </row>
    <row r="26" spans="1:15" ht="10.5" customHeight="1">
      <c r="A26" s="587" t="s">
        <v>99</v>
      </c>
      <c r="B26" s="736">
        <v>19.543344497500001</v>
      </c>
      <c r="C26" s="736">
        <v>22.3126743125</v>
      </c>
      <c r="D26" s="588">
        <f t="shared" si="0"/>
        <v>-0.12411465233679164</v>
      </c>
      <c r="E26" s="138"/>
      <c r="F26" s="138"/>
      <c r="G26" s="138"/>
      <c r="H26" s="138"/>
      <c r="I26" s="138"/>
      <c r="J26" s="138"/>
      <c r="K26" s="138"/>
      <c r="L26" s="715"/>
      <c r="M26" s="710" t="s">
        <v>391</v>
      </c>
      <c r="N26" s="711">
        <v>5.730096650000001</v>
      </c>
      <c r="O26" s="711">
        <v>7.1538755499999995</v>
      </c>
    </row>
    <row r="27" spans="1:15" ht="10.5" customHeight="1">
      <c r="A27" s="590" t="s">
        <v>235</v>
      </c>
      <c r="B27" s="735">
        <v>14.909885792499999</v>
      </c>
      <c r="C27" s="735">
        <v>19.259467040000001</v>
      </c>
      <c r="D27" s="586">
        <f t="shared" si="0"/>
        <v>-0.22584120518321471</v>
      </c>
      <c r="E27" s="138"/>
      <c r="F27" s="138"/>
      <c r="G27" s="138"/>
      <c r="H27" s="138"/>
      <c r="I27" s="138"/>
      <c r="J27" s="138"/>
      <c r="K27" s="138"/>
      <c r="L27" s="715"/>
      <c r="M27" s="710" t="s">
        <v>427</v>
      </c>
      <c r="N27" s="711">
        <v>6.1755750000000003</v>
      </c>
      <c r="O27" s="711">
        <v>5.500669845</v>
      </c>
    </row>
    <row r="28" spans="1:15" ht="10.5" customHeight="1">
      <c r="A28" s="591" t="s">
        <v>109</v>
      </c>
      <c r="B28" s="736">
        <v>14.281495645</v>
      </c>
      <c r="C28" s="736">
        <v>15.446935289999999</v>
      </c>
      <c r="D28" s="588">
        <f t="shared" si="0"/>
        <v>-7.5447952821714681E-2</v>
      </c>
      <c r="E28" s="138"/>
      <c r="F28" s="138"/>
      <c r="G28" s="138"/>
      <c r="H28" s="138"/>
      <c r="I28" s="138"/>
      <c r="J28" s="138"/>
      <c r="K28" s="138"/>
      <c r="L28" s="715"/>
      <c r="M28" s="711" t="s">
        <v>419</v>
      </c>
      <c r="N28" s="711">
        <v>6.8851207749999999</v>
      </c>
      <c r="O28" s="711">
        <v>6.8319208299999996</v>
      </c>
    </row>
    <row r="29" spans="1:15" ht="10.5" customHeight="1">
      <c r="A29" s="592" t="s">
        <v>452</v>
      </c>
      <c r="B29" s="735">
        <v>12.377784999999999</v>
      </c>
      <c r="C29" s="735">
        <v>15.878939425</v>
      </c>
      <c r="D29" s="586">
        <f t="shared" si="0"/>
        <v>-0.22049044531826478</v>
      </c>
      <c r="E29" s="138"/>
      <c r="F29" s="138"/>
      <c r="G29" s="138"/>
      <c r="H29" s="138"/>
      <c r="I29" s="138"/>
      <c r="J29" s="138"/>
      <c r="K29" s="138"/>
      <c r="L29" s="715"/>
      <c r="M29" s="711" t="s">
        <v>448</v>
      </c>
      <c r="N29" s="711">
        <v>7.6756467650000006</v>
      </c>
      <c r="O29" s="711">
        <v>8.1272543374999984</v>
      </c>
    </row>
    <row r="30" spans="1:15" ht="10.5" customHeight="1">
      <c r="A30" s="591" t="s">
        <v>101</v>
      </c>
      <c r="B30" s="736">
        <v>12.1130003725</v>
      </c>
      <c r="C30" s="736">
        <v>11.2162641875</v>
      </c>
      <c r="D30" s="588">
        <f t="shared" si="0"/>
        <v>7.9949631179280667E-2</v>
      </c>
      <c r="E30" s="138"/>
      <c r="F30" s="138"/>
      <c r="G30" s="138"/>
      <c r="H30" s="138"/>
      <c r="I30" s="138"/>
      <c r="J30" s="138"/>
      <c r="K30" s="138"/>
      <c r="L30" s="715"/>
      <c r="M30" s="711" t="s">
        <v>397</v>
      </c>
      <c r="N30" s="711">
        <v>7.7319830475</v>
      </c>
      <c r="O30" s="711">
        <v>9.4913914525000003</v>
      </c>
    </row>
    <row r="31" spans="1:15" ht="10.5" customHeight="1">
      <c r="A31" s="592" t="s">
        <v>106</v>
      </c>
      <c r="B31" s="735">
        <v>11.1122490025</v>
      </c>
      <c r="C31" s="735">
        <v>13.9886371175</v>
      </c>
      <c r="D31" s="586">
        <f t="shared" si="0"/>
        <v>-0.20562318479200481</v>
      </c>
      <c r="E31" s="138"/>
      <c r="F31" s="138"/>
      <c r="G31" s="138"/>
      <c r="H31" s="138"/>
      <c r="I31" s="138"/>
      <c r="J31" s="138"/>
      <c r="K31" s="138"/>
      <c r="L31" s="715"/>
      <c r="M31" s="710" t="s">
        <v>444</v>
      </c>
      <c r="N31" s="711">
        <v>7.7355354424999998</v>
      </c>
      <c r="O31" s="711">
        <v>4.8656187424999997</v>
      </c>
    </row>
    <row r="32" spans="1:15" ht="10.5" customHeight="1">
      <c r="A32" s="593" t="s">
        <v>447</v>
      </c>
      <c r="B32" s="736">
        <v>10.21342924</v>
      </c>
      <c r="C32" s="736">
        <v>10.291051124999999</v>
      </c>
      <c r="D32" s="588">
        <f t="shared" si="0"/>
        <v>-7.5426585736643181E-3</v>
      </c>
      <c r="E32" s="138"/>
      <c r="F32" s="138"/>
      <c r="G32" s="138"/>
      <c r="H32" s="138"/>
      <c r="I32" s="138"/>
      <c r="J32" s="138"/>
      <c r="K32" s="138"/>
      <c r="L32" s="715"/>
      <c r="M32" s="710" t="s">
        <v>382</v>
      </c>
      <c r="N32" s="711">
        <v>9.0539346574999993</v>
      </c>
      <c r="O32" s="711">
        <v>12.354921969999999</v>
      </c>
    </row>
    <row r="33" spans="1:15" ht="10.5" customHeight="1">
      <c r="A33" s="594" t="s">
        <v>115</v>
      </c>
      <c r="B33" s="735">
        <v>10.142815882499999</v>
      </c>
      <c r="C33" s="735">
        <v>1.2575046025000003</v>
      </c>
      <c r="D33" s="586">
        <f t="shared" si="0"/>
        <v>7.0658280393848472</v>
      </c>
      <c r="E33" s="138"/>
      <c r="F33" s="138"/>
      <c r="G33" s="138"/>
      <c r="H33" s="138"/>
      <c r="I33" s="138"/>
      <c r="J33" s="138"/>
      <c r="K33" s="138"/>
      <c r="L33" s="717"/>
      <c r="M33" s="710" t="s">
        <v>445</v>
      </c>
      <c r="N33" s="711">
        <v>9.1080067299999996</v>
      </c>
      <c r="O33" s="711">
        <v>6.0321876825</v>
      </c>
    </row>
    <row r="34" spans="1:15" ht="10.5" customHeight="1">
      <c r="A34" s="593" t="s">
        <v>233</v>
      </c>
      <c r="B34" s="736">
        <v>10.090709777499999</v>
      </c>
      <c r="C34" s="736">
        <v>10.336675594999999</v>
      </c>
      <c r="D34" s="588">
        <f t="shared" si="0"/>
        <v>-2.379544711831505E-2</v>
      </c>
      <c r="E34" s="138"/>
      <c r="F34" s="138"/>
      <c r="G34" s="138"/>
      <c r="H34" s="138"/>
      <c r="I34" s="138"/>
      <c r="J34" s="138"/>
      <c r="K34" s="138"/>
      <c r="L34" s="717"/>
      <c r="M34" s="710" t="s">
        <v>117</v>
      </c>
      <c r="N34" s="711">
        <v>9.8323643049999987</v>
      </c>
      <c r="O34" s="711">
        <v>9.2376218899999998</v>
      </c>
    </row>
    <row r="35" spans="1:15" ht="10.5" customHeight="1">
      <c r="A35" s="594" t="s">
        <v>104</v>
      </c>
      <c r="B35" s="735">
        <v>9.8725716799999983</v>
      </c>
      <c r="C35" s="735">
        <v>10.4377842075</v>
      </c>
      <c r="D35" s="586">
        <f t="shared" si="0"/>
        <v>-5.415062395080672E-2</v>
      </c>
      <c r="E35" s="138"/>
      <c r="F35" s="138"/>
      <c r="G35" s="138"/>
      <c r="H35" s="138"/>
      <c r="I35" s="138"/>
      <c r="J35" s="138"/>
      <c r="K35" s="138"/>
      <c r="L35" s="716"/>
      <c r="M35" s="711" t="s">
        <v>104</v>
      </c>
      <c r="N35" s="711">
        <v>9.8725716799999983</v>
      </c>
      <c r="O35" s="711">
        <v>10.4377842075</v>
      </c>
    </row>
    <row r="36" spans="1:15" ht="10.5" customHeight="1">
      <c r="A36" s="593" t="s">
        <v>117</v>
      </c>
      <c r="B36" s="736">
        <v>9.8323643049999987</v>
      </c>
      <c r="C36" s="736">
        <v>9.2376218899999998</v>
      </c>
      <c r="D36" s="588">
        <f t="shared" si="0"/>
        <v>6.4382632465594281E-2</v>
      </c>
      <c r="E36" s="138"/>
      <c r="F36" s="138"/>
      <c r="G36" s="138"/>
      <c r="H36" s="138"/>
      <c r="I36" s="138"/>
      <c r="J36" s="138"/>
      <c r="K36" s="138"/>
      <c r="L36" s="716"/>
      <c r="M36" s="710" t="s">
        <v>233</v>
      </c>
      <c r="N36" s="711">
        <v>10.090709777499999</v>
      </c>
      <c r="O36" s="711">
        <v>10.336675594999999</v>
      </c>
    </row>
    <row r="37" spans="1:15" ht="10.5" customHeight="1">
      <c r="A37" s="594" t="s">
        <v>445</v>
      </c>
      <c r="B37" s="735">
        <v>9.1080067299999996</v>
      </c>
      <c r="C37" s="735">
        <v>6.0321876825</v>
      </c>
      <c r="D37" s="586">
        <f t="shared" si="0"/>
        <v>0.50990108554202784</v>
      </c>
      <c r="E37" s="138"/>
      <c r="F37" s="138"/>
      <c r="G37" s="138"/>
      <c r="H37" s="138"/>
      <c r="I37" s="138"/>
      <c r="J37" s="138"/>
      <c r="K37" s="138"/>
      <c r="L37" s="716"/>
      <c r="M37" s="711" t="s">
        <v>115</v>
      </c>
      <c r="N37" s="711">
        <v>10.142815882499999</v>
      </c>
      <c r="O37" s="711">
        <v>1.2575046025000003</v>
      </c>
    </row>
    <row r="38" spans="1:15" ht="10.5" customHeight="1">
      <c r="A38" s="593" t="s">
        <v>382</v>
      </c>
      <c r="B38" s="736">
        <v>9.0539346574999993</v>
      </c>
      <c r="C38" s="736">
        <v>12.354921969999999</v>
      </c>
      <c r="D38" s="588">
        <f t="shared" si="0"/>
        <v>-0.26717994014979607</v>
      </c>
      <c r="E38" s="138"/>
      <c r="F38" s="138"/>
      <c r="G38" s="138"/>
      <c r="H38" s="138"/>
      <c r="I38" s="138"/>
      <c r="J38" s="138"/>
      <c r="K38" s="138"/>
      <c r="L38" s="717"/>
      <c r="M38" s="710" t="s">
        <v>447</v>
      </c>
      <c r="N38" s="711">
        <v>10.21342924</v>
      </c>
      <c r="O38" s="711">
        <v>10.291051124999999</v>
      </c>
    </row>
    <row r="39" spans="1:15" ht="10.5" customHeight="1">
      <c r="A39" s="594" t="s">
        <v>444</v>
      </c>
      <c r="B39" s="735">
        <v>7.7355354424999998</v>
      </c>
      <c r="C39" s="735">
        <v>4.8656187424999997</v>
      </c>
      <c r="D39" s="586">
        <f t="shared" si="0"/>
        <v>0.58983591848904515</v>
      </c>
      <c r="E39" s="138"/>
      <c r="F39" s="138"/>
      <c r="G39" s="138"/>
      <c r="H39" s="138"/>
      <c r="I39" s="138"/>
      <c r="J39" s="138"/>
      <c r="K39" s="138"/>
      <c r="L39" s="717"/>
      <c r="M39" s="711" t="s">
        <v>106</v>
      </c>
      <c r="N39" s="711">
        <v>11.1122490025</v>
      </c>
      <c r="O39" s="711">
        <v>13.9886371175</v>
      </c>
    </row>
    <row r="40" spans="1:15" ht="10.5" customHeight="1">
      <c r="A40" s="591" t="s">
        <v>397</v>
      </c>
      <c r="B40" s="736">
        <v>7.7319830475</v>
      </c>
      <c r="C40" s="736">
        <v>9.4913914525000003</v>
      </c>
      <c r="D40" s="588">
        <f t="shared" si="0"/>
        <v>-0.18536885911881529</v>
      </c>
      <c r="E40" s="138"/>
      <c r="F40" s="138"/>
      <c r="G40" s="138"/>
      <c r="H40" s="138"/>
      <c r="I40" s="138"/>
      <c r="J40" s="138"/>
      <c r="K40" s="138"/>
      <c r="L40" s="717"/>
      <c r="M40" s="710" t="s">
        <v>101</v>
      </c>
      <c r="N40" s="711">
        <v>12.1130003725</v>
      </c>
      <c r="O40" s="711">
        <v>11.2162641875</v>
      </c>
    </row>
    <row r="41" spans="1:15" ht="10.5" customHeight="1">
      <c r="A41" s="592" t="s">
        <v>448</v>
      </c>
      <c r="B41" s="735">
        <v>7.6756467650000006</v>
      </c>
      <c r="C41" s="735">
        <v>8.1272543374999984</v>
      </c>
      <c r="D41" s="586">
        <f t="shared" si="0"/>
        <v>-5.5567052997988919E-2</v>
      </c>
      <c r="E41" s="138"/>
      <c r="F41" s="138"/>
      <c r="G41" s="138"/>
      <c r="H41" s="138"/>
      <c r="I41" s="138"/>
      <c r="J41" s="138"/>
      <c r="K41" s="138"/>
      <c r="M41" s="710" t="s">
        <v>452</v>
      </c>
      <c r="N41" s="711">
        <v>12.377784999999999</v>
      </c>
      <c r="O41" s="711">
        <v>15.878939425</v>
      </c>
    </row>
    <row r="42" spans="1:15" ht="10.5" customHeight="1">
      <c r="A42" s="591" t="s">
        <v>419</v>
      </c>
      <c r="B42" s="736">
        <v>6.8851207749999999</v>
      </c>
      <c r="C42" s="736">
        <v>6.8319208299999996</v>
      </c>
      <c r="D42" s="588">
        <f t="shared" si="0"/>
        <v>7.7869674318225002E-3</v>
      </c>
      <c r="E42" s="138"/>
      <c r="F42" s="138"/>
      <c r="G42" s="138"/>
      <c r="H42" s="138"/>
      <c r="I42" s="138"/>
      <c r="J42" s="138"/>
      <c r="K42" s="138"/>
      <c r="M42" s="712" t="s">
        <v>109</v>
      </c>
      <c r="N42" s="711">
        <v>14.281495645</v>
      </c>
      <c r="O42" s="711">
        <v>15.446935289999999</v>
      </c>
    </row>
    <row r="43" spans="1:15" ht="10.5" customHeight="1">
      <c r="A43" s="592" t="s">
        <v>427</v>
      </c>
      <c r="B43" s="735">
        <v>6.1755750000000003</v>
      </c>
      <c r="C43" s="735">
        <v>5.500669845</v>
      </c>
      <c r="D43" s="586">
        <f t="shared" si="0"/>
        <v>0.12269508514739802</v>
      </c>
      <c r="E43" s="138"/>
      <c r="F43" s="138"/>
      <c r="G43" s="138"/>
      <c r="H43" s="138"/>
      <c r="I43" s="138"/>
      <c r="J43" s="138"/>
      <c r="K43" s="138"/>
      <c r="M43" s="710" t="s">
        <v>235</v>
      </c>
      <c r="N43" s="711">
        <v>14.909885792499999</v>
      </c>
      <c r="O43" s="711">
        <v>19.259467040000001</v>
      </c>
    </row>
    <row r="44" spans="1:15" ht="10.5" customHeight="1">
      <c r="A44" s="591" t="s">
        <v>391</v>
      </c>
      <c r="B44" s="736">
        <v>5.730096650000001</v>
      </c>
      <c r="C44" s="736">
        <v>7.1538755499999995</v>
      </c>
      <c r="D44" s="588">
        <f t="shared" si="0"/>
        <v>-0.19902203917986783</v>
      </c>
      <c r="E44" s="138"/>
      <c r="F44" s="138"/>
      <c r="G44" s="138"/>
      <c r="H44" s="138"/>
      <c r="I44" s="138"/>
      <c r="J44" s="138"/>
      <c r="K44" s="138"/>
      <c r="M44" s="710" t="s">
        <v>99</v>
      </c>
      <c r="N44" s="711">
        <v>19.543344497500001</v>
      </c>
      <c r="O44" s="711">
        <v>22.3126743125</v>
      </c>
    </row>
    <row r="45" spans="1:15" ht="10.5" customHeight="1">
      <c r="A45" s="592" t="s">
        <v>428</v>
      </c>
      <c r="B45" s="735">
        <v>5.5622627649999998</v>
      </c>
      <c r="C45" s="735">
        <v>4.8732327575000003</v>
      </c>
      <c r="D45" s="586">
        <f t="shared" si="0"/>
        <v>0.14139074445799227</v>
      </c>
      <c r="E45" s="138"/>
      <c r="F45" s="138"/>
      <c r="G45" s="138"/>
      <c r="H45" s="138"/>
      <c r="I45" s="138"/>
      <c r="J45" s="138"/>
      <c r="K45" s="138"/>
      <c r="M45" s="710" t="s">
        <v>100</v>
      </c>
      <c r="N45" s="711">
        <v>22.144131529999999</v>
      </c>
      <c r="O45" s="711">
        <v>20.458332267500001</v>
      </c>
    </row>
    <row r="46" spans="1:15" ht="10.5" customHeight="1">
      <c r="A46" s="591" t="s">
        <v>406</v>
      </c>
      <c r="B46" s="736">
        <v>5.4897718825000004</v>
      </c>
      <c r="C46" s="736">
        <v>3.7835683025</v>
      </c>
      <c r="D46" s="588">
        <f t="shared" si="0"/>
        <v>0.45095091289157474</v>
      </c>
      <c r="E46" s="138"/>
      <c r="F46" s="138"/>
      <c r="G46" s="138"/>
      <c r="H46" s="138"/>
      <c r="I46" s="138"/>
      <c r="J46" s="138"/>
      <c r="K46" s="138"/>
      <c r="M46" s="711" t="s">
        <v>231</v>
      </c>
      <c r="N46" s="711">
        <v>31.01171119</v>
      </c>
      <c r="O46" s="711">
        <v>33.925130732500001</v>
      </c>
    </row>
    <row r="47" spans="1:15" ht="10.5" customHeight="1">
      <c r="A47" s="594" t="s">
        <v>105</v>
      </c>
      <c r="B47" s="735">
        <v>5.0573886249999997</v>
      </c>
      <c r="C47" s="735">
        <v>5.3450408850000004</v>
      </c>
      <c r="D47" s="586">
        <f t="shared" si="0"/>
        <v>-5.3816662246167435E-2</v>
      </c>
      <c r="E47" s="138"/>
      <c r="F47" s="138"/>
      <c r="G47" s="138"/>
      <c r="H47" s="138"/>
      <c r="I47" s="138"/>
      <c r="J47" s="138"/>
      <c r="K47" s="138"/>
      <c r="M47" s="713" t="s">
        <v>405</v>
      </c>
      <c r="N47" s="711">
        <v>35.540032759999995</v>
      </c>
      <c r="O47" s="711">
        <v>44.021163774999998</v>
      </c>
    </row>
    <row r="48" spans="1:15" ht="10.5" customHeight="1">
      <c r="A48" s="591" t="s">
        <v>230</v>
      </c>
      <c r="B48" s="736">
        <v>4.5880560324999999</v>
      </c>
      <c r="C48" s="736">
        <v>45.402496552499997</v>
      </c>
      <c r="D48" s="588">
        <f t="shared" si="0"/>
        <v>-0.89894705399746644</v>
      </c>
      <c r="E48" s="138"/>
      <c r="F48" s="138"/>
      <c r="G48" s="138"/>
      <c r="H48" s="138"/>
      <c r="I48" s="138"/>
      <c r="J48" s="138"/>
      <c r="K48" s="138"/>
      <c r="M48" s="710" t="s">
        <v>93</v>
      </c>
      <c r="N48" s="711">
        <v>35.9461605925</v>
      </c>
      <c r="O48" s="711">
        <v>56.119326152500008</v>
      </c>
    </row>
    <row r="49" spans="1:15" ht="10.5" customHeight="1">
      <c r="A49" s="592" t="s">
        <v>108</v>
      </c>
      <c r="B49" s="735">
        <v>4.2076391774999999</v>
      </c>
      <c r="C49" s="735">
        <v>4.45519467</v>
      </c>
      <c r="D49" s="586">
        <f t="shared" si="0"/>
        <v>-5.5565583736883029E-2</v>
      </c>
      <c r="E49" s="138"/>
      <c r="F49" s="138"/>
      <c r="G49" s="138"/>
      <c r="H49" s="138"/>
      <c r="I49" s="138"/>
      <c r="J49" s="138"/>
      <c r="K49" s="138"/>
      <c r="M49" s="710" t="s">
        <v>92</v>
      </c>
      <c r="N49" s="711">
        <v>36.077453074999994</v>
      </c>
      <c r="O49" s="711">
        <v>60.038337075000001</v>
      </c>
    </row>
    <row r="50" spans="1:15" ht="10.5" customHeight="1">
      <c r="A50" s="593" t="s">
        <v>442</v>
      </c>
      <c r="B50" s="736">
        <v>4.0944099999999999</v>
      </c>
      <c r="C50" s="736">
        <v>4.042351</v>
      </c>
      <c r="D50" s="588">
        <f t="shared" si="0"/>
        <v>1.2878396754759658E-2</v>
      </c>
      <c r="E50" s="138"/>
      <c r="F50" s="138"/>
      <c r="G50" s="138"/>
      <c r="H50" s="138"/>
      <c r="I50" s="138"/>
      <c r="J50" s="138"/>
      <c r="K50" s="138"/>
      <c r="M50" s="710" t="s">
        <v>91</v>
      </c>
      <c r="N50" s="711">
        <v>37.441067000000004</v>
      </c>
      <c r="O50" s="711">
        <v>42.28803525</v>
      </c>
    </row>
    <row r="51" spans="1:15" ht="10.5" customHeight="1">
      <c r="A51" s="592" t="s">
        <v>443</v>
      </c>
      <c r="B51" s="735">
        <v>4.0078735000000005</v>
      </c>
      <c r="C51" s="735">
        <v>3.9791716275</v>
      </c>
      <c r="D51" s="586">
        <f t="shared" si="0"/>
        <v>7.2130270284505027E-3</v>
      </c>
      <c r="E51" s="138"/>
      <c r="F51" s="138"/>
      <c r="G51" s="138"/>
      <c r="H51" s="138"/>
      <c r="I51" s="138"/>
      <c r="J51" s="138"/>
      <c r="K51" s="138"/>
      <c r="M51" s="710" t="s">
        <v>95</v>
      </c>
      <c r="N51" s="711">
        <v>41.307495000000003</v>
      </c>
      <c r="O51" s="711">
        <v>48.955121024999997</v>
      </c>
    </row>
    <row r="52" spans="1:15" ht="10.5" customHeight="1">
      <c r="A52" s="591" t="s">
        <v>107</v>
      </c>
      <c r="B52" s="736">
        <v>3.73867474</v>
      </c>
      <c r="C52" s="736">
        <v>4.3936759499999996</v>
      </c>
      <c r="D52" s="588">
        <f t="shared" si="0"/>
        <v>-0.14907817905869902</v>
      </c>
      <c r="E52" s="138"/>
      <c r="F52" s="138"/>
      <c r="G52" s="138"/>
      <c r="H52" s="138"/>
      <c r="I52" s="138"/>
      <c r="J52" s="138"/>
      <c r="K52" s="138"/>
      <c r="M52" s="710" t="s">
        <v>97</v>
      </c>
      <c r="N52" s="711">
        <v>45.001129165000002</v>
      </c>
      <c r="O52" s="711">
        <v>56.684076425000001</v>
      </c>
    </row>
    <row r="53" spans="1:15" ht="10.5" customHeight="1">
      <c r="A53" s="592" t="s">
        <v>110</v>
      </c>
      <c r="B53" s="735">
        <v>2.8839537399999999</v>
      </c>
      <c r="C53" s="735">
        <v>1.8244124174999998</v>
      </c>
      <c r="D53" s="586">
        <f t="shared" si="0"/>
        <v>0.58075757012873996</v>
      </c>
      <c r="E53" s="138"/>
      <c r="F53" s="138"/>
      <c r="G53" s="138"/>
      <c r="H53" s="138"/>
      <c r="I53" s="138"/>
      <c r="J53" s="138"/>
      <c r="K53" s="138"/>
      <c r="M53" s="710" t="s">
        <v>103</v>
      </c>
      <c r="N53" s="711">
        <v>56.5691946325</v>
      </c>
      <c r="O53" s="711">
        <v>46.905791722499998</v>
      </c>
    </row>
    <row r="54" spans="1:15" ht="10.5" customHeight="1">
      <c r="A54" s="591" t="s">
        <v>112</v>
      </c>
      <c r="B54" s="736">
        <v>2.1720999999999999</v>
      </c>
      <c r="C54" s="736">
        <v>2.2746999999999997</v>
      </c>
      <c r="D54" s="588">
        <f t="shared" si="0"/>
        <v>-4.5104848991075697E-2</v>
      </c>
      <c r="E54" s="138"/>
      <c r="F54" s="138"/>
      <c r="G54" s="138"/>
      <c r="H54" s="138"/>
      <c r="I54" s="138"/>
      <c r="J54" s="138"/>
      <c r="K54" s="138"/>
      <c r="M54" s="711" t="s">
        <v>94</v>
      </c>
      <c r="N54" s="711">
        <v>65.310528250000004</v>
      </c>
      <c r="O54" s="711">
        <v>65.371778750000004</v>
      </c>
    </row>
    <row r="55" spans="1:15" ht="10.5" customHeight="1">
      <c r="A55" s="594" t="s">
        <v>436</v>
      </c>
      <c r="B55" s="735">
        <v>1.83143024</v>
      </c>
      <c r="C55" s="735">
        <v>3.5522643125000002</v>
      </c>
      <c r="D55" s="586">
        <f t="shared" si="0"/>
        <v>-0.48443300416711321</v>
      </c>
      <c r="E55" s="138"/>
      <c r="F55" s="138"/>
      <c r="G55" s="138"/>
      <c r="H55" s="138"/>
      <c r="I55" s="138"/>
      <c r="J55" s="138"/>
      <c r="K55" s="138"/>
      <c r="M55" s="710" t="s">
        <v>89</v>
      </c>
      <c r="N55" s="711">
        <v>67.446096454999989</v>
      </c>
      <c r="O55" s="711">
        <v>80.013880867500006</v>
      </c>
    </row>
    <row r="56" spans="1:15" ht="10.5" customHeight="1">
      <c r="A56" s="591" t="s">
        <v>102</v>
      </c>
      <c r="B56" s="736">
        <v>1.729740115</v>
      </c>
      <c r="C56" s="736">
        <v>3.9255816824999998</v>
      </c>
      <c r="D56" s="588">
        <f t="shared" si="0"/>
        <v>-0.55936718303147925</v>
      </c>
      <c r="E56" s="138"/>
      <c r="F56" s="138"/>
      <c r="G56" s="138"/>
      <c r="H56" s="138"/>
      <c r="I56" s="138"/>
      <c r="J56" s="138"/>
      <c r="K56" s="138"/>
      <c r="M56" s="710" t="s">
        <v>90</v>
      </c>
      <c r="N56" s="711">
        <v>67.752224250000012</v>
      </c>
      <c r="O56" s="711">
        <v>85.686941250000004</v>
      </c>
    </row>
    <row r="57" spans="1:15" ht="10.5" customHeight="1">
      <c r="A57" s="592" t="s">
        <v>229</v>
      </c>
      <c r="B57" s="735">
        <v>1.1608021025000002</v>
      </c>
      <c r="C57" s="735">
        <v>0.43082889749999997</v>
      </c>
      <c r="D57" s="586">
        <f t="shared" si="0"/>
        <v>1.6943459671249195</v>
      </c>
      <c r="E57" s="138"/>
      <c r="F57" s="138"/>
      <c r="G57" s="138"/>
      <c r="H57" s="138"/>
      <c r="I57" s="138"/>
      <c r="J57" s="138"/>
      <c r="K57" s="138"/>
      <c r="M57" s="711" t="s">
        <v>237</v>
      </c>
      <c r="N57" s="711">
        <v>76.499341622499998</v>
      </c>
      <c r="O57" s="711">
        <v>0.39804674999999995</v>
      </c>
    </row>
    <row r="58" spans="1:15" ht="10.5" customHeight="1">
      <c r="A58" s="591" t="s">
        <v>111</v>
      </c>
      <c r="B58" s="736">
        <v>1.1583418000000001</v>
      </c>
      <c r="C58" s="736">
        <v>1.5370052250000001</v>
      </c>
      <c r="D58" s="588">
        <f t="shared" si="0"/>
        <v>-0.24636443574874645</v>
      </c>
      <c r="E58" s="138"/>
      <c r="F58" s="138"/>
      <c r="G58" s="138"/>
      <c r="H58" s="138"/>
      <c r="I58" s="138"/>
      <c r="J58" s="138"/>
      <c r="K58" s="138"/>
      <c r="M58" s="710" t="s">
        <v>234</v>
      </c>
      <c r="N58" s="711">
        <v>83.0567803</v>
      </c>
      <c r="O58" s="711">
        <v>108.2747775</v>
      </c>
    </row>
    <row r="59" spans="1:15" ht="10.5" customHeight="1">
      <c r="A59" s="592" t="s">
        <v>516</v>
      </c>
      <c r="B59" s="737">
        <v>0.94071642999999994</v>
      </c>
      <c r="C59" s="737">
        <v>1.1341358375000001</v>
      </c>
      <c r="D59" s="595">
        <f t="shared" si="0"/>
        <v>-0.17054342267003808</v>
      </c>
      <c r="E59" s="138"/>
      <c r="F59" s="138"/>
      <c r="G59" s="138"/>
      <c r="H59" s="138"/>
      <c r="I59" s="138"/>
      <c r="J59" s="138"/>
      <c r="K59" s="138"/>
      <c r="M59" s="710" t="s">
        <v>88</v>
      </c>
      <c r="N59" s="711">
        <v>117.3652005725</v>
      </c>
      <c r="O59" s="711">
        <v>146.82310203499998</v>
      </c>
    </row>
    <row r="60" spans="1:15" ht="10.5" customHeight="1">
      <c r="A60" s="596" t="s">
        <v>113</v>
      </c>
      <c r="B60" s="736">
        <v>0.88280822999999997</v>
      </c>
      <c r="C60" s="736">
        <v>1.34565275</v>
      </c>
      <c r="D60" s="588">
        <f t="shared" si="0"/>
        <v>-0.34395539265237629</v>
      </c>
      <c r="E60" s="138"/>
      <c r="F60" s="138"/>
      <c r="G60" s="138"/>
      <c r="H60" s="138"/>
      <c r="I60" s="138"/>
      <c r="J60" s="138"/>
      <c r="K60" s="138"/>
      <c r="M60" s="710" t="s">
        <v>98</v>
      </c>
      <c r="N60" s="711">
        <v>205.73270099999996</v>
      </c>
      <c r="O60" s="711">
        <v>199.60011030749999</v>
      </c>
    </row>
    <row r="61" spans="1:15" ht="10.5" customHeight="1">
      <c r="A61" s="592" t="s">
        <v>116</v>
      </c>
      <c r="B61" s="737">
        <v>0.87052809750000004</v>
      </c>
      <c r="C61" s="737">
        <v>3.3266396500000002</v>
      </c>
      <c r="D61" s="595">
        <f t="shared" si="0"/>
        <v>-0.73831608196577592</v>
      </c>
      <c r="E61" s="138"/>
      <c r="F61" s="138"/>
      <c r="G61" s="138"/>
      <c r="H61" s="138"/>
      <c r="I61" s="138"/>
      <c r="J61" s="138"/>
      <c r="K61" s="138"/>
      <c r="M61" s="710" t="s">
        <v>232</v>
      </c>
      <c r="N61" s="711">
        <v>406.82220158500002</v>
      </c>
      <c r="O61" s="711">
        <v>390.43313621750002</v>
      </c>
    </row>
    <row r="62" spans="1:15" ht="10.5" customHeight="1">
      <c r="A62" s="596" t="s">
        <v>517</v>
      </c>
      <c r="B62" s="736">
        <v>0.26052405000000001</v>
      </c>
      <c r="C62" s="736">
        <v>0.26329651999999998</v>
      </c>
      <c r="D62" s="588">
        <f t="shared" si="0"/>
        <v>-1.0529839133460506E-2</v>
      </c>
      <c r="E62" s="138"/>
      <c r="F62" s="138"/>
      <c r="G62" s="138"/>
      <c r="H62" s="138"/>
      <c r="I62" s="138"/>
      <c r="J62" s="138"/>
      <c r="K62" s="138"/>
      <c r="M62" s="710" t="s">
        <v>87</v>
      </c>
      <c r="N62" s="711">
        <v>459.19292172000007</v>
      </c>
      <c r="O62" s="711">
        <v>536.77286196</v>
      </c>
    </row>
    <row r="63" spans="1:15" ht="10.5" customHeight="1">
      <c r="A63" s="592" t="s">
        <v>446</v>
      </c>
      <c r="B63" s="737">
        <v>0.22091166999999998</v>
      </c>
      <c r="C63" s="737">
        <v>0.33088889249999998</v>
      </c>
      <c r="D63" s="595">
        <f t="shared" si="0"/>
        <v>-0.33236903683613372</v>
      </c>
      <c r="E63" s="138"/>
      <c r="F63" s="138"/>
      <c r="G63" s="138"/>
      <c r="H63" s="138"/>
      <c r="I63" s="138"/>
      <c r="J63" s="138"/>
      <c r="K63" s="138"/>
      <c r="M63" s="710" t="s">
        <v>85</v>
      </c>
      <c r="N63" s="711">
        <v>833.69971275749981</v>
      </c>
      <c r="O63" s="711">
        <v>708.68248098499998</v>
      </c>
    </row>
    <row r="64" spans="1:15" ht="10.5" customHeight="1">
      <c r="A64" s="596" t="s">
        <v>114</v>
      </c>
      <c r="B64" s="736">
        <v>2.8031975000000001E-2</v>
      </c>
      <c r="C64" s="736">
        <v>0.17726348750000001</v>
      </c>
      <c r="D64" s="588">
        <f t="shared" si="0"/>
        <v>-0.84186266785482267</v>
      </c>
      <c r="E64" s="138"/>
      <c r="F64" s="138"/>
      <c r="G64" s="138"/>
      <c r="H64" s="138"/>
      <c r="I64" s="138"/>
      <c r="J64" s="138"/>
      <c r="K64" s="138"/>
      <c r="M64" s="710" t="s">
        <v>86</v>
      </c>
      <c r="N64" s="711">
        <v>895.26787300000024</v>
      </c>
      <c r="O64" s="711">
        <v>598.5217080000001</v>
      </c>
    </row>
    <row r="65" spans="1:15" ht="10.5" customHeight="1">
      <c r="A65" s="592" t="s">
        <v>236</v>
      </c>
      <c r="B65" s="737">
        <v>0</v>
      </c>
      <c r="C65" s="737">
        <v>0</v>
      </c>
      <c r="D65" s="595" t="str">
        <f>IF(C65=0,"",B65/C65-1)</f>
        <v/>
      </c>
      <c r="E65" s="138"/>
      <c r="F65" s="138"/>
      <c r="G65" s="138"/>
      <c r="H65" s="138"/>
      <c r="I65" s="138"/>
      <c r="J65" s="138"/>
      <c r="K65" s="138"/>
      <c r="M65" s="710" t="s">
        <v>390</v>
      </c>
      <c r="N65" s="711">
        <v>961.70301054499998</v>
      </c>
      <c r="O65" s="711">
        <v>951.40427125000019</v>
      </c>
    </row>
    <row r="66" spans="1:15" ht="10.5" customHeight="1">
      <c r="A66" s="596" t="s">
        <v>96</v>
      </c>
      <c r="B66" s="736"/>
      <c r="C66" s="736">
        <v>108.78785724999999</v>
      </c>
      <c r="D66" s="588">
        <f>IF(C66=0,"",B66/C66-1)</f>
        <v>-1</v>
      </c>
      <c r="E66" s="138"/>
      <c r="F66" s="138"/>
      <c r="G66" s="138"/>
      <c r="H66" s="138"/>
      <c r="I66" s="138"/>
      <c r="J66" s="138"/>
      <c r="K66" s="138"/>
      <c r="M66" s="710"/>
      <c r="N66" s="711"/>
      <c r="O66" s="711"/>
    </row>
    <row r="67" spans="1:15" ht="10.5" customHeight="1">
      <c r="A67" s="597" t="s">
        <v>41</v>
      </c>
      <c r="B67" s="738">
        <f>+SUM(B5:B66)</f>
        <v>4826.3584824374966</v>
      </c>
      <c r="C67" s="738">
        <f>+SUM(C5:C66)</f>
        <v>4686.5850641675015</v>
      </c>
      <c r="D67" s="598">
        <f>IF(C67=0,"",B67/C67-1)</f>
        <v>2.9824150496844393E-2</v>
      </c>
      <c r="E67" s="138"/>
      <c r="F67" s="138"/>
      <c r="G67" s="138"/>
      <c r="H67" s="138"/>
      <c r="I67" s="138"/>
      <c r="J67" s="138"/>
      <c r="K67" s="138"/>
    </row>
    <row r="68" spans="1:15" ht="10.5" customHeight="1">
      <c r="E68" s="138"/>
      <c r="F68" s="138"/>
      <c r="G68" s="138"/>
      <c r="H68" s="138"/>
      <c r="I68" s="138"/>
      <c r="J68" s="138"/>
      <c r="K68" s="138"/>
      <c r="M68" s="710"/>
      <c r="N68" s="711"/>
      <c r="O68" s="711"/>
    </row>
    <row r="69" spans="1:15" ht="40.5" customHeight="1">
      <c r="A69" s="878" t="str">
        <f>"Cuadro N° 6: Participación de las empresas generadoras del COES en la producción de energía eléctrica (GWh) en "&amp;'1. Resumen'!Q4</f>
        <v>Cuadro N° 6: Participación de las empresas generadoras del COES en la producción de energía eléctrica (GWh) en setiembre</v>
      </c>
      <c r="B69" s="878"/>
      <c r="C69" s="878"/>
      <c r="D69" s="410"/>
      <c r="E69" s="877" t="str">
        <f>"Gráfico N° 10: Comparación de producción energética (GWh) de las empresas generadoras del COES en "&amp;'1. Resumen'!Q4</f>
        <v>Gráfico N° 10: Comparación de producción energética (GWh) de las empresas generadoras del COES en setiembre</v>
      </c>
      <c r="F69" s="877"/>
      <c r="G69" s="877"/>
      <c r="H69" s="877"/>
      <c r="I69" s="877"/>
      <c r="J69" s="877"/>
      <c r="K69" s="877"/>
    </row>
    <row r="70" spans="1:15">
      <c r="A70" s="871"/>
      <c r="B70" s="871"/>
      <c r="C70" s="871"/>
      <c r="D70" s="871"/>
      <c r="E70" s="871"/>
      <c r="F70" s="871"/>
      <c r="G70" s="871"/>
      <c r="H70" s="871"/>
      <c r="I70" s="871"/>
      <c r="J70" s="871"/>
      <c r="K70" s="871"/>
    </row>
    <row r="71" spans="1:15">
      <c r="A71" s="872"/>
      <c r="B71" s="872"/>
      <c r="C71" s="872"/>
      <c r="D71" s="872"/>
      <c r="E71" s="872"/>
      <c r="F71" s="872"/>
      <c r="G71" s="872"/>
      <c r="H71" s="872"/>
      <c r="I71" s="872"/>
      <c r="J71" s="872"/>
      <c r="K71" s="872"/>
    </row>
    <row r="72" spans="1:15">
      <c r="A72" s="871"/>
      <c r="B72" s="871"/>
      <c r="C72" s="871"/>
      <c r="D72" s="871"/>
      <c r="E72" s="871"/>
      <c r="F72" s="871"/>
      <c r="G72" s="871"/>
      <c r="H72" s="871"/>
      <c r="I72" s="871"/>
      <c r="J72" s="871"/>
      <c r="K72" s="871"/>
    </row>
    <row r="73" spans="1:15">
      <c r="A73" s="872"/>
      <c r="B73" s="872"/>
      <c r="C73" s="872"/>
      <c r="D73" s="872"/>
      <c r="E73" s="872"/>
      <c r="F73" s="872"/>
      <c r="G73" s="872"/>
      <c r="H73" s="872"/>
      <c r="I73" s="872"/>
      <c r="J73" s="872"/>
      <c r="K73" s="872"/>
    </row>
  </sheetData>
  <autoFilter ref="M3:O66" xr:uid="{00000000-0001-0000-0800-000000000000}"/>
  <mergeCells count="10">
    <mergeCell ref="A70:K70"/>
    <mergeCell ref="A71:K71"/>
    <mergeCell ref="A72:K72"/>
    <mergeCell ref="A73:K73"/>
    <mergeCell ref="A1:J1"/>
    <mergeCell ref="A3:A4"/>
    <mergeCell ref="B3:D3"/>
    <mergeCell ref="G3:J3"/>
    <mergeCell ref="E69:K69"/>
    <mergeCell ref="A69:C6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2023
INFSGI-MES-09-2023
09/10/2023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2023-10-09T17:23:58Z</cp:lastPrinted>
  <dcterms:created xsi:type="dcterms:W3CDTF">2018-02-13T14:18:17Z</dcterms:created>
  <dcterms:modified xsi:type="dcterms:W3CDTF">2023-10-09T20:48:40Z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