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4_Informe Mensual\2025\5. Mayo\"/>
    </mc:Choice>
  </mc:AlternateContent>
  <xr:revisionPtr revIDLastSave="0" documentId="13_ncr:1_{2C5252F8-34B3-49FD-8D96-81D100B1EF8C}" xr6:coauthVersionLast="47" xr6:coauthVersionMax="47" xr10:uidLastSave="{00000000-0000-0000-0000-000000000000}"/>
  <bookViews>
    <workbookView xWindow="-108" yWindow="-108" windowWidth="23256" windowHeight="13896" tabRatio="727"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Contraportada" sheetId="59" r:id="rId31"/>
  </sheets>
  <definedNames>
    <definedName name="_xlnm._FilterDatabase" localSheetId="7" hidden="1">'6. FP RER'!$U$55:$W$59</definedName>
    <definedName name="_xlnm.Print_Area" localSheetId="2">'1. Resumen'!$A$1:$M$51</definedName>
    <definedName name="_xlnm.Print_Area" localSheetId="11">'10. Volúmenes'!$A$1:$G$38</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generación'!$A$1:$J$59</definedName>
    <definedName name="_xlnm.Print_Area" localSheetId="21">'20. ANEXOI-3'!$A$1:$G$69</definedName>
    <definedName name="_xlnm.Print_Area" localSheetId="22">'21. ANEXOII-1'!$A$1:$F$91</definedName>
    <definedName name="_xlnm.Print_Area" localSheetId="24">'23. ANEXOII-3'!$A$1:$F$77</definedName>
    <definedName name="_xlnm.Print_Area" localSheetId="26">'25.ANEXO III -1'!$A$1:$F$8</definedName>
    <definedName name="_xlnm.Print_Area" localSheetId="27">'26.ANEXO III-2'!$A$1:$F$10</definedName>
    <definedName name="_xlnm.Print_Area" localSheetId="28">'27.ANEXO III-3'!$A$1:$F$11</definedName>
    <definedName name="_xlnm.Print_Area" localSheetId="29">'28.ANEXO III-4'!$A$1:$F$8</definedName>
    <definedName name="_xlnm.Print_Area" localSheetId="6">'5. RER'!$A$1:$K$63</definedName>
    <definedName name="_xlnm.Print_Area" localSheetId="7">'6. FP RER'!$A$1:$L$67</definedName>
    <definedName name="_xlnm.Print_Area" localSheetId="8">'7. Generacion empresa'!$A$1:$K$77</definedName>
    <definedName name="_xlnm.Print_Area" localSheetId="9">'8. Max Potencia'!$A$1:$K$61</definedName>
    <definedName name="_xlnm.Print_Area" localSheetId="10">'9. Pot. Empresa'!$A$1:$K$78</definedName>
    <definedName name="_xlnm.Print_Area" localSheetId="1">Índice!$A$1:$L$45</definedName>
    <definedName name="_xlnm.Print_Area" localSheetId="0">Portada!$A$1:$J$65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6" l="1"/>
  <c r="F64" i="46" l="1"/>
  <c r="F63" i="46"/>
  <c r="F62" i="46"/>
  <c r="F61" i="46"/>
  <c r="F60" i="46"/>
  <c r="F59" i="46"/>
  <c r="F58" i="46"/>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0" i="46"/>
  <c r="F9" i="46"/>
  <c r="F8" i="46"/>
  <c r="F7" i="46"/>
  <c r="F6" i="46"/>
  <c r="F5" i="46"/>
  <c r="F84" i="45"/>
  <c r="F83" i="45"/>
  <c r="F82" i="45"/>
  <c r="F81" i="45"/>
  <c r="F80" i="45"/>
  <c r="F79" i="45"/>
  <c r="F78" i="45"/>
  <c r="F77" i="45"/>
  <c r="F76" i="45"/>
  <c r="F75" i="45"/>
  <c r="F74" i="45"/>
  <c r="F73" i="45"/>
  <c r="F72" i="45"/>
  <c r="F71" i="45"/>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T61" i="11" l="1"/>
  <c r="H17" i="8" l="1"/>
  <c r="H47" i="4"/>
  <c r="F11" i="46" l="1"/>
  <c r="F90" i="36"/>
  <c r="F89" i="36"/>
  <c r="F88" i="36"/>
  <c r="F87" i="36"/>
  <c r="F86" i="36"/>
  <c r="F85" i="36"/>
  <c r="F84" i="36"/>
  <c r="F83" i="36"/>
  <c r="F82" i="36"/>
  <c r="F81" i="36"/>
  <c r="F80" i="3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H10" i="6"/>
  <c r="F6" i="36" l="1"/>
  <c r="I8" i="22" l="1"/>
  <c r="I9" i="22"/>
  <c r="D74" i="13"/>
  <c r="D73" i="13"/>
  <c r="D72" i="13"/>
  <c r="D71" i="13"/>
  <c r="D70" i="13"/>
  <c r="D69" i="13"/>
  <c r="D68" i="13"/>
  <c r="D67" i="13"/>
  <c r="D66" i="13"/>
  <c r="D65" i="13"/>
  <c r="D64" i="13"/>
  <c r="D63" i="13"/>
  <c r="D62" i="13"/>
  <c r="D61" i="13"/>
  <c r="D60" i="13"/>
  <c r="D59" i="13"/>
  <c r="D58" i="13"/>
  <c r="D57" i="13"/>
  <c r="D56" i="13"/>
  <c r="D55" i="13"/>
  <c r="D54" i="13"/>
  <c r="D53" i="13"/>
  <c r="C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N28" i="18"/>
  <c r="N29" i="18"/>
  <c r="N27" i="18"/>
  <c r="N26" i="18"/>
  <c r="N24" i="18"/>
  <c r="N25" i="18"/>
  <c r="N23" i="18"/>
  <c r="N20" i="18"/>
  <c r="N19" i="18"/>
  <c r="N18" i="18"/>
  <c r="N17" i="18"/>
  <c r="N16" i="18"/>
  <c r="N15" i="18"/>
  <c r="N14" i="18"/>
  <c r="N12" i="18"/>
  <c r="N11" i="18"/>
  <c r="N10" i="18"/>
  <c r="N9" i="18"/>
  <c r="N8" i="18"/>
  <c r="D5" i="36"/>
  <c r="D4" i="36"/>
  <c r="C5" i="36"/>
  <c r="C4" i="36"/>
  <c r="B47" i="18" l="1"/>
  <c r="B40" i="18"/>
  <c r="B21" i="18"/>
  <c r="B28" i="18"/>
  <c r="B10" i="18"/>
  <c r="A78" i="13"/>
  <c r="A77" i="11"/>
  <c r="J17" i="8"/>
  <c r="G17" i="8"/>
  <c r="D17" i="8"/>
  <c r="C17" i="8"/>
  <c r="B17" i="8"/>
  <c r="B29" i="6"/>
  <c r="O32" i="4" l="1"/>
  <c r="B76" i="13" l="1"/>
  <c r="D15" i="12"/>
  <c r="C15" i="12"/>
  <c r="E15" i="12"/>
  <c r="B15" i="12"/>
  <c r="C76" i="13" l="1"/>
  <c r="D23" i="21" l="1"/>
  <c r="P9" i="18" l="1"/>
  <c r="P10" i="18"/>
  <c r="P11" i="18"/>
  <c r="P12" i="18"/>
  <c r="P14" i="18"/>
  <c r="P15" i="18"/>
  <c r="P16" i="18"/>
  <c r="P17" i="18"/>
  <c r="P18" i="18"/>
  <c r="P19" i="18"/>
  <c r="P20" i="18"/>
  <c r="P23" i="18"/>
  <c r="P24" i="18"/>
  <c r="P25" i="18"/>
  <c r="P26" i="18"/>
  <c r="P27" i="18"/>
  <c r="P28" i="18"/>
  <c r="P29" i="18"/>
  <c r="P8" i="18"/>
  <c r="O24" i="18"/>
  <c r="Q24" i="18" s="1"/>
  <c r="O25" i="18"/>
  <c r="O26" i="18"/>
  <c r="Q26" i="18" s="1"/>
  <c r="O27" i="18"/>
  <c r="O28" i="18"/>
  <c r="O29" i="18"/>
  <c r="Q29" i="18" s="1"/>
  <c r="O23" i="18"/>
  <c r="O15" i="18"/>
  <c r="O16" i="18"/>
  <c r="O17" i="18"/>
  <c r="Q17" i="18" s="1"/>
  <c r="O18" i="18"/>
  <c r="O19" i="18"/>
  <c r="O20" i="18"/>
  <c r="Q20" i="18" s="1"/>
  <c r="O14" i="18"/>
  <c r="O9" i="18"/>
  <c r="Q9" i="18" s="1"/>
  <c r="O10" i="18"/>
  <c r="O11" i="18"/>
  <c r="O12" i="18"/>
  <c r="Q12" i="18" s="1"/>
  <c r="O8" i="18"/>
  <c r="Q25" i="18" l="1"/>
  <c r="Q27" i="18"/>
  <c r="Q23" i="18"/>
  <c r="Q28" i="18"/>
  <c r="Q14" i="18"/>
  <c r="Q18" i="18"/>
  <c r="Q15" i="18"/>
  <c r="Q16" i="18"/>
  <c r="Q19" i="18"/>
  <c r="Q8" i="18"/>
  <c r="Q10" i="18"/>
  <c r="Q11" i="18"/>
  <c r="B75" i="11"/>
  <c r="D75" i="13" l="1"/>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5" i="11" l="1"/>
  <c r="E23" i="21" l="1"/>
  <c r="F23" i="21"/>
  <c r="B11" i="9"/>
  <c r="C11" i="9"/>
  <c r="D11" i="9"/>
  <c r="E11" i="9"/>
  <c r="F51" i="38" l="1"/>
  <c r="G51" i="38"/>
  <c r="F52" i="38"/>
  <c r="G52" i="38"/>
  <c r="K8" i="7" l="1"/>
  <c r="N45" i="9" l="1"/>
  <c r="E67" i="46" l="1"/>
  <c r="E66" i="46"/>
  <c r="D66" i="46"/>
  <c r="D68" i="46" s="1"/>
  <c r="E68" i="46" l="1"/>
  <c r="E28" i="6"/>
  <c r="D12" i="7" l="1"/>
  <c r="G16" i="7" l="1"/>
  <c r="H16" i="7"/>
  <c r="F14" i="7"/>
  <c r="I14" i="7"/>
  <c r="F15" i="7"/>
  <c r="D28" i="6" l="1"/>
  <c r="C3" i="4"/>
  <c r="H12" i="7" l="1"/>
  <c r="D7" i="13" l="1"/>
  <c r="D23"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K19" i="12" l="1"/>
  <c r="K18" i="12"/>
  <c r="K17" i="12"/>
  <c r="I18" i="12"/>
  <c r="I17" i="12"/>
  <c r="F18" i="12"/>
  <c r="F17" i="12"/>
  <c r="I19" i="12" l="1"/>
  <c r="H15" i="12" l="1"/>
  <c r="G15" i="12"/>
  <c r="J10" i="22" l="1"/>
  <c r="I7" i="22"/>
  <c r="C67" i="46" l="1"/>
  <c r="F14" i="12" l="1"/>
  <c r="F13" i="12"/>
  <c r="F9" i="8" l="1"/>
  <c r="D12" i="9" l="1"/>
  <c r="K10" i="12" l="1"/>
  <c r="K11" i="12"/>
  <c r="K12" i="12"/>
  <c r="K13" i="12"/>
  <c r="J12" i="7" l="1"/>
  <c r="G12" i="7"/>
  <c r="E12" i="7"/>
  <c r="C12" i="7"/>
  <c r="B12" i="7"/>
  <c r="C10" i="22" l="1"/>
  <c r="D10" i="22"/>
  <c r="E10" i="22"/>
  <c r="F10" i="22"/>
  <c r="G10" i="22"/>
  <c r="H10" i="22"/>
  <c r="I10" i="22" l="1"/>
  <c r="C2" i="23" l="1"/>
  <c r="B10" i="22" l="1"/>
  <c r="F78" i="13" l="1"/>
  <c r="A57" i="7"/>
  <c r="J15" i="12" l="1"/>
  <c r="D6" i="13" l="1"/>
  <c r="A44" i="10" l="1"/>
  <c r="A65" i="10" l="1"/>
  <c r="D16" i="7" l="1"/>
  <c r="A59" i="12" l="1"/>
  <c r="B16" i="7" l="1"/>
  <c r="C16" i="7"/>
  <c r="E16" i="7"/>
  <c r="F65" i="46" l="1"/>
  <c r="D5" i="11"/>
  <c r="D2" i="46" l="1"/>
  <c r="C2" i="46"/>
  <c r="D2" i="45"/>
  <c r="C2" i="45"/>
  <c r="C66" i="46" l="1"/>
  <c r="C68" i="46" s="1"/>
  <c r="E3" i="46" l="1"/>
  <c r="E3" i="45"/>
  <c r="J16" i="7" l="1"/>
  <c r="F68" i="46" l="1"/>
  <c r="E4" i="45" l="1"/>
  <c r="E4" i="46" s="1"/>
  <c r="F12" i="8" l="1"/>
  <c r="J11" i="9" l="1"/>
  <c r="H11" i="9"/>
  <c r="G11" i="9"/>
  <c r="A34" i="22" l="1"/>
  <c r="F20" i="8" l="1"/>
  <c r="E12" i="9"/>
  <c r="F17" i="8" l="1"/>
  <c r="F19" i="12"/>
  <c r="F15" i="12" l="1"/>
  <c r="I15" i="12"/>
  <c r="K15" i="12"/>
  <c r="K14" i="7" l="1"/>
  <c r="I15" i="7"/>
  <c r="K15" i="7"/>
  <c r="F10" i="7" l="1"/>
  <c r="F12" i="7"/>
  <c r="B47" i="4" l="1"/>
  <c r="A9" i="4"/>
  <c r="A56" i="21" l="1"/>
  <c r="A63" i="9" l="1"/>
  <c r="A35" i="9"/>
  <c r="A61" i="8"/>
  <c r="B49" i="4" l="1"/>
  <c r="F2" i="38" l="1"/>
  <c r="A49" i="22" l="1"/>
  <c r="B58" i="18"/>
  <c r="B19" i="12" l="1"/>
  <c r="B21" i="12" s="1"/>
  <c r="C19" i="12"/>
  <c r="D19" i="12"/>
  <c r="D21" i="12" s="1"/>
  <c r="E19" i="12"/>
  <c r="E21" i="12" s="1"/>
  <c r="G19" i="12"/>
  <c r="G21" i="12" s="1"/>
  <c r="H19" i="12"/>
  <c r="H21" i="12" s="1"/>
  <c r="J21" i="12"/>
  <c r="F25" i="6" l="1"/>
  <c r="F27" i="6"/>
  <c r="F26" i="6" l="1"/>
  <c r="F24" i="6"/>
  <c r="E23" i="6" l="1"/>
  <c r="E77" i="11" l="1"/>
  <c r="C46" i="10"/>
  <c r="D3" i="36" l="1"/>
  <c r="C3" i="36"/>
  <c r="F2" i="37"/>
  <c r="F3" i="23"/>
  <c r="C1" i="37"/>
  <c r="C1" i="38" s="1"/>
  <c r="E14" i="22"/>
  <c r="A14" i="22"/>
  <c r="A11" i="22"/>
  <c r="A24" i="21"/>
  <c r="F6" i="21"/>
  <c r="E6" i="21"/>
  <c r="D6" i="21"/>
  <c r="B2" i="13"/>
  <c r="B4" i="11"/>
  <c r="C4" i="11" s="1"/>
  <c r="B3" i="11"/>
  <c r="G6" i="7"/>
  <c r="G4" i="8" s="1"/>
  <c r="G4" i="9" s="1"/>
  <c r="D7" i="7"/>
  <c r="E7" i="7" s="1"/>
  <c r="A59" i="6"/>
  <c r="D5" i="8" l="1"/>
  <c r="C7" i="7"/>
  <c r="B7" i="7" s="1"/>
  <c r="B5" i="8" s="1"/>
  <c r="D4" i="46"/>
  <c r="C4" i="46"/>
  <c r="D4" i="45"/>
  <c r="C4" i="45"/>
  <c r="D3" i="45" l="1"/>
  <c r="D3" i="46"/>
  <c r="C3" i="46"/>
  <c r="C3" i="45"/>
  <c r="C5" i="13"/>
  <c r="B5" i="13"/>
  <c r="C4" i="13"/>
  <c r="B4" i="13"/>
  <c r="C5" i="8" l="1"/>
  <c r="D5" i="9"/>
  <c r="B5" i="9"/>
  <c r="J21" i="8"/>
  <c r="E21" i="8"/>
  <c r="D21" i="8"/>
  <c r="C21" i="8"/>
  <c r="B21" i="8"/>
  <c r="K20" i="8"/>
  <c r="K19" i="8"/>
  <c r="I19" i="8"/>
  <c r="F19" i="8"/>
  <c r="F8" i="8"/>
  <c r="A2" i="8"/>
  <c r="A4" i="7"/>
  <c r="C5" i="9" l="1"/>
  <c r="F40" i="9"/>
  <c r="F28" i="6"/>
  <c r="B12" i="9"/>
  <c r="G21" i="8"/>
  <c r="H21" i="8"/>
  <c r="I20" i="8"/>
  <c r="I20" i="4" l="1"/>
  <c r="C20" i="4"/>
  <c r="I13" i="12"/>
  <c r="I12" i="12"/>
  <c r="F12" i="12"/>
  <c r="I11" i="12"/>
  <c r="F11" i="12"/>
  <c r="I10" i="12"/>
  <c r="C21" i="12"/>
  <c r="K10" i="9"/>
  <c r="I10" i="9"/>
  <c r="F10" i="9"/>
  <c r="K9" i="9"/>
  <c r="I9" i="9"/>
  <c r="F9" i="9"/>
  <c r="K8" i="9"/>
  <c r="I8" i="9"/>
  <c r="F8" i="9"/>
  <c r="I7" i="9"/>
  <c r="F7" i="9"/>
  <c r="K6" i="9"/>
  <c r="F6" i="9"/>
  <c r="K16" i="8"/>
  <c r="I16" i="8"/>
  <c r="F16" i="8"/>
  <c r="K15" i="8"/>
  <c r="I15" i="8"/>
  <c r="F15" i="8"/>
  <c r="K14" i="8"/>
  <c r="I14" i="8"/>
  <c r="F14" i="8"/>
  <c r="K13" i="8"/>
  <c r="I13" i="8"/>
  <c r="F13" i="8"/>
  <c r="K12" i="8"/>
  <c r="I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7" i="8" l="1"/>
  <c r="E5" i="9"/>
  <c r="I21" i="12"/>
  <c r="K21" i="12"/>
  <c r="F41" i="9"/>
  <c r="M40" i="9" s="1"/>
  <c r="F21" i="12"/>
  <c r="K17" i="8"/>
  <c r="J12" i="9"/>
  <c r="G12" i="9"/>
  <c r="K12" i="7"/>
  <c r="I11" i="9"/>
  <c r="H12" i="9"/>
  <c r="F11" i="9"/>
  <c r="K11" i="9"/>
  <c r="D76" i="13" l="1"/>
</calcChain>
</file>

<file path=xl/sharedStrings.xml><?xml version="1.0" encoding="utf-8"?>
<sst xmlns="http://schemas.openxmlformats.org/spreadsheetml/2006/main" count="2149" uniqueCount="858">
  <si>
    <t>CONTENIDO</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</si>
  <si>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</si>
  <si>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</si>
  <si>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</si>
  <si>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</si>
  <si>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</si>
  <si>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</si>
  <si>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</si>
  <si>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</si>
  <si>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</si>
  <si>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</si>
  <si>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</si>
  <si>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</si>
  <si>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</si>
  <si>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</si>
  <si>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</si>
  <si>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</si>
  <si>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</si>
  <si>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</si>
  <si>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</si>
  <si>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</si>
  <si>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</si>
  <si>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</si>
  <si>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</si>
  <si>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</si>
  <si>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</si>
  <si>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</si>
  <si>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</si>
  <si>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</si>
  <si>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</si>
  <si>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</si>
  <si>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</si>
  <si>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</si>
  <si>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</si>
  <si>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</si>
  <si>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</si>
  <si>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</si>
  <si>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</si>
  <si>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</si>
  <si>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</si>
  <si>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</si>
  <si>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</si>
  <si>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</si>
  <si>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</si>
  <si>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</si>
  <si>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</si>
  <si>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</si>
  <si>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</si>
  <si>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</si>
  <si>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</si>
  <si>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</si>
  <si>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</si>
  <si>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</si>
  <si>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</si>
  <si>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</si>
  <si>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</si>
  <si>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</si>
  <si>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</si>
  <si>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</si>
  <si>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</si>
  <si>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</si>
  <si>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</si>
  <si>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</si>
  <si>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</si>
  <si>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</si>
  <si>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</si>
  <si>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</si>
  <si>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</si>
  <si>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</si>
  <si>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</si>
  <si>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</si>
  <si>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</si>
  <si>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</si>
  <si>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</si>
  <si>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</si>
  <si>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</si>
  <si>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</si>
  <si>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</si>
  <si>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</si>
  <si>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</si>
  <si>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</si>
  <si>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</si>
  <si>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</si>
  <si>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</si>
  <si>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</si>
  <si>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</si>
  <si>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</si>
  <si>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</si>
  <si>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</si>
  <si>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</si>
  <si>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</si>
  <si>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</si>
  <si>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</si>
  <si>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</si>
  <si>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</si>
  <si>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HIDROELECTRICA HUANCHOR</t>
  </si>
  <si>
    <t>RIO DOBLE</t>
  </si>
  <si>
    <t>TERMOSELVA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</si>
  <si>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</si>
  <si>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</si>
  <si>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</si>
  <si>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</si>
  <si>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</si>
  <si>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</si>
  <si>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</si>
  <si>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</si>
  <si>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</si>
  <si>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</si>
  <si>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</si>
  <si>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</si>
  <si>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</si>
  <si>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</si>
  <si>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</si>
  <si>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</si>
  <si>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</si>
  <si>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</si>
  <si>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</si>
  <si>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</si>
  <si>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</si>
  <si>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</si>
  <si>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</si>
  <si>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</si>
  <si>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</si>
  <si>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</si>
  <si>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</si>
  <si>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</si>
  <si>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</si>
  <si>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</si>
  <si>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</si>
  <si>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</si>
  <si>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</si>
  <si>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</si>
  <si>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</si>
  <si>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</si>
  <si>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</si>
  <si>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</si>
  <si>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</si>
  <si>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</si>
  <si>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</si>
  <si>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</si>
  <si>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</si>
  <si>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</si>
  <si>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</si>
  <si>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</si>
  <si>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</si>
  <si>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</si>
  <si>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</si>
  <si>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</si>
  <si>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</si>
  <si>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</si>
  <si>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</si>
  <si>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</si>
  <si>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</si>
  <si>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</si>
  <si>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</si>
  <si>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</si>
  <si>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</si>
  <si>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</si>
  <si>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</si>
  <si>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</si>
  <si>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</si>
  <si>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</si>
  <si>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</si>
  <si>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</si>
  <si>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</si>
  <si>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VARIACIÓN
 (%)</t>
  </si>
  <si>
    <t>3. PRODUCCIÓN DE ENERGÍA ELÉCTRICA EN EL SEIN (GWh)</t>
  </si>
  <si>
    <t>Total RER</t>
  </si>
  <si>
    <t>Participación en el SEIN (%)</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</si>
  <si>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</si>
  <si>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</si>
  <si>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</si>
  <si>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</si>
  <si>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</si>
  <si>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</si>
  <si>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</si>
  <si>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</si>
  <si>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</si>
  <si>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</si>
  <si>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</si>
  <si>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</si>
  <si>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</si>
  <si>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</si>
  <si>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ORAZUL ENERGY PERÚ</t>
  </si>
  <si>
    <t>P.E. MARCONA</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</si>
  <si>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</si>
  <si>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</si>
  <si>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</si>
  <si>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</si>
  <si>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</si>
  <si>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</si>
  <si>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</si>
  <si>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</si>
  <si>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</si>
  <si>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</si>
  <si>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</si>
  <si>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</si>
  <si>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</si>
  <si>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</si>
  <si>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</si>
  <si>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</si>
  <si>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</si>
  <si>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</si>
  <si>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</si>
  <si>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</si>
  <si>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</si>
  <si>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</si>
  <si>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</si>
  <si>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</si>
  <si>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</si>
  <si>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</si>
  <si>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</si>
  <si>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</si>
  <si>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</si>
  <si>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</si>
  <si>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</si>
  <si>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</si>
  <si>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</si>
  <si>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</si>
  <si>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</si>
  <si>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</si>
  <si>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</si>
  <si>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</si>
  <si>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</si>
  <si>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</si>
  <si>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</si>
  <si>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</si>
  <si>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</si>
  <si>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</si>
  <si>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</si>
  <si>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</si>
  <si>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</si>
  <si>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</si>
  <si>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</si>
  <si>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</si>
  <si>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</si>
  <si>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</si>
  <si>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</si>
  <si>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</si>
  <si>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</si>
  <si>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</si>
  <si>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</si>
  <si>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</si>
  <si>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</si>
  <si>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</si>
  <si>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</si>
  <si>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</si>
  <si>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</si>
  <si>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</si>
  <si>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</si>
  <si>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</si>
  <si>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</si>
  <si>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</si>
  <si>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</si>
  <si>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</si>
  <si>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</si>
  <si>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</si>
  <si>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</si>
  <si>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</si>
  <si>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</si>
  <si>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</si>
  <si>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</si>
  <si>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</si>
  <si>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</si>
  <si>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</si>
  <si>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</si>
  <si>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</si>
  <si>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</si>
  <si>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</si>
  <si>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</si>
  <si>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</si>
  <si>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</si>
  <si>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</si>
  <si>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</si>
  <si>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</si>
  <si>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</si>
  <si>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</si>
  <si>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</si>
  <si>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</si>
  <si>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</si>
  <si>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</si>
  <si>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</si>
  <si>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</si>
  <si>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</si>
  <si>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</si>
  <si>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</si>
  <si>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</si>
  <si>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</si>
  <si>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</si>
  <si>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</si>
  <si>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</si>
  <si>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</si>
  <si>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</si>
  <si>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</si>
  <si>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</si>
  <si>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</si>
  <si>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</si>
  <si>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</si>
  <si>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</si>
  <si>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</si>
  <si>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</si>
  <si>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</si>
  <si>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</si>
  <si>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</si>
  <si>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C.H. RENOVANDES H1</t>
  </si>
  <si>
    <t>Gráfico N°24: Porcentaje de participación por tipo de causa en el número de fallas.</t>
  </si>
  <si>
    <t>Gráfico N°25: Comparación en el número de fallas por tipo de equipo.</t>
  </si>
  <si>
    <t>Máxima Demanda:</t>
  </si>
  <si>
    <t>PETRAMAS</t>
  </si>
  <si>
    <t>C.H. ÁNGEL II</t>
  </si>
  <si>
    <t>C.H. ÁNGEL III</t>
  </si>
  <si>
    <t>C.H. ÁNGEL I</t>
  </si>
  <si>
    <t>C.H. HER 1</t>
  </si>
  <si>
    <t>ANDEAN POWER</t>
  </si>
  <si>
    <t>8. EVENTOS Y FALLAS QUE OCASIONARON INTERRUPCIÓN Y DISMINUCIÓN DE SUMINISTRO ELÉCTRICO</t>
  </si>
  <si>
    <t>TOTAL MWh</t>
  </si>
  <si>
    <t>C.E. WAYRA I</t>
  </si>
  <si>
    <t>C.S. RUBI</t>
  </si>
  <si>
    <t>C.S. INTIPAMPA</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</si>
  <si>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</si>
  <si>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</si>
  <si>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</si>
  <si>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</si>
  <si>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</si>
  <si>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</si>
  <si>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</si>
  <si>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</si>
  <si>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</si>
  <si>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</si>
  <si>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</si>
  <si>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</si>
  <si>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</si>
  <si>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</si>
  <si>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BIOENERGIA</t>
  </si>
  <si>
    <t>GENERACIÓN ANDINA</t>
  </si>
  <si>
    <t>C.H. EL CARMEN</t>
  </si>
  <si>
    <t>C.H. RUCUY</t>
  </si>
  <si>
    <t>C.H. CHANCAY</t>
  </si>
  <si>
    <t>C.H. 8 DE AGOSTO</t>
  </si>
  <si>
    <t>C.T. CAÑA BRAVA</t>
  </si>
  <si>
    <t>C.H. CALLAHUANCA</t>
  </si>
  <si>
    <t>C.T. SAN JACINTO</t>
  </si>
  <si>
    <t>12:00</t>
  </si>
  <si>
    <t>11:45</t>
  </si>
  <si>
    <t>C.H. MANTA I</t>
  </si>
  <si>
    <t>HIDRANDINA</t>
  </si>
  <si>
    <t>GR PAINO</t>
  </si>
  <si>
    <t>GR TARUCA</t>
  </si>
  <si>
    <t>CELEPSA RENOVABLES</t>
  </si>
  <si>
    <t>C.E. HUAMBOS</t>
  </si>
  <si>
    <t>C.E. DUNA</t>
  </si>
  <si>
    <t>LA VIRGEN</t>
  </si>
  <si>
    <t>Total CELEPSA</t>
  </si>
  <si>
    <t>Total EGASA</t>
  </si>
  <si>
    <t>Total EGEMSA</t>
  </si>
  <si>
    <t>Total EGESUR</t>
  </si>
  <si>
    <t>Total ELECTROPERU</t>
  </si>
  <si>
    <t>Total ENGIE</t>
  </si>
  <si>
    <t>Total LA VIRGEN</t>
  </si>
  <si>
    <t>Total ORAZUL ENERGY PERÚ</t>
  </si>
  <si>
    <t>Total SAN GABAN</t>
  </si>
  <si>
    <t>Total SHOUGESA</t>
  </si>
  <si>
    <t>Total TERMOCHILCA</t>
  </si>
  <si>
    <t>Total TERMOSELVA</t>
  </si>
  <si>
    <t>CENTRALES SANTA ROSA</t>
  </si>
  <si>
    <t>COLCA SOLAR</t>
  </si>
  <si>
    <t>C.H. SANTA ROSA I</t>
  </si>
  <si>
    <t>C.H. SANTA ROSA II</t>
  </si>
  <si>
    <t>C.S. YARUCAYA</t>
  </si>
  <si>
    <t>C.H. LA VIRGEN</t>
  </si>
  <si>
    <t>C.T. LAS FLORES</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</si>
  <si>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</si>
  <si>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</si>
  <si>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</si>
  <si>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</si>
  <si>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</si>
  <si>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</si>
  <si>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</si>
  <si>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</si>
  <si>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</si>
  <si>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</si>
  <si>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</si>
  <si>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</si>
  <si>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</si>
  <si>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</si>
  <si>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</si>
  <si>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</si>
  <si>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</si>
  <si>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</si>
  <si>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</si>
  <si>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</si>
  <si>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</si>
  <si>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</si>
  <si>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</si>
  <si>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</si>
  <si>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</si>
  <si>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</si>
  <si>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</si>
  <si>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</si>
  <si>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</si>
  <si>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</si>
  <si>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</si>
  <si>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</si>
  <si>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</si>
  <si>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</si>
  <si>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</si>
  <si>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</si>
  <si>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</si>
  <si>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</si>
  <si>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</si>
  <si>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</si>
  <si>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</si>
  <si>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</si>
  <si>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</si>
  <si>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</si>
  <si>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</si>
  <si>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</si>
  <si>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</si>
  <si>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</si>
  <si>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</si>
  <si>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</si>
  <si>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</si>
  <si>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</si>
  <si>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</si>
  <si>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</si>
  <si>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</si>
  <si>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</si>
  <si>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</si>
  <si>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</si>
  <si>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</si>
  <si>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</si>
  <si>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</si>
  <si>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</si>
  <si>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</si>
  <si>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</si>
  <si>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</si>
  <si>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</si>
  <si>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</si>
  <si>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</si>
  <si>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</si>
  <si>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</si>
  <si>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</si>
  <si>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</si>
  <si>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</si>
  <si>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</si>
  <si>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</si>
  <si>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</si>
  <si>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</si>
  <si>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</si>
  <si>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</si>
  <si>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</si>
  <si>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</si>
  <si>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</si>
  <si>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</si>
  <si>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</si>
  <si>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</si>
  <si>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</si>
  <si>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</si>
  <si>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</si>
  <si>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</si>
  <si>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</si>
  <si>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</si>
  <si>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</si>
  <si>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</si>
  <si>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</si>
  <si>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</si>
  <si>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</si>
  <si>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</si>
  <si>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</si>
  <si>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</si>
  <si>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</si>
  <si>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</si>
  <si>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</si>
  <si>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</si>
  <si>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</si>
  <si>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</si>
  <si>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</si>
  <si>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</si>
  <si>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</si>
  <si>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</si>
  <si>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</si>
  <si>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</si>
  <si>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</si>
  <si>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</si>
  <si>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</si>
  <si>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</si>
  <si>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</si>
  <si>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</si>
  <si>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</si>
  <si>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</si>
  <si>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</si>
  <si>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</si>
  <si>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</si>
  <si>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</si>
  <si>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</si>
  <si>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</si>
  <si>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</si>
  <si>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</si>
  <si>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</si>
  <si>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</si>
  <si>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</si>
  <si>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</si>
  <si>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</si>
  <si>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</si>
  <si>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</si>
  <si>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</si>
  <si>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</si>
  <si>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</si>
  <si>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</si>
  <si>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</si>
  <si>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</si>
  <si>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</si>
  <si>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</si>
  <si>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</si>
  <si>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Empresa</t>
  </si>
  <si>
    <t>Recurso Energético</t>
  </si>
  <si>
    <t>Tipo de Tecnologia</t>
  </si>
  <si>
    <t>Central</t>
  </si>
  <si>
    <t>Unidad</t>
  </si>
  <si>
    <t>Tensión  
(kV)</t>
  </si>
  <si>
    <t xml:space="preserve">Potencia Efectiva  (MW) </t>
  </si>
  <si>
    <t>Fecha de Ingreso</t>
  </si>
  <si>
    <t>C.S. Clemesí</t>
  </si>
  <si>
    <t>Hidrología ENEL</t>
  </si>
  <si>
    <t>Volumen Laguna</t>
  </si>
  <si>
    <t>Hidroeléctrico</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</si>
  <si>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</si>
  <si>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</si>
  <si>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Caudal Turbinado C.H. Charcani V</t>
  </si>
  <si>
    <t>Volumen Útil de las Subcuencas del Río Mantaro</t>
  </si>
  <si>
    <t>Volumen Útil del Embalse Junín</t>
  </si>
  <si>
    <t>Variación %</t>
  </si>
  <si>
    <t>GM OPERACIONES</t>
  </si>
  <si>
    <t>ASOCIACIÓN SANTA LUCIA DE CHACAS</t>
  </si>
  <si>
    <t>RED DE ENERGIA DEL PERU S.A.</t>
  </si>
  <si>
    <t>20:00</t>
  </si>
  <si>
    <t>19:30</t>
  </si>
  <si>
    <t>19:45</t>
  </si>
  <si>
    <t>GR CORTARRAMA</t>
  </si>
  <si>
    <t>*</t>
  </si>
  <si>
    <t>ORYGEN PERU</t>
  </si>
  <si>
    <t>Caudal Descargado de Aguada Blanca (Charcani V: Qturbinado/QVertido)</t>
  </si>
  <si>
    <t>INDEPENDENCIA</t>
  </si>
  <si>
    <t>AGRO INDUSTRIAL PARAMONGA</t>
  </si>
  <si>
    <t>Total AGRO INDUSTRIAL PARAMONGA</t>
  </si>
  <si>
    <t>C.H. HUALLIN</t>
  </si>
  <si>
    <t>Total ASOCIACIÓN SANTA LUCIA DE CHACAS</t>
  </si>
  <si>
    <t>EGEJUNIN</t>
  </si>
  <si>
    <t>Total EGEJUNIN</t>
  </si>
  <si>
    <t>C.E. WAYRA EXTENSION</t>
  </si>
  <si>
    <t>C.H. QUITARACSA</t>
  </si>
  <si>
    <t>C.S. MATARANI</t>
  </si>
  <si>
    <t>C.T.B DOÑA CATALINA</t>
  </si>
  <si>
    <t>C.T.B. CALLAO</t>
  </si>
  <si>
    <t>C.H. PACHACHACA</t>
  </si>
  <si>
    <t>C.H. SAN ANTONIO</t>
  </si>
  <si>
    <t>C.H. SAN IGNACIO</t>
  </si>
  <si>
    <t>PIER</t>
  </si>
  <si>
    <t>Total PIER</t>
  </si>
  <si>
    <t>LINEA DE TRANSMISION</t>
  </si>
  <si>
    <t>15:30</t>
  </si>
  <si>
    <t>Diesel2/Residual500/Nafta,Gas Refinería &amp; Flexigas</t>
  </si>
  <si>
    <t>Nafta; Gas Refinería &amp; Flexigas</t>
  </si>
  <si>
    <t>COGENERACIÓN OQUENDO</t>
  </si>
  <si>
    <t>Turbina Pelton</t>
  </si>
  <si>
    <t>C.H. Aricota II</t>
  </si>
  <si>
    <t>24/01/2025</t>
  </si>
  <si>
    <t>L-2240</t>
  </si>
  <si>
    <t>CARHUAQUERO - CHICLAYO OESTE</t>
  </si>
  <si>
    <t>L-2211</t>
  </si>
  <si>
    <t>ICA - MARCONA</t>
  </si>
  <si>
    <t>L-1122</t>
  </si>
  <si>
    <t>TINGO MARÍA - AUCAYACU</t>
  </si>
  <si>
    <t>ISA PERU</t>
  </si>
  <si>
    <t>2025</t>
  </si>
  <si>
    <t>INVERSIONES SHAQSHA S.A.C.</t>
  </si>
  <si>
    <t>(1) Inicio de Operación Comercial de la C.H. Aricota II, propiedad de EGESUR desde el 24/01/2025.</t>
  </si>
  <si>
    <t>2025 / 2024</t>
  </si>
  <si>
    <t>TOTAL (CONSIDERANDO LA INTERCAMBIOS)</t>
  </si>
  <si>
    <t>Variación 2025/2024 (MW)</t>
  </si>
  <si>
    <t>Variación 2025/2024 (GWh)</t>
  </si>
  <si>
    <t>Var (%)
2025/2024</t>
  </si>
  <si>
    <t>2. MODIFICACIÓN DE LA OFERTA DE GENERACIÓN ELÉCTRICA DEL SEIN EN EL 2025</t>
  </si>
  <si>
    <t>Var. (2025/2024)</t>
  </si>
  <si>
    <t>2025/ 2024</t>
  </si>
  <si>
    <t>POTENCIA EFECTIVA (MW)</t>
  </si>
  <si>
    <t>19:15</t>
  </si>
  <si>
    <t>16:00</t>
  </si>
  <si>
    <t>INVERSIONES SHAQSHA</t>
  </si>
  <si>
    <t>(2) Inicio de Operación Comercial de la C.H. Tupuri, propiedad de SAN GABAN desde el 28/02/2025.</t>
  </si>
  <si>
    <t>C.H. Tupuri</t>
  </si>
  <si>
    <t>2.2.  RETIRO DE OPERACIÓN COMERCIAL EN EL SEIN</t>
  </si>
  <si>
    <t>Turbina Francis</t>
  </si>
  <si>
    <t>C.H. Santa Rosa I</t>
  </si>
  <si>
    <t>C.H. Santa Rosa II</t>
  </si>
  <si>
    <t>2.3. POTENCIA EFECTIVA EN EL SEIN</t>
  </si>
  <si>
    <t>Cuadro N° 1: Ingresos a Operación comercial de Centrales durante el 2025</t>
  </si>
  <si>
    <t>Cuadro N° 2: Retiros de Operación comercial de Centrales durante el 2025</t>
  </si>
  <si>
    <t>Cuadro N° 4: Producción de energía eléctrica (GWh) por tipo de generación en el SEIN.</t>
  </si>
  <si>
    <t>Cuadro N° 5: Producción de energía eléctrica (GWh) por tipo de recurso energético en el SEIN.</t>
  </si>
  <si>
    <t>Cuadro N° 6: Producción de energía eléctrica (GWh) con recursos energético renovables en el SEIN.</t>
  </si>
  <si>
    <t>C.H.CARHUAC</t>
  </si>
  <si>
    <t>Cuadro N°8 : Máxima potencia coincidente (MW) por tipo de generación en el SEIN.</t>
  </si>
  <si>
    <r>
      <rPr>
        <b/>
        <i/>
        <sz val="6"/>
        <rFont val="Arial"/>
        <family val="2"/>
      </rPr>
      <t>Cuadro N°10:</t>
    </r>
    <r>
      <rPr>
        <i/>
        <sz val="6"/>
        <color rgb="FF000000"/>
        <rFont val="Arial"/>
        <family val="2"/>
      </rPr>
      <t xml:space="preserve"> Volúmen útil de los principales embalses y lagunas del SEIN al término del periodo de análisis de los años 2024 y 2025.</t>
    </r>
  </si>
  <si>
    <r>
      <rPr>
        <b/>
        <i/>
        <sz val="6"/>
        <rFont val="Arial"/>
        <family val="2"/>
      </rPr>
      <t>Cuadro N°11:</t>
    </r>
    <r>
      <rPr>
        <i/>
        <sz val="6"/>
        <color rgb="FF000000"/>
        <rFont val="Arial"/>
        <family val="2"/>
      </rPr>
      <t xml:space="preserve"> Promedio de caudales de agosto en los años 2024 y 2025.</t>
    </r>
  </si>
  <si>
    <r>
      <rPr>
        <b/>
        <i/>
        <sz val="7"/>
        <rFont val="Arial"/>
        <family val="2"/>
      </rPr>
      <t>Gráfico N°12:</t>
    </r>
    <r>
      <rPr>
        <i/>
        <sz val="7"/>
        <color rgb="FF000000"/>
        <rFont val="Arial"/>
        <family val="2"/>
      </rPr>
      <t xml:space="preserve"> Promedio de caudales de agosto en los años 2024 y 2025.</t>
    </r>
  </si>
  <si>
    <t>L-6627 L-6628</t>
  </si>
  <si>
    <t>MARCONA - SAN NICOLÁS</t>
  </si>
  <si>
    <t>L-2018</t>
  </si>
  <si>
    <t>SAN JUAN - LOS INDUSTRIALES</t>
  </si>
  <si>
    <t>L-2011</t>
  </si>
  <si>
    <t>SAN JUAN - SANTA ROSA N.</t>
  </si>
  <si>
    <t>L-2010</t>
  </si>
  <si>
    <t>SANTA ROSA N. - LOS INDUSTRIALES</t>
  </si>
  <si>
    <t>T3-261 T4-261</t>
  </si>
  <si>
    <t>MARCONA</t>
  </si>
  <si>
    <t>(3) Retiro de Operación Comercial de las C.C.H.H. Santa Rosa I y Santa Rosa II, propiedad de CENTRALES SANTA ROSA, el 22/03/2025.</t>
  </si>
  <si>
    <t>19:00</t>
  </si>
  <si>
    <t>15:00</t>
  </si>
  <si>
    <t>ELECTRONOROESTE S.A.</t>
  </si>
  <si>
    <t>JOYA SOLAR</t>
  </si>
  <si>
    <t>HYDRO GLOBAL PERÚ</t>
  </si>
  <si>
    <t>T72-523</t>
  </si>
  <si>
    <t>CHILCA-CTM</t>
  </si>
  <si>
    <t>ELECTRO DUNAS</t>
  </si>
  <si>
    <t>L. SIHUAS - POMABAMBA - LINEA L-6689</t>
  </si>
  <si>
    <t>PLUZ ENERGÍA PERÚ S.A.A.</t>
  </si>
  <si>
    <t>18:45</t>
  </si>
  <si>
    <t>11:15</t>
  </si>
  <si>
    <t>13:15</t>
  </si>
  <si>
    <t>15:45</t>
  </si>
  <si>
    <t>C.S. SAN MARTIN SOLAR</t>
  </si>
  <si>
    <t>(5) Operación por pruebas de la C.S. San Martín Solar, propiedad de Joya Solar</t>
  </si>
  <si>
    <t>1.1. Producción de energía eléctrica en mayo de 2025 en comparación al mismo mes del año anterior</t>
  </si>
  <si>
    <t>Mayo 2025</t>
  </si>
  <si>
    <t>Mayo 2024</t>
  </si>
  <si>
    <t>L-2241</t>
  </si>
  <si>
    <t>LA NIÑA - PIURA OESTE</t>
  </si>
  <si>
    <t>L-2090</t>
  </si>
  <si>
    <t>CHILCA - ASIA</t>
  </si>
  <si>
    <t>L-2213 L-2279</t>
  </si>
  <si>
    <t>HUACHO - PARAMONGA NUEVA</t>
  </si>
  <si>
    <t>L-2063</t>
  </si>
  <si>
    <t>ISHCAYUCRO - PARAGSHA II</t>
  </si>
  <si>
    <t xml:space="preserve">L-2117 </t>
  </si>
  <si>
    <t>LOMERA - ZAPALLAL</t>
  </si>
  <si>
    <t>L-2003 L-2004</t>
  </si>
  <si>
    <t>SANTA ROSA N. - CHAVARRÍA</t>
  </si>
  <si>
    <t>T62-261 T6-261</t>
  </si>
  <si>
    <t>NORTE</t>
  </si>
  <si>
    <t>VOLUMEN ÚTIL 
31/05/2025</t>
  </si>
  <si>
    <t>VOLUMEN ÚTIL 
31/05/2024</t>
  </si>
  <si>
    <t>CLIENTE</t>
  </si>
  <si>
    <t>ELECTRONORTE S.A.</t>
  </si>
  <si>
    <t>L. ESPINA COLORADA - DUNA                                                                               - LINEA L-1334</t>
  </si>
  <si>
    <t>01/05/2025 06:53:04</t>
  </si>
  <si>
    <t>Desconectó la línea L-1334 (Espina Colorada – Duna Huambos) de 138 kV en la S.E. Espina Colorada, por activación de su protección de disparo y del bloqueo por baja presión de gas SF6, originado por el ingreso de agua a la caja de conexiones del manodensostato de presión de SF6, debido a las constantes lluvias en la zona, según lo informado por la empresa ELÉCTRICA RÍO DOBLE, titular de la celda de línea L-1334 en la S.E. Espina Colorada.
Como consecuencia se interrumpieron los suministros de la S.E. Cutervo con 3.6 MW y Nueva Jaen con 13.6 MW. Así mismo desconectaron las CC.EE. Duna y Huambos con un total de 3.86 MW. A las 08:12 h, se conectó la línea L-1334. A las 08:17 h, se conectó la línea L-1135 (Duna Huambos - Cutervo) y se procedió a restablecer el suministro de la S.E. Cutervo. También se coordinó poner en servicio las CC.EE. Duna y Huambos. A las 08:21 h, se conectó la línea L-1138 (Cutervo - Nueva Jaen) y se procedió a restablecer el suministro de la S.E. Nueva Jaen.</t>
  </si>
  <si>
    <t>L. PACHACHACA - MOROCOCHA - LINEA L-6530</t>
  </si>
  <si>
    <t>01/05/2025 14:10:03</t>
  </si>
  <si>
    <t>Desconectaron las líneas L-6530 (Pachachaca - Morococha) y L-6532 (Morococha - Carlos Francisco) de 50 kV por falla debido a descargas atmosféricas en la zona de ticlio, según lo informado por STATKRAFT, titular de las líneas. Como consecuencia, se interrumpió el suministro de la S.E. Morococha con 4.90 MW. A las 14:11:35 h, se conectaron las líneas L-6530 y L-6532 y se procedió a restablecer el suministro interrumpido.</t>
  </si>
  <si>
    <t>02/05/2025 04:56:40</t>
  </si>
  <si>
    <t>Desconectó la línea L-1334 (Espina Colorada – Duna Huambos) de 138 kV en la S.E. Espina Colorada, por activación de su protección de disparo y del bloqueo por baja presión de gas SF6, originado por el ingreso de agua a la caja de conexiones del manodensostato de presión de SF6, debido a las constantes lluvias en la zona, según lo informado por la empresa ELÉCTRICA RÍO DOBLE, titular de la celda de línea L-1334 en la S.E. Espina Colorada.
Como consecuencia se interrumpieron los suministros de la S.E. Cutervo con 3.3 MW y la S.E. Nueva Jaen con 9.46 MW. Así mismo desconectaron las CC.EE. Duna y Huambos con un total de 6.82 MW. A las 05:27:57 h, se conectó la línea L-1334. A las 05:28 h, se conectó la línea L-1135 (Duna Huambos - Cutervo) y se procedió a restablecer el suministro de la S.E. Cutervo. A las 05:33 h, se conectó la línea L-1138 (Cutervo - Nueva Jaen) y se procedió a restablecer el suministro de la S.E. Nueva Jaen. A las 05:36 h, se conectaron las CC.EE. Duna y Huambos.</t>
  </si>
  <si>
    <t>L. POECHOS - SULLANA - LINEA L-6668</t>
  </si>
  <si>
    <t>03/05/2025 17:19:56</t>
  </si>
  <si>
    <t>Desconectó la línea L-6668 (Poechos - Sullana) de 60 kV, por actuación de su protección diferencial (87L) ante una falla monofásica en la fase "S", debido al acercamiento de ave de rapiña con el conductor de la línea en la estructura E104, según lo informado por SINERSA, titular de la línea. Como consecuencia, se interrumpió el suministro de las SS.EE. Poechos, Las Lomas y Quiroz con un total de 10.69 MW. Asimismo, desconectaron las CC.HH. Poechos I y II cuando generaban 25.46 MW en total. A las 17:36:53 h, se conectó la línea L-6668 y se coordinó la recuperación del suministro interrumpido.
A las 17:58:55 h, el grupo G1 de la C.H. Poechos II sincronizó con el SEIN. 
A las 18:02:45 h, el grupo G2 de la C.H. Poechos II sincronizó con el SEIN. 
A las 18:38:21 h, el grupo G1 de la C.H. Poechos I sincronizó con el SEIN.
A las 00:15:20 h del 04.05.2025, el grupo G2 de la C.H. Poechos I sincronizó con el SEIN</t>
  </si>
  <si>
    <t>L. AZÁNGARO - SAN GABÁN II - LINEA L-1010</t>
  </si>
  <si>
    <t>03/05/2025 18:11:43</t>
  </si>
  <si>
    <t>Desconectó la línea L-1014 (San Gabán – Mazuco) de 138 kV por actuación de su protección de distancia, ante una falla monofásica en la fase “R” a 24,73 km de la S.E. San Gabán, debido a descargas atmosféricas en la zona de falla, según lo informado por ELECTRO SUR ESTE, titular de la línea. Respecto a la actuación del sistema de protección, se debe precisar que, la protección de distancia de la línea L-1014 emitió la orden de disparo monofásico de la fase “R” en la S.E San Gabán; sin embargo, no se ejecutó el recierre monofásico, por lo que la línea L-1014 permaneció conectada durante aproximadamente 1,5 segundos a traves de las fases "S" y "T".
Al respecto, en estas condiciones se activó la protección diferencial de barras (87B) de la S.E. San Gabán II, lo que originó la desconexión de la línea L-1010 (San Gabán – Azángaro) de 138 kV, del transformador de 138/22,9 kV hacia San Gabán III y del transformador de servicios auxiliares de la S.E. San Gabán II, según lo informado por la empresa San Gabán, titular de los equipos. Como consecuencia, se interrumpió los suministros de Ollachea y Ayapana con 0,650 MW.
Como consecuencia, se interrumpió el suministro de las SS.EE. Mazuco y Puerto Maldonado con un total de 31.482 MW. Además, desconectaron las CC.HH. San Gabán II cuando generaba 110.76 MW y las CC.HH. Ángel I, II y III cuando generaban 60.9 MW en total.
A las 18:13:18 h, se conectó la L-1010. A las 18:18:50 h, se conectó la L-1014 y se coordinó normalizar el suministro interrumpido en la S.E. Mazuco. A las 18:22:31 h, se energizó la L-1015 (Mazuco – Puerto Maldonado) de 138 kV. A las 18:24 h, se energizó el transformador de la S.E. Puerto Maldonado y se procedió a recuperar la carga en dicha subestación.
A las 18:59 h y 19:05 h, sincronizaron los generadores G1 y G2 de la C.H. San Gabán II, respectivamente.
A las 18:55 h, el generador G2 de la C.H. Angel III sincronizó con el SEIN.
A las 19:29 h, el generador G1 de la C.H. Angel II sincronizó con el SEIN.
A las 19:39 h, el generador G2 de la C.H. Angel II sincronizó con el SEIN.
A las 19:49 h, el generador G1 de la C.H. Angel I sincronizó con el SEIN.
A las 19:57 h, el generador G1 de la C.H. Angel III sincronizó con el SEIN.
A las 20:22 h, el generador G2 de la C.H. Angel I sincronizó con el SEIN.</t>
  </si>
  <si>
    <t>L. INDEPENDENCIA - PARACAS - LINEA L-6606</t>
  </si>
  <si>
    <t>04/05/2025 13:45:41</t>
  </si>
  <si>
    <t>Desconectó la línea L-6606 (Independencia - Paracas) de 60 kV por actuación de su protección distancia, ante una falla monofásica en la fase "R" en el aislador de la estructura E-103, según lo informado por ELECTRO DUNAS, titular de la línea. Como consecuencia se interrumpió el suministro de la SE Paracas con una carga de 12.19 MW. A las 13:47:40 h, se conectó la línea y se procedió a recuperar la carga interrumpida.</t>
  </si>
  <si>
    <t>05/05/2025 03:19:54</t>
  </si>
  <si>
    <t>Desconectó la línea L-1334 (Espina Colorada – Duna Huambos) de 138 kV en la S.E. Espina Colorada, por activación de su protección de disparo y del bloqueo por baja presión de gas SF6, originado por el ingreso de agua a la caja de conexiones del manodensostato de presión de SF6, debido a las constantes lluvias en la zona, según lo informado por la empresa ELÉCTRICA RÍO DOBLE, titular de la celda de línea L-1334 en la S.E. Espina Colorada.
Como consecuencia se interrumpió toda la carga de las SS.EE. Cutervo y Nueva Jaén con un total de 20 MW. Asimismo desconectó la C.E. Duna Huambos cuando generaba 8.5 MW. A las 04:10 h, la emrpesa ENGIE informó que no tiene comunicación con su operador de Duna Huambos y queda indisponible la S.E. Duna Huambos. A las 05:32 h ENGIE declaro disponible la S.E. Duna Huambos. A las 05:33 h se coordinó con la empresa RRIO DOBLE cerrar el interruptor de la línea L-1334 en la S.E. Espina Colorada con resultado negativo. La empresa RO DOBLE informó que no tenía mando remoto y que movilizaría su personal. A las 09:15 h se energizó la línea L-1334 y a las 09:16 h se energizó la barra de la S.E. Duna Huambos. A las 09:21 h entró en servicio la línea L-1135 (Duna Huambos - Cutervo) y a las 09:23 h entró en servicio la línea L-1138 (Cutervo - Nueva Jaen) y se coordinó recuperar la carga interrumpida.</t>
  </si>
  <si>
    <t>COES</t>
  </si>
  <si>
    <t>_T    SIST.INTERCONECTADO - CLIENTE    SEIN</t>
  </si>
  <si>
    <t>06/05/2025 16:46:00</t>
  </si>
  <si>
    <t xml:space="preserve">Se produjo la actuación de la 6ta Etapa del ERACMF (Esquema de rechazo automático de carga por mínima frecuencia) en el SEIN, momento en que la C.H. San Gabán III disminuyó su generación de 102 MW a 19 MW, debido a causas no informadas por INLAND ENERGY, titular de la central. Como consecuencia, se interrumpió el suministro en el SEIN con un total 27.684 MW. A las 16:49 h, se inició la normalización del suministro interrumpido. A las 17:06 se comunicó a todos los usuarios normalizar el total de su carga interrumpida. </t>
  </si>
  <si>
    <t>L. TRUJILLO NORTE - MOTIL - LINEA L-1115</t>
  </si>
  <si>
    <t>08/05/2025 05:36:10</t>
  </si>
  <si>
    <t>Desconectó la línea L-1115 (Trujillo Norte-Motil) de 138 kV por actuación de la protección distancia (21) ante una falla monofásica en la fase "S", debido a bajo aislamiento en la cadena de aisladores en la estructura E6, originado por trabajos de ampliación y reactivación de canteras en la zona de falla,, según lo informado por HIDRANDINA, titular de la línea. Como consecuencia, se interrumpió el suministro de la S.E. Motil con 3.6 MW. A las 05:44:35 h se conectó la línea y se coordinó recuperar los suministros interrumpidos.</t>
  </si>
  <si>
    <t>08/05/2025 06:02:28</t>
  </si>
  <si>
    <t>Desconectó la línea L-1115 (Trujillo Norte-Motil) de 138 kV por falla actuación de la protección distancia ante una falla monofásica en la fase "S", debido a bajo aislamiento en la cadena de aisladores en la estructura E96, originado por trabajos de ampliación y reactivación de canteras en la zona de falla, según lo informado por HIDRANDINA, titular de la línea. Como consecuencia, se interrumpió el suministro de la S.E. Motil con 3 MW. A las 06:09:50 h se conectó la línea y se coordinó recuperar los suministros interrumpidos.</t>
  </si>
  <si>
    <t>08/05/2025 06:40:49</t>
  </si>
  <si>
    <t>Desconectó la línea L-1115 (Trujillo Norte-Motil) de 138 kV por actuación de la protección distancia (21) ante una falla monofásica en la fase "S", debido a bajo aislamiento en la cadena de aisladores en la estructura E96, originado por trabajos de ampliación y reactivación de canteras en la zona de falla, según lo informado por HIDRANDINA, titular de la línea. Como consecuencia se interrumpió el suministro de la S.E. Motil con 4.21 MW. A las 09:39:51 h, la línea se puso en servicio y se coordinó recuperar la carga interrumpida.</t>
  </si>
  <si>
    <t>10/05/2025 01:50:21</t>
  </si>
  <si>
    <t>Desconectó la línea L-6668 (Sullana - Poechos) de 60 kV por falla monofásica en la fase "R" a 24.5 km de la S.E Poechos, debido a rotura de conductor originado por intento de hurto, según lo informado por SINERSA, titular de la línea. Como consecuencia se interrumpió el suministro de las SS.EE. Poechos, Las Lomas y Quiroz con un total de 9.33 MW. Asimismo, desconectaron las CC.HH. Poechos I y Poechos II cuando generaban 15.67 MW y 9.51 MW, respectivamente. A las 14:20:59 h se conectó la línea L-6668 y se procedió a recuperar la carga interrumpida.
A las 14:30:01 h, el generador G1 de la C.H. Poechos I sincronizó con el SEIN.
A las 14:33:02 h, el generador G2 de la C.H. Poechos I sincronizó con el SEIN.
A las 14:42:20 h, el generador G2 de la C.H. Poechos II sincronizó con el SEIN.
A las 14:53:16 h, el generador G1 de la C.H. Poechos II sincronizó con el SEIN.</t>
  </si>
  <si>
    <t>ADINELSA ADN</t>
  </si>
  <si>
    <t>L. HUACHO - ANDAHUASI - LINEA L-6670</t>
  </si>
  <si>
    <t>12/05/2025 06:28:13</t>
  </si>
  <si>
    <t>Desconectó la línea L-6670 (Huacho - Andahuasi) de 60 kV por actuación de la protección distancia (21) ante una falla monofásica en la fase "S", debido a causas que se encuentran en investigación, según lo informado por ADINELSA, titular de la línea. Como consecuencia se interrumpió el suministro de la S.E. Andahuasi con un total de 3.7 MW, aproximadamente. Asimismo, desconectaron las C.H. Yarucaya y la CSF Yarucaya con un total de 18.5 MW. A las 06:47:57 h, se conectó la línea L-6670 y se procedió a recuperar la carga interrumpida. A las 07:17 h se conectó la CSF Yarucaya.</t>
  </si>
  <si>
    <t>L. SUPE - MEDIO MUNDO - LINEA L-6932</t>
  </si>
  <si>
    <t>13/05/2025 19:22:53</t>
  </si>
  <si>
    <t>Desconectaron las líneas de 66 kV: L-6932 (Medio Mundo - Supe) y L-6694 (Supe - Paramonga Nueva) por falla en la fase “R” de la línea L-6694 a 2.78 km desde la S.E. Supe, debido a causa no informada por PLUZ ENERGÍA, titular de la central. Como consecuencia desconectó la C.H. Roncador con 1.76 MW y se interrumpió el suministro de Supe, Barranca y Pativilca con un total de 15 MW. A las 20:12:30 h, se conectaron las líneas y se normalizó el suministro interrumpido.</t>
  </si>
  <si>
    <t>L. PIURA OESTE - CATACAOS - LINEA L-6560</t>
  </si>
  <si>
    <t>15/05/2025 12:40:08</t>
  </si>
  <si>
    <t>Desconectó la línea L-6560 ( Piura Oeste - Catacaos) de 60 kV por actuación de la protección distancia (21) ante una falla monofásica en la fase "T" a una distancia de 3.8 km desde la S.E. Piura Oeste, debido a la rotura y quemadura de conductores provocado por actos vandálicos de terceros en el vano 20-21 de la línea L-6560 en la zona de Coscomba, según lo informado por ENOSA, titular de la línea. Como consecuencia se interrumpió el suministro de las SS.EE. Catacaos, La Union, Santa Regina, Sechura y Constante, con un total de 17.79 MW. A las 18:11 h, se conectó la línea y se procedió a recuperar los suministros interrumpidos.</t>
  </si>
  <si>
    <t>L. LA NIÑA - PIURA OESTE - LINEA L-2241_old</t>
  </si>
  <si>
    <t>16/05/2025 11:16:24</t>
  </si>
  <si>
    <t>Desconectó la línea L-2241 (La Niña - Piura Oeste) en la S.E Piura Oeste de 220 kV por actuación de su protección de sobrecorriente de fases, ante una sobrecarga en la línea del 30 %, según lo informado por Red de Energía del Perú, titular de la línea. Previamente, la línea paralela L-2162 (La Niña - Piura Oeste) de 220 kV se encontraba fuera de servicio por trabajos.
Como consecuencia se interrumpió el suministro de las SS.EE. Piura Oeste, Valle del Chira, Talara, Pariñas y Zorritos con un total de 317.29 MW. Asimismo, Asimismo, desconectaron los generadores TGN4 y TG6 de la C.T. Malacas, las CC.HH. Curumuy, Poechos I y II, la C.T. Caña Brava y la C.T. Tablazo con un total de 109.21 MW. De igual forma, durante el evento se registró la desconexión de la línea L-6654 (Piura Oeste - Paita) por actuación de su protección distancia y la desconexión de los bancos BC-30 y BC-31 de la S.E La Brea 66 kV.
A las 11:26:20 h se conectó la línea L-2241 y a las 11:32 h se procedió a recuperar los suministros interrumpidos de la S.E. Piura Oeste. A las 11:45 h, se conectó la línea L-2250 y a las 11:47 h se procedió a recuperar los suministros de la S.E. Talara. A las 11:58 h se energizó la S.E. Zorritos y se procedió a recuperar los suministros de la S.E. Zorritos.</t>
  </si>
  <si>
    <t>S.E. MIRADOR - BARRA BARRA A 60kV</t>
  </si>
  <si>
    <t>17/05/2025 01:01:34</t>
  </si>
  <si>
    <t>18/05/2025 09:12:53</t>
  </si>
  <si>
    <t>Desconectó la línea L-6606 (Independencia - Paracas) de 60 kV por falla monofásica fase "R", debido al acercamiento de aves con el conductor de la línea en la estructura E-103, según lo informado por ELECTRO DUNAS, titular de la línea. Como consecuencia se interrumpió el suministro de la S.E. Paracas con un total de 16.13 MW. A las 13:06:28 h se conectó la línea L-6606 y se procedió a normalizar el suministro interrumpido.</t>
  </si>
  <si>
    <t>19/05/2025 20:24:59</t>
  </si>
  <si>
    <t>Se produjo la desconexión de la línea L-6689 (Sihuas - Pomabamba) de 60 kV, por falla monofásica en la fase "T", cuya causa no fue informada por HIDRANDINA, propietario del equipo. Como consecuencia, se desconectó las CC.HH. Huallín, Maria Jiray, Pomabamba y Jambon con una generación total de 4.21 MW y se interrumpió el suministro de la S.E. Pomabamba con un total de 6.2 MW. A las 20:27:50 h, se puso en servicio la línea y se procedió a normalizar la generación de la C.H. Huallín y se recuperó el suministro interrumpido.</t>
  </si>
  <si>
    <t>L. COBRIZA I - COBRIZA II - LINEA L-6602</t>
  </si>
  <si>
    <t>26/05/2025 16:34:13</t>
  </si>
  <si>
    <t>Se produjo la desconexión de la línea L-6602 (Cobriza I - Cobriza II) de 66 kV, por actuación de la protección de distancia (21), debido acercamiento de vegetación en la zona, según lo informado por INVERSIONES SHAQSHA, titular del equipo. Como consecuencia se interrumpió la carga de la S.E. Cobriza II con 12.8 MW. A las 23:17:32 h se puso en servicio la línea y se procedió a normalizar el suministro interrumpido.</t>
  </si>
  <si>
    <t>29/05/2025 06:46:53</t>
  </si>
  <si>
    <t>Desconectó la línea L-1115 (Trujillo Norte - Motil) de 138 kV, por actuación de su protección distancia (21) ante una falla monofásica en la fase "S" a una distancia de 29.8 km desde la S.E. Trujillo Norte, debido a causa no informada por HIDRANDINA, titular de la línea. Como consecuencia se interrumpió el suministro de las SS.EE. Motil, Florida, Otuzco, Charat, Quiruvilca y la Minera Quiruvilca con un total de 3.91 MW. 
A las 06:54:34 h, se conectó la línea y se coordinó recuperar la carga interrumpida.</t>
  </si>
  <si>
    <t>29/05/2025 07:03:52</t>
  </si>
  <si>
    <t>Desconectó la línea L-1115 (Trujillo Norte - Motil) de 138 kV, por actuación de su protección distancia (21) ante una falla monofásica en la fase "R" a una distancia de 24 km desde la S.E. Trujillo Norte, debido a causa no informada por HIDRANDINA, titular de la línea. Como consecuencia se interrumpió el suministro de las SS.EE. Motil, Florida, Otuzco, Charat, Quiruvilca y la Minera Quiruvilca con un total de 3.96 MW. 
A las 07:08:56 h, se conectó la línea y se coordinó recuperar la carga interrumpida.</t>
  </si>
  <si>
    <t>29/05/2025 07:17:57</t>
  </si>
  <si>
    <t>Desconectó la línea L-1115 (Trujillo Norte - Motil) de 138 kV, por actuación de su protección distancia (21) ante una falla monofásica en la fase "S" a una distancia de 29.6 km desde la S.E. Trujillo Norte, debido a causa no informada por HIDRANDINA, titular de la línea. Como consecuencia se interrumpió el suministro de las SS.EE. Motil, Florida, Otuzco, Charat, Quiruvilca y la Minera Quiruvilca con un total de 3.60 MW. 
A las 12:15:30 h, se conectó la línea y se coordinó recuperar la carga interrumpida.</t>
  </si>
  <si>
    <t>30/05/2025 02:38:30</t>
  </si>
  <si>
    <t>Desconectó la línea L-1115 (Trujillo Norte - Motil) de 138 kV por actuación de su protección distancia (21) ante una falla monofásica en la fase "R" a 32.6 km desde la S.E. Trujillo Norte, debido a causas que se encuentran en investigación, según lo informado por HIDRANDINA, titular de la línea. Como consecuencia se interrumpió el suministro de la S.E. Motil con un carga de  3.5 MW. A las 02:48:38 h, se conectó la línea L-1115.</t>
  </si>
  <si>
    <t xml:space="preserve">Desconectó la S.E. Mirador 60 kV por falla, cuya causa no fue informada por Pluz Energía Perú S.A., titular de la subestación. Como consecuencia se interrumpió el suministro de GYM FERROVIAS en 2.8 MW. A la 01:26:32 h se energizó la barra I de la S.E. Mirador 60 kV y recuperó el suministro interrumpido. A las 19:31:52 h, se conectó el transformador TR1. A las 19:34:30 h, se energizó la Barra II de 60 kV. </t>
  </si>
  <si>
    <t>30/05/2025 03:35:49</t>
  </si>
  <si>
    <t>Desconectó la línea L-1115 (Trujillo Norte - Motil) de 138 kV por actuación de la protección distancia (21) ante una falla en la fase "R" a 32.6 km desde la S.E. Trujillo Norte, debido a densa neblina en la zona, según lo informado por HIDRANDINA, titular de la línea. Como consecuencia, se interrumpió el suministro de la S.E. Motil con una carga de 3.5 MW. A las 08:03:48 h, se conectó la línea y se coordinó recuperar la carga interrumpida.</t>
  </si>
  <si>
    <t>L. CHIMBOTE 1 - CHIMBOTE 2 - LINEA L-1107</t>
  </si>
  <si>
    <t>30/05/2025 07:22:44</t>
  </si>
  <si>
    <t>Desconectó la línea L1107 (Chimbote 1 - Chimbote 2) de 138 kV por actuación de la protección distancia (21) ante una falla monofásica en la fase "S" a 1.89 km desde la S.E. Chimbote 2 , debido a acercamiento de conductor de puesta a tierra por desprendimiento, según lo informada por ISA PERU, itular de la línea. Como consecuencia, el usuario libre SIDER PERU redujo su carga en 3 MW. A las 08:36:15 h, se conectó la línea L-1107.</t>
  </si>
  <si>
    <t>SEAL</t>
  </si>
  <si>
    <t>L. PEDREGAL SOLAR - CAMANA - LINEA L-1036</t>
  </si>
  <si>
    <t>30/05/2025 09:10:03</t>
  </si>
  <si>
    <t>Desconectó la línea L-1036 (Pedregal Solar - Camaná) de 138 kV en la S.E. Camaná por actuación de la protección distancia (21) , debido a causa que no fue informada por SEAL, titular de la línea. Como consecuencia, se interrumpieron los suministros de las SS.EE. Camaná y La Huerta con un total de 8.3 MW. 
A las 09:11:33 h, se conectó la línea y se coordinó recuperar la carga interrumpida.</t>
  </si>
  <si>
    <t>31/05/2025 06:26:39</t>
  </si>
  <si>
    <t>Desconectó la línea L-6668 (Sullana - Poechos) de 60 kV por actuación de la protección diferencial de línea (87L) ante una falla monofásica en la fase "S", debido a causas que se encuentran en investigación, según lo informado por SINSERSA, titular de la línea. Como consecuencia se interrumpió el suministro de las SS.EE. Poechos, Las Lomas y Quiroz de ENOSA con un total de 9.9 MW. A las 06:33:09 se conectó la línea y se procedió a recuperar la carga interrumpida..</t>
  </si>
  <si>
    <t>L. TRUJILLO NORTE - SANTIAGO DE CAO - LINEA L-1118</t>
  </si>
  <si>
    <t>31/05/2025 11:11:24</t>
  </si>
  <si>
    <t>Desconectó la línea L-1118 (Trujillo Norte - Santiago de Cao) de 138 kV por actuación de la protección distancia (21) ante una falla bifásica en las fases "S" y "T", debido a contacto de maquinaria cosechadora con la línea L-1118, según lo informado por HIDRANDINA, titular de la línea. Como consecuencia se interrumpió el suministro de la S.E. Santiago de Cao con un total de 28.4 MW. A las 12:27:33 h, se conectó la línea y se recupero los suministros interrumpidos.</t>
  </si>
  <si>
    <t>02/05/2025</t>
  </si>
  <si>
    <t>01/05/2025</t>
  </si>
  <si>
    <t>03/05/2025</t>
  </si>
  <si>
    <t>04/05/2025</t>
  </si>
  <si>
    <t>05/05/2025</t>
  </si>
  <si>
    <t>06/05/2025</t>
  </si>
  <si>
    <t>07/05/2025</t>
  </si>
  <si>
    <t>08/05/2025</t>
  </si>
  <si>
    <t>09/05/2025</t>
  </si>
  <si>
    <t>10/05/2025</t>
  </si>
  <si>
    <t>11/05/2025</t>
  </si>
  <si>
    <t>00:15</t>
  </si>
  <si>
    <t>20:30</t>
  </si>
  <si>
    <t>12/05/2025</t>
  </si>
  <si>
    <t>13/05/2025</t>
  </si>
  <si>
    <t>18:30</t>
  </si>
  <si>
    <t>14/05/2025</t>
  </si>
  <si>
    <t>15/05/2025</t>
  </si>
  <si>
    <t>16/05/2025</t>
  </si>
  <si>
    <t>17/05/2025</t>
  </si>
  <si>
    <t>18/05/2025</t>
  </si>
  <si>
    <t>16:45</t>
  </si>
  <si>
    <t>19/05/2025</t>
  </si>
  <si>
    <t>20/05/2025</t>
  </si>
  <si>
    <t>21/05/2025</t>
  </si>
  <si>
    <t>22/05/2025</t>
  </si>
  <si>
    <t>16:30</t>
  </si>
  <si>
    <t>23/05/2025</t>
  </si>
  <si>
    <t>24/05/2025</t>
  </si>
  <si>
    <t>25/05/2025</t>
  </si>
  <si>
    <t>26/05/2025</t>
  </si>
  <si>
    <t>27/05/2025</t>
  </si>
  <si>
    <t>28/05/2025</t>
  </si>
  <si>
    <t>29/05/2025</t>
  </si>
  <si>
    <t>17:00</t>
  </si>
  <si>
    <t>30/05/2025</t>
  </si>
  <si>
    <t>16:15</t>
  </si>
  <si>
    <t>31/05/2025</t>
  </si>
  <si>
    <t>(4) Inicio de Operación Comercial de la C.H. San Gabán III, propiedad de HYDROGLOBAL PERU S.A.C. desde el 30/05/2025.</t>
  </si>
  <si>
    <t>mayo</t>
  </si>
  <si>
    <t>La producción de electricidad con centrales hidroeléctricas durante el mes de mayo 2025 fue de 3 066,79 GWh (14,04% mayor al registrado durante mayo del año 2024).</t>
  </si>
  <si>
    <t>La producción de electricidad con centrales termoeléctricas durante el mes de mayo 2025 fue de 1 525,01 GWh, 17,12% menor al registrado durante mayo del año 2024. La participación del gas natural de Camisea fue de 28,55%, mientras que las del gas que proviene de los yacimientos de Aguaytía y Malacas fue del 0,43%, la producción con diesel,Nafta/ Gas Refinería / Flexigás, residual, biogás y bagazo tuvieron una intervención del 0,18%, 0,73%, 0,00%, 0,09%, 0,37% respectivamente.</t>
  </si>
  <si>
    <t>La producción de energía eléctrica con centrales eólicas fue de 331,98 GWh y con centrales solares fue de 153,70 GWh, los cuales tuvieron una participación de 6,54% y 3,03% respectivamente.</t>
  </si>
  <si>
    <t>Nafta / Gas Refinería</t>
  </si>
  <si>
    <t>C.H. San Gabán III</t>
  </si>
  <si>
    <r>
      <t>El total de la producción de energía eléctrica de la empresas generadoras integrantes del COES en el mes de mayo 2025 fue de 5</t>
    </r>
    <r>
      <rPr>
        <sz val="8"/>
        <color theme="0"/>
        <rFont val="Arial"/>
        <family val="2"/>
      </rPr>
      <t>_</t>
    </r>
    <r>
      <rPr>
        <sz val="9"/>
        <color theme="1"/>
        <rFont val="Arial"/>
        <family val="2"/>
      </rPr>
      <t>077,48 GWh, lo que representa un incremento de 95,14 GWh (1,91%) en comparación con el año 2024.</t>
    </r>
  </si>
  <si>
    <t>KALLPA GENERACIÓN</t>
  </si>
  <si>
    <t>INLAND ENERGY</t>
  </si>
  <si>
    <t>HUAURA POWER GROUP</t>
  </si>
  <si>
    <t>MAJES ARCUS</t>
  </si>
  <si>
    <t>REPARTICION ARCUS</t>
  </si>
  <si>
    <t>PLANTA ETEN</t>
  </si>
  <si>
    <t>ATRIA ENERGÍA</t>
  </si>
  <si>
    <t>AGROINDUSTRIAS SAN JACINTO</t>
  </si>
  <si>
    <t>Total AGROAURORA</t>
  </si>
  <si>
    <t>Total AGROINDUSTRIAS SAN JACINTO</t>
  </si>
  <si>
    <t>Total AGUA AZUL</t>
  </si>
  <si>
    <t>C.H. CARHUAC</t>
  </si>
  <si>
    <t>Total ANDEAN POWER</t>
  </si>
  <si>
    <t>Total ATRIA ENERGÍA</t>
  </si>
  <si>
    <t>Total BIOENERGIA</t>
  </si>
  <si>
    <t>C.H. PLATANAL</t>
  </si>
  <si>
    <t>Total CELEPSA RENOVABLES</t>
  </si>
  <si>
    <t>Total CENTRALES SANTA ROSA</t>
  </si>
  <si>
    <t>Total CERRO VERDE</t>
  </si>
  <si>
    <t>Total CHINANGO</t>
  </si>
  <si>
    <t>Total COLCA SOLAR</t>
  </si>
  <si>
    <t>Total EGECSAC</t>
  </si>
  <si>
    <t>Total ELECTRICA YANAPAMPA</t>
  </si>
  <si>
    <t>P.C.H CHAGLLA</t>
  </si>
  <si>
    <t>Total EMGE HUALLAGA</t>
  </si>
  <si>
    <t>Total EMGE HUANZA</t>
  </si>
  <si>
    <t>C.T. R.F. DE GENERACION TALARA</t>
  </si>
  <si>
    <t>Total ENEL GENERACION PIURA</t>
  </si>
  <si>
    <t>Total ENERGÍA EÓLICA</t>
  </si>
  <si>
    <t>Total ENERGIA RENOVABLE DEL SUR</t>
  </si>
  <si>
    <t>C.T. R.F. PLANTA ILO</t>
  </si>
  <si>
    <t>Total FENIX POWER</t>
  </si>
  <si>
    <t>Total GENERACIÓN ANDINA</t>
  </si>
  <si>
    <t>Total GEPSA</t>
  </si>
  <si>
    <t>C.T. REFINERÍA TALARA</t>
  </si>
  <si>
    <t>Total GM OPERACIONES</t>
  </si>
  <si>
    <t>Total GR CORTARRAMA</t>
  </si>
  <si>
    <t>Total GR PAINO</t>
  </si>
  <si>
    <t>Total GR TARUCA</t>
  </si>
  <si>
    <t>Total HIDROCAÑETE</t>
  </si>
  <si>
    <t>Total HIDROELECTRICA HUANCHOR</t>
  </si>
  <si>
    <t>Total HUAURA POWER GROUP</t>
  </si>
  <si>
    <t>C.H. SAN GABÁN</t>
  </si>
  <si>
    <t>C.H. SAN GABÁN III</t>
  </si>
  <si>
    <t>Total HYDRO GLOBAL PERÚ</t>
  </si>
  <si>
    <t>Total INLAND ENERGY</t>
  </si>
  <si>
    <t>Total INVERSIONES SHAQSHA</t>
  </si>
  <si>
    <t>C.T. R.F. PTO MALDONADO</t>
  </si>
  <si>
    <t>C.T. R.F. PUCALLPA</t>
  </si>
  <si>
    <t>Total IYEPSA</t>
  </si>
  <si>
    <t>Total JOYA SOLAR</t>
  </si>
  <si>
    <t>Total KALLPA GENERACIÓN</t>
  </si>
  <si>
    <t>Total KONDU</t>
  </si>
  <si>
    <t>Total MAJA ENERGIA</t>
  </si>
  <si>
    <t>Total MAJES ARCUS</t>
  </si>
  <si>
    <t>Total MOQUEGUA FV</t>
  </si>
  <si>
    <t>C.S. CLEMESI</t>
  </si>
  <si>
    <t>C.T. SANTA ROSA</t>
  </si>
  <si>
    <t>Total ORYGEN PERU</t>
  </si>
  <si>
    <t>Total P.E. MARCONA</t>
  </si>
  <si>
    <t>Total P.E. TRES HERMANAS</t>
  </si>
  <si>
    <t>Total PANAMERICANA SOLAR</t>
  </si>
  <si>
    <t>C.T. CALLAO</t>
  </si>
  <si>
    <t>C.T. DOÑA CATALINA</t>
  </si>
  <si>
    <t>Total PETRAMAS</t>
  </si>
  <si>
    <t>C.T. R. F. GENERACION ETEN</t>
  </si>
  <si>
    <t>Total PLANTA ETEN</t>
  </si>
  <si>
    <t>Total REPARTICION ARCUS</t>
  </si>
  <si>
    <t>Total RIO BAÑOS</t>
  </si>
  <si>
    <t>Total RIO DOBLE</t>
  </si>
  <si>
    <t>Total SAMAY I</t>
  </si>
  <si>
    <t>P.C.H. TUPURI</t>
  </si>
  <si>
    <t>Total SANTA ANA</t>
  </si>
  <si>
    <t>SDF ENERGIA</t>
  </si>
  <si>
    <t>Total SDF ENERGIA</t>
  </si>
  <si>
    <t>Total SINERSA</t>
  </si>
  <si>
    <t>Total STATKRAFT</t>
  </si>
  <si>
    <t>Total TACNA SOLAR</t>
  </si>
  <si>
    <t>Total COGENERACIÓN OQUENDO</t>
  </si>
  <si>
    <t>Total ENEL GENERACION PERU</t>
  </si>
  <si>
    <t>Fecha de Retiro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</si>
</sst>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 numFmtId="178" formatCode="_-* #,##0.000_-;\-* #,##0.000_-;_-* &quot;-&quot;???_-;_-@_-"/>
  </numFmts>
  <fonts count="101">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5"/>
      <color theme="1"/>
      <name val="Arial"/>
      <family val="2"/>
    </font>
    <font>
      <i/>
      <sz val="7"/>
      <color theme="1"/>
      <name val="Arial"/>
      <family val="2"/>
    </font>
    <font>
      <sz val="7"/>
      <color theme="0" tint="-0.34998626667073579"/>
      <name val="Arial"/>
      <family val="2"/>
    </font>
    <font>
      <sz val="8"/>
      <color rgb="FF00B050"/>
      <name val="Arial"/>
      <family val="2"/>
    </font>
    <font>
      <b/>
      <sz val="8"/>
      <color rgb="FF00B050"/>
      <name val="Arial"/>
      <family val="2"/>
    </font>
    <font>
      <i/>
      <sz val="8"/>
      <color theme="1"/>
      <name val="Arial"/>
      <family val="2"/>
    </font>
    <font>
      <i/>
      <sz val="8"/>
      <color theme="9"/>
      <name val="Arial"/>
      <family val="2"/>
    </font>
    <font>
      <i/>
      <sz val="6"/>
      <color theme="9"/>
      <name val="Arial"/>
      <family val="2"/>
    </font>
    <font>
      <sz val="9"/>
      <name val="Calibri"/>
      <family val="2"/>
    </font>
    <font>
      <b/>
      <sz val="10"/>
      <color theme="9"/>
      <name val="Arial"/>
      <family val="2"/>
    </font>
    <font>
      <b/>
      <sz val="9"/>
      <color theme="1"/>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2">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3">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0" fontId="63"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17">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1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11" applyFont="1" applyFill="1" applyAlignment="1">
      <alignment horizontal="right" vertical="center"/>
    </xf>
    <xf numFmtId="43" fontId="13" fillId="0" borderId="0" xfId="11"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11" applyFont="1" applyBorder="1" applyAlignment="1">
      <alignment horizontal="right"/>
    </xf>
    <xf numFmtId="43" fontId="13" fillId="0" borderId="27" xfId="11" applyFont="1" applyBorder="1" applyAlignment="1">
      <alignment horizontal="right"/>
    </xf>
    <xf numFmtId="43" fontId="13" fillId="0" borderId="28" xfId="11" applyFont="1" applyBorder="1" applyAlignment="1">
      <alignment horizontal="right"/>
    </xf>
    <xf numFmtId="43" fontId="13" fillId="4" borderId="29" xfId="11" applyFont="1" applyFill="1" applyBorder="1" applyAlignment="1">
      <alignment horizontal="right" vertical="center"/>
    </xf>
    <xf numFmtId="43" fontId="13" fillId="4" borderId="30" xfId="11" applyFont="1" applyFill="1" applyBorder="1" applyAlignment="1">
      <alignment horizontal="right" vertical="center"/>
    </xf>
    <xf numFmtId="43" fontId="13" fillId="0" borderId="29" xfId="11" applyFont="1" applyBorder="1" applyAlignment="1">
      <alignment horizontal="right" vertical="center"/>
    </xf>
    <xf numFmtId="43" fontId="13" fillId="0" borderId="30" xfId="11" applyFont="1" applyBorder="1" applyAlignment="1">
      <alignment horizontal="right" vertical="center"/>
    </xf>
    <xf numFmtId="43" fontId="21" fillId="4" borderId="37" xfId="11" applyFont="1" applyFill="1" applyBorder="1" applyAlignment="1">
      <alignment horizontal="right" vertical="center"/>
    </xf>
    <xf numFmtId="43" fontId="21" fillId="4" borderId="38" xfId="11" applyFont="1" applyFill="1" applyBorder="1" applyAlignment="1">
      <alignment horizontal="right" vertical="center"/>
    </xf>
    <xf numFmtId="43" fontId="13" fillId="0" borderId="0" xfId="11" applyFont="1" applyAlignment="1">
      <alignment horizontal="right"/>
    </xf>
    <xf numFmtId="0" fontId="30" fillId="0" borderId="0" xfId="0" applyFont="1"/>
    <xf numFmtId="43" fontId="13" fillId="0" borderId="9" xfId="11"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11" applyFont="1" applyBorder="1" applyAlignment="1">
      <alignment horizontal="right" vertical="center"/>
    </xf>
    <xf numFmtId="43" fontId="13" fillId="0" borderId="10" xfId="11" applyFont="1" applyBorder="1" applyAlignment="1">
      <alignment horizontal="right" vertical="center"/>
    </xf>
    <xf numFmtId="43" fontId="13" fillId="4" borderId="11" xfId="11" applyFont="1" applyFill="1" applyBorder="1" applyAlignment="1">
      <alignment horizontal="right" vertical="center"/>
    </xf>
    <xf numFmtId="43" fontId="13" fillId="4" borderId="12" xfId="11" applyFont="1" applyFill="1" applyBorder="1" applyAlignment="1">
      <alignment horizontal="right" vertical="center"/>
    </xf>
    <xf numFmtId="43" fontId="13" fillId="0" borderId="11" xfId="11" applyFont="1" applyBorder="1" applyAlignment="1">
      <alignment horizontal="right" vertical="center"/>
    </xf>
    <xf numFmtId="43" fontId="13" fillId="0" borderId="12" xfId="11"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11" applyFont="1" applyBorder="1" applyAlignment="1">
      <alignment horizontal="right" vertical="center"/>
    </xf>
    <xf numFmtId="43" fontId="0" fillId="4" borderId="11" xfId="11" applyFont="1" applyFill="1" applyBorder="1" applyAlignment="1">
      <alignment horizontal="right" vertical="center"/>
    </xf>
    <xf numFmtId="43" fontId="0" fillId="0" borderId="11" xfId="11"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11" applyFont="1" applyFill="1" applyAlignment="1">
      <alignment horizontal="right"/>
    </xf>
    <xf numFmtId="43" fontId="21" fillId="0" borderId="37" xfId="11" applyFont="1" applyBorder="1" applyAlignment="1">
      <alignment horizontal="right" vertical="center"/>
    </xf>
    <xf numFmtId="43" fontId="21" fillId="0" borderId="38" xfId="11" applyFont="1" applyBorder="1" applyAlignment="1">
      <alignment horizontal="right" vertical="center"/>
    </xf>
    <xf numFmtId="43" fontId="13" fillId="0" borderId="29" xfId="11" applyFont="1" applyBorder="1" applyAlignment="1">
      <alignment horizontal="right"/>
    </xf>
    <xf numFmtId="43" fontId="13" fillId="0" borderId="30" xfId="11" applyFont="1" applyBorder="1" applyAlignment="1">
      <alignment horizontal="right"/>
    </xf>
    <xf numFmtId="43" fontId="13" fillId="0" borderId="31" xfId="11" applyFont="1" applyBorder="1" applyAlignment="1">
      <alignment horizontal="right"/>
    </xf>
    <xf numFmtId="43" fontId="13" fillId="0" borderId="32" xfId="11" applyFont="1" applyBorder="1" applyAlignment="1">
      <alignment horizontal="right"/>
    </xf>
    <xf numFmtId="43" fontId="13" fillId="0" borderId="33" xfId="11"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11"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11"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11"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4" xfId="11" applyFont="1" applyBorder="1" applyAlignment="1">
      <alignment horizontal="right" vertical="center"/>
    </xf>
    <xf numFmtId="176" fontId="32" fillId="0" borderId="55" xfId="11"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11" applyFont="1" applyBorder="1" applyAlignment="1">
      <alignment horizontal="right"/>
    </xf>
    <xf numFmtId="43" fontId="27" fillId="0" borderId="0" xfId="11" applyFont="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11" applyFont="1" applyFill="1" applyBorder="1" applyAlignment="1">
      <alignment horizontal="right" vertical="center"/>
    </xf>
    <xf numFmtId="43" fontId="27" fillId="4" borderId="0" xfId="11" applyFont="1" applyFill="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11" applyFont="1" applyBorder="1" applyAlignment="1">
      <alignment horizontal="right" vertical="center"/>
    </xf>
    <xf numFmtId="43" fontId="27" fillId="0" borderId="0" xfId="11" applyFont="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11" applyFont="1" applyFill="1" applyBorder="1" applyAlignment="1">
      <alignment horizontal="right" vertical="center"/>
    </xf>
    <xf numFmtId="176" fontId="32" fillId="0" borderId="53" xfId="11"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11"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11" applyFont="1" applyBorder="1"/>
    <xf numFmtId="43" fontId="44" fillId="4" borderId="115" xfId="11"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0" fontId="57" fillId="0" borderId="0" xfId="0" applyFont="1" applyAlignment="1">
      <alignment vertical="center"/>
    </xf>
    <xf numFmtId="0" fontId="58"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1" fillId="0" borderId="0" xfId="0" applyFont="1" applyAlignment="1">
      <alignment vertical="center"/>
    </xf>
    <xf numFmtId="49" fontId="62" fillId="0" borderId="0" xfId="0" applyNumberFormat="1" applyFont="1" applyAlignment="1">
      <alignment horizontal="center"/>
    </xf>
    <xf numFmtId="0" fontId="62" fillId="0" borderId="0" xfId="0" applyFont="1"/>
    <xf numFmtId="49" fontId="62" fillId="0" borderId="0" xfId="0" applyNumberFormat="1" applyFont="1" applyAlignment="1">
      <alignment horizontal="right"/>
    </xf>
    <xf numFmtId="0" fontId="62" fillId="0" borderId="0" xfId="0" applyFont="1" applyAlignment="1">
      <alignment horizontal="right"/>
    </xf>
    <xf numFmtId="164" fontId="62" fillId="0" borderId="0" xfId="0" applyNumberFormat="1" applyFont="1" applyAlignment="1">
      <alignment horizontal="right"/>
    </xf>
    <xf numFmtId="1" fontId="62"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59" fillId="0" borderId="0" xfId="0" applyNumberFormat="1" applyFont="1" applyAlignment="1">
      <alignment horizontal="right"/>
    </xf>
    <xf numFmtId="49" fontId="59" fillId="0" borderId="0" xfId="0" applyNumberFormat="1" applyFont="1" applyAlignment="1">
      <alignment horizontal="center"/>
    </xf>
    <xf numFmtId="1" fontId="59"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59" fillId="0" borderId="0" xfId="0" applyNumberFormat="1" applyFont="1" applyAlignment="1">
      <alignment horizontal="center"/>
    </xf>
    <xf numFmtId="0" fontId="59" fillId="0" borderId="0" xfId="0" applyFont="1"/>
    <xf numFmtId="176" fontId="43" fillId="2" borderId="45" xfId="11"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1" applyFont="1" applyAlignment="1">
      <alignment vertical="center"/>
    </xf>
    <xf numFmtId="43" fontId="27" fillId="4" borderId="0" xfId="11"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11" applyFont="1" applyBorder="1" applyAlignment="1">
      <alignment horizontal="right" vertical="center"/>
    </xf>
    <xf numFmtId="43" fontId="27" fillId="0" borderId="41" xfId="11"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11" applyNumberFormat="1" applyFont="1" applyFill="1" applyBorder="1" applyAlignment="1">
      <alignment horizontal="center" vertical="center"/>
    </xf>
    <xf numFmtId="43" fontId="43" fillId="0" borderId="132" xfId="11"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0"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43" fontId="52" fillId="0" borderId="0" xfId="11" applyFont="1" applyFill="1"/>
    <xf numFmtId="174" fontId="60" fillId="0" borderId="0" xfId="0" applyNumberFormat="1" applyFont="1" applyAlignment="1">
      <alignment horizontal="center"/>
    </xf>
    <xf numFmtId="0" fontId="60" fillId="0" borderId="0" xfId="0" applyFont="1"/>
    <xf numFmtId="174" fontId="60" fillId="0" borderId="0" xfId="0" applyNumberFormat="1" applyFont="1"/>
    <xf numFmtId="43" fontId="52" fillId="0" borderId="0" xfId="11" applyFont="1" applyFill="1" applyAlignment="1">
      <alignment horizontal="center"/>
    </xf>
    <xf numFmtId="43" fontId="52" fillId="0" borderId="0" xfId="11" applyFont="1" applyFill="1" applyAlignment="1">
      <alignment vertical="center"/>
    </xf>
    <xf numFmtId="176" fontId="32" fillId="4" borderId="54" xfId="11" applyNumberFormat="1" applyFont="1" applyFill="1" applyBorder="1" applyAlignment="1">
      <alignment horizontal="right" vertical="center"/>
    </xf>
    <xf numFmtId="176" fontId="32" fillId="4" borderId="53" xfId="11" applyNumberFormat="1" applyFont="1" applyFill="1" applyBorder="1" applyAlignment="1">
      <alignment horizontal="right" vertical="center"/>
    </xf>
    <xf numFmtId="0" fontId="15" fillId="0" borderId="0" xfId="9" applyFont="1" applyAlignment="1">
      <alignment vertical="center"/>
    </xf>
    <xf numFmtId="0" fontId="63" fillId="0" borderId="0" xfId="9"/>
    <xf numFmtId="0" fontId="64" fillId="0" borderId="0" xfId="9" applyFont="1"/>
    <xf numFmtId="0" fontId="1" fillId="0" borderId="0" xfId="9" applyFont="1"/>
    <xf numFmtId="0" fontId="53" fillId="0" borderId="0" xfId="9" applyFont="1"/>
    <xf numFmtId="1" fontId="66" fillId="0" borderId="0" xfId="2" applyNumberFormat="1" applyFont="1" applyAlignment="1">
      <alignment horizontal="center"/>
    </xf>
    <xf numFmtId="171" fontId="66" fillId="0" borderId="0" xfId="2" applyNumberFormat="1" applyFont="1" applyAlignment="1">
      <alignment horizontal="center"/>
    </xf>
    <xf numFmtId="2" fontId="67" fillId="0" borderId="0" xfId="2" applyNumberFormat="1" applyFont="1"/>
    <xf numFmtId="2" fontId="67" fillId="0" borderId="0" xfId="2" applyNumberFormat="1" applyFont="1" applyAlignment="1">
      <alignment horizontal="center"/>
    </xf>
    <xf numFmtId="0" fontId="1" fillId="0" borderId="0" xfId="9" applyFont="1" applyAlignment="1">
      <alignment vertical="center"/>
    </xf>
    <xf numFmtId="0" fontId="53" fillId="0" borderId="0" xfId="9" applyFont="1" applyAlignment="1">
      <alignment vertical="center"/>
    </xf>
    <xf numFmtId="0" fontId="68" fillId="0" borderId="0" xfId="9" applyFont="1"/>
    <xf numFmtId="0" fontId="69" fillId="0" borderId="0" xfId="9" applyFont="1"/>
    <xf numFmtId="2" fontId="70" fillId="0" borderId="0" xfId="9" applyNumberFormat="1" applyFont="1"/>
    <xf numFmtId="2" fontId="71" fillId="0" borderId="0" xfId="2" applyNumberFormat="1" applyFont="1" applyAlignment="1">
      <alignment horizontal="center"/>
    </xf>
    <xf numFmtId="0" fontId="72" fillId="0" borderId="0" xfId="9" applyFont="1"/>
    <xf numFmtId="0" fontId="63" fillId="0" borderId="0" xfId="9"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5" fillId="2" borderId="0" xfId="2" applyFont="1" applyFill="1"/>
    <xf numFmtId="2" fontId="71" fillId="0" borderId="0" xfId="2" applyNumberFormat="1" applyFont="1"/>
    <xf numFmtId="0" fontId="66" fillId="0" borderId="0" xfId="2" applyNumberFormat="1" applyFont="1" applyAlignment="1">
      <alignment horizontal="center"/>
    </xf>
    <xf numFmtId="0" fontId="67" fillId="0" borderId="0" xfId="2" applyNumberFormat="1" applyFont="1"/>
    <xf numFmtId="0" fontId="67" fillId="2" borderId="0" xfId="2" applyNumberFormat="1" applyFont="1" applyFill="1"/>
    <xf numFmtId="0" fontId="71"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0" fillId="0" borderId="0" xfId="0" applyNumberFormat="1" applyAlignment="1">
      <alignment horizontal="right"/>
    </xf>
    <xf numFmtId="0" fontId="73" fillId="3" borderId="133" xfId="9" applyFont="1" applyFill="1" applyBorder="1" applyAlignment="1">
      <alignment horizontal="center" vertical="center" wrapText="1"/>
    </xf>
    <xf numFmtId="0" fontId="29" fillId="0" borderId="133" xfId="9" applyFont="1" applyBorder="1" applyAlignment="1">
      <alignment vertical="center" wrapText="1"/>
    </xf>
    <xf numFmtId="4" fontId="29" fillId="0" borderId="133" xfId="9" applyNumberFormat="1" applyFont="1" applyBorder="1" applyAlignment="1">
      <alignment horizontal="center" vertical="center" wrapText="1"/>
    </xf>
    <xf numFmtId="177" fontId="29" fillId="0" borderId="133" xfId="9" applyNumberFormat="1" applyFont="1" applyBorder="1" applyAlignment="1">
      <alignment horizontal="center" vertical="center" wrapText="1"/>
    </xf>
    <xf numFmtId="0" fontId="30" fillId="0" borderId="133" xfId="9" applyFont="1" applyBorder="1" applyAlignment="1">
      <alignment vertical="center" wrapText="1"/>
    </xf>
    <xf numFmtId="4" fontId="30" fillId="0" borderId="133" xfId="9" applyNumberFormat="1" applyFont="1" applyBorder="1" applyAlignment="1">
      <alignment horizontal="center" vertical="center" wrapText="1"/>
    </xf>
    <xf numFmtId="177" fontId="30" fillId="0" borderId="133" xfId="9" applyNumberFormat="1" applyFont="1" applyBorder="1" applyAlignment="1">
      <alignment horizontal="center" vertical="center" wrapText="1"/>
    </xf>
    <xf numFmtId="0" fontId="74" fillId="0" borderId="0" xfId="9" applyFont="1" applyAlignment="1">
      <alignment vertical="center"/>
    </xf>
    <xf numFmtId="0" fontId="76" fillId="0" borderId="0" xfId="9" applyFont="1"/>
    <xf numFmtId="0" fontId="77" fillId="0" borderId="0" xfId="9" applyFont="1"/>
    <xf numFmtId="0" fontId="78" fillId="3" borderId="133" xfId="9" applyFont="1" applyFill="1" applyBorder="1" applyAlignment="1">
      <alignment vertical="center" wrapText="1"/>
    </xf>
    <xf numFmtId="17" fontId="78" fillId="3" borderId="133" xfId="9" quotePrefix="1" applyNumberFormat="1" applyFont="1" applyFill="1" applyBorder="1" applyAlignment="1">
      <alignment horizontal="center" vertical="center" wrapText="1"/>
    </xf>
    <xf numFmtId="0" fontId="78" fillId="3" borderId="133" xfId="9" applyFont="1" applyFill="1" applyBorder="1" applyAlignment="1">
      <alignment horizontal="center" vertical="center" wrapText="1"/>
    </xf>
    <xf numFmtId="0" fontId="79" fillId="0" borderId="0" xfId="9" applyFont="1" applyAlignment="1">
      <alignment vertical="center" wrapText="1"/>
    </xf>
    <xf numFmtId="0" fontId="81" fillId="0" borderId="0" xfId="9" applyFont="1"/>
    <xf numFmtId="0" fontId="81" fillId="0" borderId="0" xfId="9" applyFont="1" applyAlignment="1">
      <alignment wrapText="1"/>
    </xf>
    <xf numFmtId="0" fontId="74" fillId="0" borderId="0" xfId="9" applyFont="1" applyAlignment="1">
      <alignment vertical="center" wrapText="1"/>
    </xf>
    <xf numFmtId="0" fontId="82" fillId="0" borderId="0" xfId="9" applyFont="1"/>
    <xf numFmtId="0" fontId="83" fillId="0" borderId="0" xfId="9" applyFont="1"/>
    <xf numFmtId="0" fontId="40" fillId="0" borderId="0" xfId="9"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2" applyNumberFormat="1" applyFont="1"/>
    <xf numFmtId="2" fontId="86" fillId="0" borderId="0" xfId="2" applyNumberFormat="1" applyFont="1" applyAlignment="1">
      <alignment horizontal="center"/>
    </xf>
    <xf numFmtId="0" fontId="40" fillId="0" borderId="0" xfId="9" applyFont="1" applyAlignment="1">
      <alignment vertical="center"/>
    </xf>
    <xf numFmtId="2" fontId="87" fillId="0" borderId="0" xfId="9" applyNumberFormat="1" applyFont="1"/>
    <xf numFmtId="0" fontId="88" fillId="0" borderId="0" xfId="9" applyFont="1"/>
    <xf numFmtId="173" fontId="89" fillId="0" borderId="0" xfId="0" applyNumberFormat="1" applyFont="1" applyAlignment="1">
      <alignment vertical="center"/>
    </xf>
    <xf numFmtId="14" fontId="0" fillId="0" borderId="0" xfId="0" applyNumberFormat="1"/>
    <xf numFmtId="43" fontId="49" fillId="0" borderId="0" xfId="11" applyFont="1" applyAlignment="1">
      <alignment horizontal="center"/>
    </xf>
    <xf numFmtId="43" fontId="52" fillId="0" borderId="0" xfId="11" applyFont="1" applyAlignment="1">
      <alignment horizontal="center"/>
    </xf>
    <xf numFmtId="43" fontId="52" fillId="0" borderId="0" xfId="11" applyFont="1"/>
    <xf numFmtId="43" fontId="13" fillId="4" borderId="8" xfId="11" applyFont="1" applyFill="1" applyBorder="1" applyAlignment="1">
      <alignment horizontal="right" vertical="center"/>
    </xf>
    <xf numFmtId="43" fontId="13" fillId="4" borderId="9" xfId="11" applyFont="1" applyFill="1" applyBorder="1" applyAlignment="1">
      <alignment horizontal="right" vertical="center"/>
    </xf>
    <xf numFmtId="43" fontId="13" fillId="4" borderId="10" xfId="11" applyFont="1" applyFill="1" applyBorder="1" applyAlignment="1">
      <alignment horizontal="right" vertical="center"/>
    </xf>
    <xf numFmtId="43" fontId="13" fillId="4" borderId="5" xfId="11" applyFont="1" applyFill="1" applyBorder="1" applyAlignment="1">
      <alignment horizontal="right" vertical="center"/>
    </xf>
    <xf numFmtId="43" fontId="13" fillId="0" borderId="6" xfId="11" applyFont="1" applyBorder="1" applyAlignment="1">
      <alignment horizontal="right" vertical="center"/>
    </xf>
    <xf numFmtId="43" fontId="0" fillId="4" borderId="9" xfId="11"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11" applyFont="1" applyFill="1" applyBorder="1" applyAlignment="1">
      <alignment horizontal="right" vertical="center"/>
    </xf>
    <xf numFmtId="43" fontId="21" fillId="0" borderId="0" xfId="0" applyNumberFormat="1" applyFont="1" applyAlignment="1">
      <alignment vertical="center" wrapText="1"/>
    </xf>
    <xf numFmtId="0" fontId="90" fillId="0" borderId="116" xfId="0" applyFont="1" applyBorder="1"/>
    <xf numFmtId="0" fontId="41" fillId="0" borderId="81" xfId="0" applyFont="1" applyBorder="1"/>
    <xf numFmtId="43" fontId="41" fillId="0" borderId="81" xfId="11" applyFont="1" applyBorder="1"/>
    <xf numFmtId="43" fontId="41" fillId="0" borderId="117" xfId="11" applyFont="1" applyBorder="1"/>
    <xf numFmtId="0" fontId="90" fillId="4" borderId="114" xfId="0" applyFont="1" applyFill="1" applyBorder="1"/>
    <xf numFmtId="0" fontId="90" fillId="4" borderId="82" xfId="0" applyFont="1" applyFill="1" applyBorder="1"/>
    <xf numFmtId="43" fontId="90" fillId="4" borderId="82" xfId="11" applyFont="1" applyFill="1" applyBorder="1"/>
    <xf numFmtId="43" fontId="90" fillId="4" borderId="115" xfId="11" applyFont="1" applyFill="1" applyBorder="1"/>
    <xf numFmtId="0" fontId="90" fillId="0" borderId="29" xfId="0" applyFont="1" applyBorder="1"/>
    <xf numFmtId="0" fontId="41" fillId="0" borderId="0" xfId="0" applyFont="1"/>
    <xf numFmtId="43" fontId="41" fillId="0" borderId="0" xfId="11" applyFont="1" applyBorder="1"/>
    <xf numFmtId="43" fontId="41" fillId="0" borderId="30" xfId="11" applyFont="1" applyBorder="1"/>
    <xf numFmtId="0" fontId="90" fillId="0" borderId="26" xfId="0" applyFont="1" applyBorder="1"/>
    <xf numFmtId="0" fontId="41" fillId="0" borderId="27" xfId="0" applyFont="1" applyBorder="1"/>
    <xf numFmtId="43" fontId="41" fillId="0" borderId="27" xfId="11" applyFont="1" applyBorder="1"/>
    <xf numFmtId="10" fontId="41" fillId="0" borderId="28" xfId="1" applyNumberFormat="1" applyFont="1" applyBorder="1"/>
    <xf numFmtId="10" fontId="90"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31" fillId="7" borderId="56" xfId="0" applyFont="1" applyFill="1" applyBorder="1" applyAlignment="1">
      <alignment horizontal="center" vertical="center"/>
    </xf>
    <xf numFmtId="0" fontId="31" fillId="7" borderId="56" xfId="11" applyNumberFormat="1"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0" fontId="43" fillId="0" borderId="51" xfId="0" applyFont="1" applyBorder="1" applyAlignment="1">
      <alignment vertical="center"/>
    </xf>
    <xf numFmtId="176" fontId="43" fillId="0" borderId="45" xfId="0" applyNumberFormat="1" applyFont="1" applyBorder="1" applyAlignment="1">
      <alignment vertical="center"/>
    </xf>
    <xf numFmtId="166" fontId="42" fillId="0" borderId="46" xfId="1" applyNumberFormat="1" applyFont="1" applyFill="1" applyBorder="1" applyAlignment="1">
      <alignment vertical="center"/>
    </xf>
    <xf numFmtId="0" fontId="91" fillId="0" borderId="0" xfId="0" applyFont="1" applyAlignment="1">
      <alignment vertical="center"/>
    </xf>
    <xf numFmtId="43" fontId="47" fillId="0" borderId="0" xfId="0" applyNumberFormat="1" applyFont="1"/>
    <xf numFmtId="178" fontId="0" fillId="0" borderId="0" xfId="0" applyNumberFormat="1"/>
    <xf numFmtId="43" fontId="43" fillId="0" borderId="73" xfId="11" applyFont="1" applyBorder="1" applyAlignment="1">
      <alignment vertical="center" wrapText="1"/>
    </xf>
    <xf numFmtId="43" fontId="49" fillId="0" borderId="0" xfId="11" applyFont="1" applyAlignment="1">
      <alignment horizontal="right"/>
    </xf>
    <xf numFmtId="43" fontId="52" fillId="0" borderId="0" xfId="11" applyFont="1" applyAlignment="1">
      <alignment horizontal="right"/>
    </xf>
    <xf numFmtId="2" fontId="49" fillId="0" borderId="0" xfId="0" applyNumberFormat="1" applyFont="1" applyAlignment="1">
      <alignment horizontal="right"/>
    </xf>
    <xf numFmtId="2" fontId="52" fillId="0" borderId="0" xfId="0" applyNumberFormat="1" applyFont="1" applyAlignment="1">
      <alignment horizontal="right"/>
    </xf>
    <xf numFmtId="0" fontId="52" fillId="0" borderId="0" xfId="0" applyFont="1" applyAlignment="1">
      <alignment horizontal="right"/>
    </xf>
    <xf numFmtId="0" fontId="51" fillId="0" borderId="0" xfId="0" applyFont="1" applyAlignment="1">
      <alignment horizontal="right"/>
    </xf>
    <xf numFmtId="0" fontId="49" fillId="0" borderId="0" xfId="0" applyFont="1" applyAlignment="1">
      <alignment vertical="center"/>
    </xf>
    <xf numFmtId="49" fontId="52" fillId="0" borderId="0" xfId="0" applyNumberFormat="1" applyFont="1" applyAlignment="1">
      <alignment horizontal="right"/>
    </xf>
    <xf numFmtId="1" fontId="52" fillId="0" borderId="0" xfId="0" applyNumberFormat="1" applyFont="1" applyAlignment="1">
      <alignment horizontal="right"/>
    </xf>
    <xf numFmtId="1" fontId="52" fillId="0" borderId="0" xfId="0" applyNumberFormat="1" applyFont="1"/>
    <xf numFmtId="1" fontId="92" fillId="0" borderId="0" xfId="0" applyNumberFormat="1" applyFont="1" applyAlignment="1">
      <alignment horizontal="right"/>
    </xf>
    <xf numFmtId="0" fontId="12" fillId="2" borderId="0" xfId="0" applyFont="1" applyFill="1" applyAlignment="1">
      <alignment vertical="center"/>
    </xf>
    <xf numFmtId="0" fontId="93" fillId="0" borderId="0" xfId="0" applyFont="1"/>
    <xf numFmtId="0" fontId="94" fillId="2" borderId="0" xfId="0" applyFont="1" applyFill="1" applyAlignment="1">
      <alignment vertical="center" wrapText="1"/>
    </xf>
    <xf numFmtId="2" fontId="49" fillId="2" borderId="0" xfId="0" applyNumberFormat="1" applyFont="1" applyFill="1" applyAlignment="1">
      <alignment horizontal="left" vertical="center" wrapText="1"/>
    </xf>
    <xf numFmtId="164" fontId="47" fillId="0" borderId="0" xfId="0" applyNumberFormat="1" applyFont="1" applyAlignment="1">
      <alignment horizontal="right"/>
    </xf>
    <xf numFmtId="0" fontId="82" fillId="0" borderId="0" xfId="0" applyFont="1" applyAlignment="1">
      <alignment vertical="center"/>
    </xf>
    <xf numFmtId="17" fontId="82" fillId="0" borderId="0" xfId="0" applyNumberFormat="1" applyFont="1" applyAlignment="1">
      <alignment horizontal="center" vertical="center"/>
    </xf>
    <xf numFmtId="2" fontId="82" fillId="0" borderId="0" xfId="0" applyNumberFormat="1" applyFont="1" applyAlignment="1">
      <alignment horizontal="right" vertical="center"/>
    </xf>
    <xf numFmtId="10" fontId="82" fillId="0" borderId="0" xfId="1" quotePrefix="1" applyNumberFormat="1" applyFont="1" applyAlignment="1">
      <alignment vertical="center" wrapText="1"/>
    </xf>
    <xf numFmtId="0" fontId="82" fillId="0" borderId="0" xfId="0" quotePrefix="1" applyFont="1" applyAlignment="1">
      <alignment vertical="center" wrapText="1"/>
    </xf>
    <xf numFmtId="2" fontId="82" fillId="0" borderId="0" xfId="0" quotePrefix="1" applyNumberFormat="1" applyFont="1" applyAlignment="1">
      <alignment horizontal="right" vertical="center" wrapText="1"/>
    </xf>
    <xf numFmtId="2" fontId="82" fillId="0" borderId="0" xfId="0" applyNumberFormat="1" applyFont="1" applyAlignment="1">
      <alignment vertical="center"/>
    </xf>
    <xf numFmtId="2" fontId="0" fillId="0" borderId="0" xfId="0" applyNumberFormat="1" applyAlignment="1">
      <alignment vertical="center"/>
    </xf>
    <xf numFmtId="2" fontId="9" fillId="0" borderId="0" xfId="0" applyNumberFormat="1" applyFont="1" applyAlignment="1">
      <alignment vertical="center"/>
    </xf>
    <xf numFmtId="0" fontId="95" fillId="0" borderId="0" xfId="0" applyFont="1" applyAlignment="1">
      <alignment vertical="center"/>
    </xf>
    <xf numFmtId="167" fontId="13" fillId="4" borderId="24" xfId="0" applyNumberFormat="1" applyFont="1" applyFill="1" applyBorder="1" applyAlignment="1">
      <alignment horizontal="left" vertical="center" wrapText="1"/>
    </xf>
    <xf numFmtId="43" fontId="27" fillId="0" borderId="3" xfId="11" applyFont="1" applyBorder="1" applyAlignment="1">
      <alignment horizontal="right"/>
    </xf>
    <xf numFmtId="43" fontId="27" fillId="4" borderId="3" xfId="11" applyFont="1" applyFill="1" applyBorder="1" applyAlignment="1">
      <alignment horizontal="right" vertical="center"/>
    </xf>
    <xf numFmtId="43" fontId="27" fillId="0" borderId="3" xfId="11" applyFont="1" applyBorder="1" applyAlignment="1">
      <alignment horizontal="right" vertical="center"/>
    </xf>
    <xf numFmtId="176" fontId="27" fillId="0" borderId="42" xfId="11" applyNumberFormat="1" applyFont="1" applyBorder="1" applyAlignment="1">
      <alignment horizontal="right" vertical="center"/>
    </xf>
    <xf numFmtId="4" fontId="0" fillId="0" borderId="0" xfId="0" applyNumberFormat="1"/>
    <xf numFmtId="174" fontId="82" fillId="0" borderId="0" xfId="0" applyNumberFormat="1" applyFont="1" applyAlignment="1">
      <alignment horizontal="right" vertical="center"/>
    </xf>
    <xf numFmtId="174" fontId="82" fillId="0" borderId="0" xfId="0" quotePrefix="1" applyNumberFormat="1" applyFont="1" applyAlignment="1">
      <alignment horizontal="right" vertical="center" wrapText="1"/>
    </xf>
    <xf numFmtId="0" fontId="96" fillId="2" borderId="0" xfId="0" applyFont="1" applyFill="1" applyAlignment="1">
      <alignment horizontal="left"/>
    </xf>
    <xf numFmtId="170" fontId="65" fillId="0" borderId="0" xfId="2" applyFont="1"/>
    <xf numFmtId="43" fontId="0" fillId="0" borderId="0" xfId="12" applyFont="1" applyAlignment="1">
      <alignment vertical="center"/>
    </xf>
    <xf numFmtId="0" fontId="29" fillId="2" borderId="0" xfId="0" applyFont="1" applyFill="1"/>
    <xf numFmtId="0" fontId="27" fillId="2" borderId="0" xfId="0" applyFont="1" applyFill="1"/>
    <xf numFmtId="43" fontId="43" fillId="0" borderId="140" xfId="11" applyFont="1" applyBorder="1" applyAlignment="1">
      <alignment vertical="center" wrapText="1"/>
    </xf>
    <xf numFmtId="43" fontId="43" fillId="0" borderId="141" xfId="11" applyFont="1" applyBorder="1" applyAlignment="1">
      <alignment vertical="center" wrapText="1"/>
    </xf>
    <xf numFmtId="43" fontId="40" fillId="0" borderId="0" xfId="12" applyFont="1"/>
    <xf numFmtId="43" fontId="40" fillId="0" borderId="0" xfId="12" applyFont="1" applyAlignment="1">
      <alignment vertical="center"/>
    </xf>
    <xf numFmtId="0" fontId="97" fillId="0" borderId="0" xfId="9" applyFont="1" applyAlignment="1">
      <alignment vertical="center"/>
    </xf>
    <xf numFmtId="0" fontId="98" fillId="0" borderId="88" xfId="0" applyFont="1" applyBorder="1"/>
    <xf numFmtId="173" fontId="98" fillId="0" borderId="88" xfId="0" applyNumberFormat="1" applyFont="1" applyBorder="1"/>
    <xf numFmtId="173" fontId="98" fillId="10" borderId="88" xfId="0" applyNumberFormat="1" applyFont="1" applyFill="1" applyBorder="1"/>
    <xf numFmtId="17" fontId="13" fillId="0" borderId="0" xfId="0" applyNumberFormat="1" applyFont="1" applyAlignment="1">
      <alignment horizontal="left" vertical="center"/>
    </xf>
    <xf numFmtId="0" fontId="99" fillId="2" borderId="0" xfId="0" applyFont="1" applyFill="1" applyAlignment="1">
      <alignment horizontal="centerContinuous"/>
    </xf>
    <xf numFmtId="43" fontId="19" fillId="2" borderId="0" xfId="0" applyNumberFormat="1" applyFont="1" applyFill="1" applyAlignment="1">
      <alignment horizontal="centerContinuous"/>
    </xf>
    <xf numFmtId="0" fontId="100" fillId="0" borderId="0" xfId="0" applyFont="1" applyAlignment="1">
      <alignment vertical="center"/>
    </xf>
    <xf numFmtId="0" fontId="90" fillId="0" borderId="31" xfId="0" applyFont="1" applyBorder="1"/>
    <xf numFmtId="0" fontId="41" fillId="0" borderId="32" xfId="0" applyFont="1" applyBorder="1"/>
    <xf numFmtId="43" fontId="41" fillId="0" borderId="32" xfId="11" applyFont="1" applyBorder="1"/>
    <xf numFmtId="43" fontId="41" fillId="0" borderId="33" xfId="11" applyFont="1" applyBorder="1"/>
    <xf numFmtId="0" fontId="90" fillId="0" borderId="26" xfId="0" applyFont="1" applyBorder="1" applyAlignment="1">
      <alignment vertical="center"/>
    </xf>
    <xf numFmtId="0" fontId="41" fillId="0" borderId="27" xfId="0" applyFont="1" applyBorder="1" applyAlignment="1">
      <alignment vertical="center"/>
    </xf>
    <xf numFmtId="43" fontId="41" fillId="0" borderId="27" xfId="11" applyFont="1" applyBorder="1" applyAlignment="1">
      <alignment vertical="center"/>
    </xf>
    <xf numFmtId="10" fontId="41" fillId="0" borderId="28" xfId="1" applyNumberFormat="1" applyFont="1" applyBorder="1" applyAlignment="1">
      <alignment vertical="center"/>
    </xf>
    <xf numFmtId="0" fontId="90" fillId="0" borderId="29" xfId="0" applyFont="1" applyBorder="1" applyAlignment="1">
      <alignment vertical="center"/>
    </xf>
    <xf numFmtId="0" fontId="41" fillId="0" borderId="0" xfId="0" applyFont="1" applyAlignment="1">
      <alignment vertical="center"/>
    </xf>
    <xf numFmtId="43" fontId="41" fillId="0" borderId="0" xfId="11" applyFont="1" applyBorder="1" applyAlignment="1">
      <alignment vertical="center"/>
    </xf>
    <xf numFmtId="10" fontId="41" fillId="0" borderId="30" xfId="1" applyNumberFormat="1" applyFont="1" applyBorder="1" applyAlignment="1">
      <alignment vertical="center"/>
    </xf>
    <xf numFmtId="0" fontId="90" fillId="0" borderId="31" xfId="0" applyFont="1" applyBorder="1" applyAlignment="1">
      <alignment vertical="center"/>
    </xf>
    <xf numFmtId="0" fontId="41" fillId="0" borderId="32" xfId="0" applyFont="1" applyBorder="1" applyAlignment="1">
      <alignment vertical="center"/>
    </xf>
    <xf numFmtId="43" fontId="41" fillId="0" borderId="32" xfId="11" applyFont="1" applyBorder="1" applyAlignment="1">
      <alignment vertical="center"/>
    </xf>
    <xf numFmtId="10" fontId="41" fillId="0" borderId="33" xfId="1" applyNumberFormat="1" applyFont="1" applyBorder="1" applyAlignment="1">
      <alignmen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11"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11"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6" fillId="2" borderId="0" xfId="0" applyFont="1" applyFill="1" applyAlignment="1">
      <alignment horizontal="left" vertical="center" wrapText="1"/>
    </xf>
    <xf numFmtId="0" fontId="2" fillId="8" borderId="44" xfId="0" applyFont="1" applyFill="1" applyBorder="1" applyAlignment="1">
      <alignment horizontal="left" vertical="center"/>
    </xf>
    <xf numFmtId="43" fontId="2" fillId="7" borderId="44" xfId="11"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35" fillId="2" borderId="0" xfId="0" applyFont="1" applyFill="1" applyAlignment="1">
      <alignment horizontal="left" vertical="center" wrapText="1"/>
    </xf>
    <xf numFmtId="0" fontId="27"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11"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6" fillId="0" borderId="0" xfId="0" applyFont="1" applyAlignment="1">
      <alignment horizontal="left" vertical="center" wrapText="1"/>
    </xf>
    <xf numFmtId="0" fontId="31" fillId="8" borderId="56" xfId="0" applyFont="1" applyFill="1" applyBorder="1" applyAlignment="1">
      <alignment horizontal="center" vertical="center" wrapText="1"/>
    </xf>
    <xf numFmtId="0" fontId="31" fillId="8" borderId="58" xfId="0" applyFont="1" applyFill="1" applyBorder="1" applyAlignment="1">
      <alignment horizontal="center" vertical="center" wrapText="1"/>
    </xf>
    <xf numFmtId="43" fontId="31" fillId="7" borderId="56" xfId="11"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21" fillId="2" borderId="0" xfId="0" applyFont="1" applyFill="1" applyAlignment="1">
      <alignment horizontal="center" vertical="top"/>
    </xf>
    <xf numFmtId="0" fontId="31" fillId="7" borderId="59" xfId="0" applyFont="1" applyFill="1" applyBorder="1" applyAlignment="1">
      <alignment horizontal="center" vertical="center"/>
    </xf>
    <xf numFmtId="0" fontId="63" fillId="0" borderId="0" xfId="9"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0" fontId="3" fillId="2" borderId="0" xfId="0" applyFont="1" applyFill="1" applyAlignment="1">
      <alignment horizontal="left" vertical="center" wrapText="1"/>
    </xf>
    <xf numFmtId="0" fontId="15" fillId="2" borderId="0" xfId="0" applyFont="1" applyFill="1" applyAlignment="1">
      <alignment horizontal="left" vertical="center" wrapText="1"/>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34" fillId="7" borderId="77" xfId="11" applyFont="1" applyFill="1" applyBorder="1" applyAlignment="1">
      <alignment horizontal="center" vertical="center" wrapText="1"/>
    </xf>
    <xf numFmtId="43" fontId="34" fillId="7" borderId="118" xfId="1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3">
    <cellStyle name="Comma" xfId="11" xr:uid="{9BCC24FE-5DE2-45CE-B0FE-4BFB8519D0F5}"/>
    <cellStyle name="Millares" xfId="12" builtinId="3"/>
    <cellStyle name="Millares 2" xfId="8" xr:uid="{6056FAAB-A910-4673-96C4-279031F9CDE7}"/>
    <cellStyle name="Normal" xfId="0" builtinId="0"/>
    <cellStyle name="Normal 10 17" xfId="10" xr:uid="{C40D5A28-D35D-48E9-BD52-E8518710A195}"/>
    <cellStyle name="Normal 2" xfId="7" xr:uid="{BEC2926D-E6EB-46F3-9DB2-9578BC747F97}"/>
    <cellStyle name="Normal 3" xfId="9"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Resumen'!$O$23:$O$29</c:f>
              <c:numCache>
                <c:formatCode>0.00</c:formatCode>
                <c:ptCount val="7"/>
                <c:pt idx="0">
                  <c:v>3066.7897235099999</c:v>
                </c:pt>
                <c:pt idx="1">
                  <c:v>1471.8930958899998</c:v>
                </c:pt>
                <c:pt idx="2">
                  <c:v>20.507750000000001</c:v>
                </c:pt>
                <c:pt idx="3">
                  <c:v>9.1396241074999995</c:v>
                </c:pt>
                <c:pt idx="4">
                  <c:v>23.4717573625</c:v>
                </c:pt>
                <c:pt idx="5">
                  <c:v>153.69746294000001</c:v>
                </c:pt>
                <c:pt idx="6">
                  <c:v>331.98247399249999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Resumen'!$O$24</c:f>
              <c:numCache>
                <c:formatCode>0.00</c:formatCode>
                <c:ptCount val="1"/>
                <c:pt idx="0">
                  <c:v>1471.8930958899998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Nafta / Gas Refinería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Resumen'!$O$25</c:f>
              <c:numCache>
                <c:formatCode>0.00</c:formatCode>
                <c:ptCount val="1"/>
                <c:pt idx="0">
                  <c:v>20.507750000000001</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Diesel2/Residual500/Nafta,Gas Refinería &amp; Flexigas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Resumen'!$O$26</c:f>
              <c:numCache>
                <c:formatCode>0.00</c:formatCode>
                <c:ptCount val="1"/>
                <c:pt idx="0">
                  <c:v>9.1396241074999995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Resumen'!$O$27</c:f>
              <c:numCache>
                <c:formatCode>0.00</c:formatCode>
                <c:ptCount val="1"/>
                <c:pt idx="0">
                  <c:v>23.4717573625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Resumen'!$O$28</c:f>
              <c:numCache>
                <c:formatCode>0.00</c:formatCode>
                <c:ptCount val="1"/>
                <c:pt idx="0">
                  <c:v>153.69746294000001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Resumen'!$O$29</c:f>
              <c:numCache>
                <c:formatCode>0.00</c:formatCode>
                <c:ptCount val="1"/>
                <c:pt idx="0">
                  <c:v>331.98247399249999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RER'!$M$47:$M$57</c:f>
              <c:strCache>
                <c:ptCount val="11"/>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TACNA SOLAR</c:v>
                </c:pt>
                <c:pt idx="10">
                  <c:v>C.S. YARUCAYA</c:v>
                </c:pt>
              </c:strCache>
            </c:strRef>
          </c:cat>
          <c:val>
            <c:numRef>
              <c:f>'6. FP RER'!$P$47:$P$57</c:f>
              <c:numCache>
                <c:formatCode>_(* #,##0.00_);_(* \(#,##0.00\);_(* "-"??_);_(@_)</c:formatCode>
                <c:ptCount val="11"/>
                <c:pt idx="0">
                  <c:v>6.8851005000000007E-2</c:v>
                </c:pt>
                <c:pt idx="1">
                  <c:v>24.219148000000001</c:v>
                </c:pt>
                <c:pt idx="2">
                  <c:v>7.9584433074999996</c:v>
                </c:pt>
                <c:pt idx="3">
                  <c:v>3.601188665</c:v>
                </c:pt>
                <c:pt idx="4">
                  <c:v>18.561772354999999</c:v>
                </c:pt>
                <c:pt idx="5">
                  <c:v>3.5826164999999999</c:v>
                </c:pt>
                <c:pt idx="6">
                  <c:v>4.2978164999999997</c:v>
                </c:pt>
                <c:pt idx="7">
                  <c:v>3.4965368575000002</c:v>
                </c:pt>
                <c:pt idx="8">
                  <c:v>32.674302750000003</c:v>
                </c:pt>
                <c:pt idx="9">
                  <c:v>3.7269967500000001</c:v>
                </c:pt>
                <c:pt idx="10">
                  <c:v>0.22616325000000001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RER'!$M$47:$M$57</c:f>
              <c:strCache>
                <c:ptCount val="11"/>
                <c:pt idx="0">
                  <c:v>C.S. CARHUAQUERO</c:v>
                </c:pt>
                <c:pt idx="1">
                  <c:v>C.S. Clemesí</c:v>
                </c:pt>
                <c:pt idx="2">
                  <c:v>C.S. INTIPAMPA</c:v>
                </c:pt>
                <c:pt idx="3">
                  <c:v>C.S. MAJES SOLAR</c:v>
                </c:pt>
                <c:pt idx="4">
                  <c:v>C.S. MATARANI</c:v>
                </c:pt>
                <c:pt idx="5">
                  <c:v>C.S. MOQUEGUA FV</c:v>
                </c:pt>
                <c:pt idx="6">
                  <c:v>C.S. PANAMERICANA SOLAR</c:v>
                </c:pt>
                <c:pt idx="7">
                  <c:v>C.S. REPARTICION</c:v>
                </c:pt>
                <c:pt idx="8">
                  <c:v>C.S. RUBI</c:v>
                </c:pt>
                <c:pt idx="9">
                  <c:v>C.S. TACNA SOLAR</c:v>
                </c:pt>
                <c:pt idx="10">
                  <c:v>C.S. YARUCAYA</c:v>
                </c:pt>
              </c:strCache>
            </c:strRef>
          </c:cat>
          <c:val>
            <c:numRef>
              <c:f>'6. FP RER'!$Q$47:$Q$57</c:f>
              <c:numCache>
                <c:formatCode>_(* #,##0.00_);_(* \(#,##0.00\);_(* "-"??_);_(@_)</c:formatCode>
                <c:ptCount val="11"/>
                <c:pt idx="0">
                  <c:v>0.16825758797653959</c:v>
                </c:pt>
                <c:pt idx="1">
                  <c:v>0.283238652045331</c:v>
                </c:pt>
                <c:pt idx="2">
                  <c:v>0.26411931858157445</c:v>
                </c:pt>
                <c:pt idx="3">
                  <c:v>0.24201536727150538</c:v>
                </c:pt>
                <c:pt idx="4">
                  <c:v>0.31185773445900539</c:v>
                </c:pt>
                <c:pt idx="5">
                  <c:v>0.30095904737903229</c:v>
                </c:pt>
                <c:pt idx="6">
                  <c:v>0.28883175403225808</c:v>
                </c:pt>
                <c:pt idx="7">
                  <c:v>0.23498231569220432</c:v>
                </c:pt>
                <c:pt idx="8">
                  <c:v>0.30396645617877688</c:v>
                </c:pt>
                <c:pt idx="9">
                  <c:v>0.25047021169354838</c:v>
                </c:pt>
                <c:pt idx="10">
                  <c:v>0.23473580146967246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RER'!$M$58:$M$65</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RER'!$P$58:$P$65</c:f>
              <c:numCache>
                <c:formatCode>_(* #,##0.00_);_(* \(#,##0.00\);_(* "-"??_);_(@_)</c:formatCode>
                <c:ptCount val="8"/>
                <c:pt idx="0">
                  <c:v>6.9480624999999998</c:v>
                </c:pt>
                <c:pt idx="1">
                  <c:v>2.216550475</c:v>
                </c:pt>
                <c:pt idx="2">
                  <c:v>1.0143197500000001</c:v>
                </c:pt>
                <c:pt idx="3" formatCode="0.00">
                  <c:v>0</c:v>
                </c:pt>
                <c:pt idx="4" formatCode="General">
                  <c:v>11.8481820875</c:v>
                </c:pt>
                <c:pt idx="5" formatCode="General">
                  <c:v>0</c:v>
                </c:pt>
                <c:pt idx="6" formatCode="General">
                  <c:v>0.98287337500000005</c:v>
                </c:pt>
                <c:pt idx="7" formatCode="General">
                  <c:v>0.46176917499999998</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RER'!$M$58:$M$65</c:f>
              <c:strCache>
                <c:ptCount val="8"/>
                <c:pt idx="0">
                  <c:v>C.T. CAÑA BRAVA</c:v>
                </c:pt>
                <c:pt idx="1">
                  <c:v>C.T. HUAYCOLORO</c:v>
                </c:pt>
                <c:pt idx="2">
                  <c:v>C.T. LA GRINGA</c:v>
                </c:pt>
                <c:pt idx="3">
                  <c:v>C.T. MAPLE ETANOL</c:v>
                </c:pt>
                <c:pt idx="4">
                  <c:v>C.T. PARAMONGA</c:v>
                </c:pt>
                <c:pt idx="5">
                  <c:v>C.T. SAN JACINTO</c:v>
                </c:pt>
                <c:pt idx="6">
                  <c:v>C.T.B DOÑA CATALINA</c:v>
                </c:pt>
                <c:pt idx="7">
                  <c:v>C.T.B. CALLAO</c:v>
                </c:pt>
              </c:strCache>
            </c:strRef>
          </c:cat>
          <c:val>
            <c:numRef>
              <c:f>'6. FP RER'!$Q$58:$Q$65</c:f>
              <c:numCache>
                <c:formatCode>_(* #,##0.00_);_(* \(#,##0.00\);_(* "-"??_);_(@_)</c:formatCode>
                <c:ptCount val="8"/>
                <c:pt idx="0">
                  <c:v>0.80558371672187723</c:v>
                </c:pt>
                <c:pt idx="1">
                  <c:v>0.66903836043678377</c:v>
                </c:pt>
                <c:pt idx="2">
                  <c:v>0.46733018335978305</c:v>
                </c:pt>
                <c:pt idx="3">
                  <c:v>0</c:v>
                </c:pt>
                <c:pt idx="4">
                  <c:v>1</c:v>
                </c:pt>
                <c:pt idx="5">
                  <c:v>0</c:v>
                </c:pt>
                <c:pt idx="6">
                  <c:v>0.68499788145999985</c:v>
                </c:pt>
                <c:pt idx="7">
                  <c:v>0.3171231092555859</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2025</c:v>
                </c:pt>
              </c:strCache>
            </c:strRef>
          </c:tx>
          <c:spPr>
            <a:solidFill>
              <a:srgbClr val="0077A5"/>
            </a:solidFill>
          </c:spPr>
          <c:invertIfNegative val="0"/>
          <c:cat>
            <c:multiLvlStrRef>
              <c:f>'6. FP RER'!$T$6:$U$65</c:f>
              <c:multiLvlStrCache>
                <c:ptCount val="60"/>
                <c:lvl>
                  <c:pt idx="0">
                    <c:v> C.H. 8 DE AGOSTO </c:v>
                  </c:pt>
                  <c:pt idx="1">
                    <c:v> C.H. ÁNGEL I </c:v>
                  </c:pt>
                  <c:pt idx="2">
                    <c:v> C.H. ÁNGEL II </c:v>
                  </c:pt>
                  <c:pt idx="3">
                    <c:v> C.H. ÁNGEL III </c:v>
                  </c:pt>
                  <c:pt idx="4">
                    <c:v> C.H. CAÑA BRAVA </c:v>
                  </c:pt>
                  <c:pt idx="5">
                    <c:v> C.H. CANCHAYLLO </c:v>
                  </c:pt>
                  <c:pt idx="6">
                    <c:v> C.H. CARHUAQUERO IV </c:v>
                  </c:pt>
                  <c:pt idx="7">
                    <c:v> C.H. CHANCAY </c:v>
                  </c:pt>
                  <c:pt idx="8">
                    <c:v> C.H. EL CARMEN </c:v>
                  </c:pt>
                  <c:pt idx="9">
                    <c:v> C.H. HER 1 </c:v>
                  </c:pt>
                  <c:pt idx="10">
                    <c:v> C.H. HUALLIN </c:v>
                  </c:pt>
                  <c:pt idx="11">
                    <c:v> C.H. HUASAHUASI I </c:v>
                  </c:pt>
                  <c:pt idx="12">
                    <c:v> C.H. HUASAHUASI II </c:v>
                  </c:pt>
                  <c:pt idx="13">
                    <c:v> C.H. IMPERIAL </c:v>
                  </c:pt>
                  <c:pt idx="14">
                    <c:v> C.H. LA JOYA </c:v>
                  </c:pt>
                  <c:pt idx="15">
                    <c:v> C.H. LAS PIZARRAS </c:v>
                  </c:pt>
                  <c:pt idx="16">
                    <c:v> C.H. MANTA I </c:v>
                  </c:pt>
                  <c:pt idx="17">
                    <c:v> C.H. POECHOS II </c:v>
                  </c:pt>
                  <c:pt idx="18">
                    <c:v> C.H. POTRERO </c:v>
                  </c:pt>
                  <c:pt idx="19">
                    <c:v> C.H. PURMACANA </c:v>
                  </c:pt>
                  <c:pt idx="20">
                    <c:v> C.H. RENOVANDES H1 </c:v>
                  </c:pt>
                  <c:pt idx="21">
                    <c:v> C.H. RONCADOR </c:v>
                  </c:pt>
                  <c:pt idx="22">
                    <c:v> C.H. RUCUY </c:v>
                  </c:pt>
                  <c:pt idx="23">
                    <c:v> C.H. RUNATULLO II </c:v>
                  </c:pt>
                  <c:pt idx="24">
                    <c:v> C.H. RUNATULLO III </c:v>
                  </c:pt>
                  <c:pt idx="25">
                    <c:v> C.H. SANTA CRUZ I </c:v>
                  </c:pt>
                  <c:pt idx="26">
                    <c:v> C.H. SANTA CRUZ II </c:v>
                  </c:pt>
                  <c:pt idx="27">
                    <c:v> C.H. YANAPAMPA </c:v>
                  </c:pt>
                  <c:pt idx="28">
                    <c:v> C.H. YARUCAYA </c:v>
                  </c:pt>
                  <c:pt idx="29">
                    <c:v> C.H.CARHUAC </c:v>
                  </c:pt>
                  <c:pt idx="30">
                    <c:v> C.E. CUPISNIQUE </c:v>
                  </c:pt>
                  <c:pt idx="31">
                    <c:v> C.E. DUNA </c:v>
                  </c:pt>
                  <c:pt idx="32">
                    <c:v> C.E. HUAMBOS </c:v>
                  </c:pt>
                  <c:pt idx="33">
                    <c:v> C.E. MARCONA </c:v>
                  </c:pt>
                  <c:pt idx="34">
                    <c:v> C.E. PUNTA LOMITAS </c:v>
                  </c:pt>
                  <c:pt idx="35">
                    <c:v> C.E. PUNTA LOMITAS_EXP </c:v>
                  </c:pt>
                  <c:pt idx="36">
                    <c:v> C.E. SAN JUAN </c:v>
                  </c:pt>
                  <c:pt idx="37">
                    <c:v> C.E. TALARA </c:v>
                  </c:pt>
                  <c:pt idx="38">
                    <c:v> C.E. TRES HERMANAS </c:v>
                  </c:pt>
                  <c:pt idx="39">
                    <c:v> C.E. WAYRA EXTENSION </c:v>
                  </c:pt>
                  <c:pt idx="40">
                    <c:v> C.E. WAYRA I </c:v>
                  </c:pt>
                  <c:pt idx="41">
                    <c:v> C.S. CARHUAQUERO </c:v>
                  </c:pt>
                  <c:pt idx="42">
                    <c:v> C.S. Clemesí </c:v>
                  </c:pt>
                  <c:pt idx="43">
                    <c:v> C.S. INTIPAMPA </c:v>
                  </c:pt>
                  <c:pt idx="44">
                    <c:v> C.S. MAJES SOLAR </c:v>
                  </c:pt>
                  <c:pt idx="45">
                    <c:v> C.S. MATARANI </c:v>
                  </c:pt>
                  <c:pt idx="46">
                    <c:v> C.S. MOQUEGUA FV </c:v>
                  </c:pt>
                  <c:pt idx="47">
                    <c:v> C.S. PANAMERICANA SOLAR </c:v>
                  </c:pt>
                  <c:pt idx="48">
                    <c:v> C.S. REPARTICION </c:v>
                  </c:pt>
                  <c:pt idx="49">
                    <c:v> C.S. RUBI </c:v>
                  </c:pt>
                  <c:pt idx="50">
                    <c:v> C.S. TACNA SOLAR </c:v>
                  </c:pt>
                  <c:pt idx="51">
                    <c:v> C.S. YARUCAYA </c:v>
                  </c:pt>
                  <c:pt idx="52">
                    <c:v> C.T. CAÑA BRAVA </c:v>
                  </c:pt>
                  <c:pt idx="53">
                    <c:v> C.T. HUAYCOLORO </c:v>
                  </c:pt>
                  <c:pt idx="54">
                    <c:v>C.T. LA GRINGA</c:v>
                  </c:pt>
                  <c:pt idx="55">
                    <c:v>C.T. MAPLE ETANOL</c:v>
                  </c:pt>
                  <c:pt idx="56">
                    <c:v>C.T. PARAMONGA</c:v>
                  </c:pt>
                  <c:pt idx="57">
                    <c:v>C.T. SAN JACINTO</c:v>
                  </c:pt>
                  <c:pt idx="58">
                    <c:v>C.T.B DOÑA CATALINA</c:v>
                  </c:pt>
                  <c:pt idx="59">
                    <c:v>C.T.B. CALLAO</c:v>
                  </c:pt>
                </c:lvl>
                <c:lvl>
                  <c:pt idx="0">
                    <c:v>HIDROELÉCTRICAS</c:v>
                  </c:pt>
                  <c:pt idx="30">
                    <c:v>EÓLICAS</c:v>
                  </c:pt>
                  <c:pt idx="41">
                    <c:v>SOLARES</c:v>
                  </c:pt>
                  <c:pt idx="52">
                    <c:v>TERMOELÉCTRICAS</c:v>
                  </c:pt>
                </c:lvl>
              </c:multiLvlStrCache>
            </c:multiLvlStrRef>
          </c:cat>
          <c:val>
            <c:numRef>
              <c:f>'6. FP RER'!$V$6:$V$65</c:f>
              <c:numCache>
                <c:formatCode>_(* #,##0.00_);_(* \(#,##0.00\);_(* "-"??_);_(@_)</c:formatCode>
                <c:ptCount val="60"/>
                <c:pt idx="0">
                  <c:v>0.86176828956058382</c:v>
                </c:pt>
                <c:pt idx="1">
                  <c:v>0.94322579206315493</c:v>
                </c:pt>
                <c:pt idx="2">
                  <c:v>0.94895132805647375</c:v>
                </c:pt>
                <c:pt idx="3">
                  <c:v>0.83451869208864149</c:v>
                </c:pt>
                <c:pt idx="4">
                  <c:v>0.91792976813405447</c:v>
                </c:pt>
                <c:pt idx="5">
                  <c:v>0.89127667132182742</c:v>
                </c:pt>
                <c:pt idx="6">
                  <c:v>0.98122786952499164</c:v>
                </c:pt>
                <c:pt idx="7">
                  <c:v>0.97814507740599177</c:v>
                </c:pt>
                <c:pt idx="8">
                  <c:v>0.82122080302223444</c:v>
                </c:pt>
                <c:pt idx="9">
                  <c:v>0.72317047791473266</c:v>
                </c:pt>
                <c:pt idx="10">
                  <c:v>0.74082323284024498</c:v>
                </c:pt>
                <c:pt idx="11">
                  <c:v>0.87572077058190734</c:v>
                </c:pt>
                <c:pt idx="12">
                  <c:v>0.90104718098995551</c:v>
                </c:pt>
                <c:pt idx="13">
                  <c:v>0.83348890885441407</c:v>
                </c:pt>
                <c:pt idx="14">
                  <c:v>0.60231600561894538</c:v>
                </c:pt>
                <c:pt idx="15">
                  <c:v>0.93546540214123275</c:v>
                </c:pt>
                <c:pt idx="16">
                  <c:v>0.66738076984126804</c:v>
                </c:pt>
                <c:pt idx="17">
                  <c:v>0.82578982597778927</c:v>
                </c:pt>
                <c:pt idx="18">
                  <c:v>0.92264160913788396</c:v>
                </c:pt>
                <c:pt idx="19">
                  <c:v>3.3506955084251451E-2</c:v>
                </c:pt>
                <c:pt idx="20">
                  <c:v>0.86151986892525956</c:v>
                </c:pt>
                <c:pt idx="21">
                  <c:v>0.66017533097965442</c:v>
                </c:pt>
                <c:pt idx="22">
                  <c:v>0.97185188963207525</c:v>
                </c:pt>
                <c:pt idx="23">
                  <c:v>0.89374889514857359</c:v>
                </c:pt>
                <c:pt idx="24">
                  <c:v>0.95940978443707503</c:v>
                </c:pt>
                <c:pt idx="25">
                  <c:v>0.79483730333374591</c:v>
                </c:pt>
                <c:pt idx="26">
                  <c:v>0.75514281042664411</c:v>
                </c:pt>
                <c:pt idx="27">
                  <c:v>0.75687313088323849</c:v>
                </c:pt>
                <c:pt idx="28">
                  <c:v>0.85514223486244567</c:v>
                </c:pt>
                <c:pt idx="29">
                  <c:v>0.87942469883165197</c:v>
                </c:pt>
                <c:pt idx="30">
                  <c:v>0.42752966255895425</c:v>
                </c:pt>
                <c:pt idx="31">
                  <c:v>0.35561110902067034</c:v>
                </c:pt>
                <c:pt idx="32">
                  <c:v>0.28408084726092669</c:v>
                </c:pt>
                <c:pt idx="33">
                  <c:v>0.56802847966680459</c:v>
                </c:pt>
                <c:pt idx="34">
                  <c:v>0.42301841084543218</c:v>
                </c:pt>
                <c:pt idx="35">
                  <c:v>0.25378835453660581</c:v>
                </c:pt>
                <c:pt idx="36">
                  <c:v>0.53618459990385881</c:v>
                </c:pt>
                <c:pt idx="37">
                  <c:v>0.36038124987481746</c:v>
                </c:pt>
                <c:pt idx="38">
                  <c:v>0.52228950834858601</c:v>
                </c:pt>
                <c:pt idx="39">
                  <c:v>0.30234959224676045</c:v>
                </c:pt>
                <c:pt idx="40">
                  <c:v>0.42061378254944365</c:v>
                </c:pt>
                <c:pt idx="41">
                  <c:v>0.15687351244230385</c:v>
                </c:pt>
                <c:pt idx="42">
                  <c:v>0.31050801409207912</c:v>
                </c:pt>
                <c:pt idx="43">
                  <c:v>0.27587047003174997</c:v>
                </c:pt>
                <c:pt idx="44">
                  <c:v>0.25105834502621416</c:v>
                </c:pt>
                <c:pt idx="45">
                  <c:v>0.32277341990894043</c:v>
                </c:pt>
                <c:pt idx="46">
                  <c:v>0.33036638124310158</c:v>
                </c:pt>
                <c:pt idx="47">
                  <c:v>0.32135152110927151</c:v>
                </c:pt>
                <c:pt idx="48">
                  <c:v>0.23919050434602648</c:v>
                </c:pt>
                <c:pt idx="49">
                  <c:v>0.32459053260234161</c:v>
                </c:pt>
                <c:pt idx="50">
                  <c:v>0.31746380380794703</c:v>
                </c:pt>
                <c:pt idx="51">
                  <c:v>0.20490153854185311</c:v>
                </c:pt>
                <c:pt idx="52">
                  <c:v>0.42566267045752498</c:v>
                </c:pt>
                <c:pt idx="53">
                  <c:v>0.84960226669707095</c:v>
                </c:pt>
                <c:pt idx="54">
                  <c:v>0.5712324418379261</c:v>
                </c:pt>
                <c:pt idx="55">
                  <c:v>0.30627474529192006</c:v>
                </c:pt>
                <c:pt idx="56">
                  <c:v>0.78403081059551893</c:v>
                </c:pt>
                <c:pt idx="57">
                  <c:v>0.44239379562858788</c:v>
                </c:pt>
                <c:pt idx="58">
                  <c:v>1</c:v>
                </c:pt>
                <c:pt idx="59">
                  <c:v>0.86949950495660933</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2024</c:v>
                </c:pt>
              </c:strCache>
            </c:strRef>
          </c:tx>
          <c:spPr>
            <a:solidFill>
              <a:schemeClr val="accent2"/>
            </a:solidFill>
          </c:spPr>
          <c:invertIfNegative val="0"/>
          <c:cat>
            <c:multiLvlStrRef>
              <c:f>'6. FP RER'!$T$6:$U$65</c:f>
              <c:multiLvlStrCache>
                <c:ptCount val="60"/>
                <c:lvl>
                  <c:pt idx="0">
                    <c:v> C.H. 8 DE AGOSTO </c:v>
                  </c:pt>
                  <c:pt idx="1">
                    <c:v> C.H. ÁNGEL I </c:v>
                  </c:pt>
                  <c:pt idx="2">
                    <c:v> C.H. ÁNGEL II </c:v>
                  </c:pt>
                  <c:pt idx="3">
                    <c:v> C.H. ÁNGEL III </c:v>
                  </c:pt>
                  <c:pt idx="4">
                    <c:v> C.H. CAÑA BRAVA </c:v>
                  </c:pt>
                  <c:pt idx="5">
                    <c:v> C.H. CANCHAYLLO </c:v>
                  </c:pt>
                  <c:pt idx="6">
                    <c:v> C.H. CARHUAQUERO IV </c:v>
                  </c:pt>
                  <c:pt idx="7">
                    <c:v> C.H. CHANCAY </c:v>
                  </c:pt>
                  <c:pt idx="8">
                    <c:v> C.H. EL CARMEN </c:v>
                  </c:pt>
                  <c:pt idx="9">
                    <c:v> C.H. HER 1 </c:v>
                  </c:pt>
                  <c:pt idx="10">
                    <c:v> C.H. HUALLIN </c:v>
                  </c:pt>
                  <c:pt idx="11">
                    <c:v> C.H. HUASAHUASI I </c:v>
                  </c:pt>
                  <c:pt idx="12">
                    <c:v> C.H. HUASAHUASI II </c:v>
                  </c:pt>
                  <c:pt idx="13">
                    <c:v> C.H. IMPERIAL </c:v>
                  </c:pt>
                  <c:pt idx="14">
                    <c:v> C.H. LA JOYA </c:v>
                  </c:pt>
                  <c:pt idx="15">
                    <c:v> C.H. LAS PIZARRAS </c:v>
                  </c:pt>
                  <c:pt idx="16">
                    <c:v> C.H. MANTA I </c:v>
                  </c:pt>
                  <c:pt idx="17">
                    <c:v> C.H. POECHOS II </c:v>
                  </c:pt>
                  <c:pt idx="18">
                    <c:v> C.H. POTRERO </c:v>
                  </c:pt>
                  <c:pt idx="19">
                    <c:v> C.H. PURMACANA </c:v>
                  </c:pt>
                  <c:pt idx="20">
                    <c:v> C.H. RENOVANDES H1 </c:v>
                  </c:pt>
                  <c:pt idx="21">
                    <c:v> C.H. RONCADOR </c:v>
                  </c:pt>
                  <c:pt idx="22">
                    <c:v> C.H. RUCUY </c:v>
                  </c:pt>
                  <c:pt idx="23">
                    <c:v> C.H. RUNATULLO II </c:v>
                  </c:pt>
                  <c:pt idx="24">
                    <c:v> C.H. RUNATULLO III </c:v>
                  </c:pt>
                  <c:pt idx="25">
                    <c:v> C.H. SANTA CRUZ I </c:v>
                  </c:pt>
                  <c:pt idx="26">
                    <c:v> C.H. SANTA CRUZ II </c:v>
                  </c:pt>
                  <c:pt idx="27">
                    <c:v> C.H. YANAPAMPA </c:v>
                  </c:pt>
                  <c:pt idx="28">
                    <c:v> C.H. YARUCAYA </c:v>
                  </c:pt>
                  <c:pt idx="29">
                    <c:v> C.H.CARHUAC </c:v>
                  </c:pt>
                  <c:pt idx="30">
                    <c:v> C.E. CUPISNIQUE </c:v>
                  </c:pt>
                  <c:pt idx="31">
                    <c:v> C.E. DUNA </c:v>
                  </c:pt>
                  <c:pt idx="32">
                    <c:v> C.E. HUAMBOS </c:v>
                  </c:pt>
                  <c:pt idx="33">
                    <c:v> C.E. MARCONA </c:v>
                  </c:pt>
                  <c:pt idx="34">
                    <c:v> C.E. PUNTA LOMITAS </c:v>
                  </c:pt>
                  <c:pt idx="35">
                    <c:v> C.E. PUNTA LOMITAS_EXP </c:v>
                  </c:pt>
                  <c:pt idx="36">
                    <c:v> C.E. SAN JUAN </c:v>
                  </c:pt>
                  <c:pt idx="37">
                    <c:v> C.E. TALARA </c:v>
                  </c:pt>
                  <c:pt idx="38">
                    <c:v> C.E. TRES HERMANAS </c:v>
                  </c:pt>
                  <c:pt idx="39">
                    <c:v> C.E. WAYRA EXTENSION </c:v>
                  </c:pt>
                  <c:pt idx="40">
                    <c:v> C.E. WAYRA I </c:v>
                  </c:pt>
                  <c:pt idx="41">
                    <c:v> C.S. CARHUAQUERO </c:v>
                  </c:pt>
                  <c:pt idx="42">
                    <c:v> C.S. Clemesí </c:v>
                  </c:pt>
                  <c:pt idx="43">
                    <c:v> C.S. INTIPAMPA </c:v>
                  </c:pt>
                  <c:pt idx="44">
                    <c:v> C.S. MAJES SOLAR </c:v>
                  </c:pt>
                  <c:pt idx="45">
                    <c:v> C.S. MATARANI </c:v>
                  </c:pt>
                  <c:pt idx="46">
                    <c:v> C.S. MOQUEGUA FV </c:v>
                  </c:pt>
                  <c:pt idx="47">
                    <c:v> C.S. PANAMERICANA SOLAR </c:v>
                  </c:pt>
                  <c:pt idx="48">
                    <c:v> C.S. REPARTICION </c:v>
                  </c:pt>
                  <c:pt idx="49">
                    <c:v> C.S. RUBI </c:v>
                  </c:pt>
                  <c:pt idx="50">
                    <c:v> C.S. TACNA SOLAR </c:v>
                  </c:pt>
                  <c:pt idx="51">
                    <c:v> C.S. YARUCAYA </c:v>
                  </c:pt>
                  <c:pt idx="52">
                    <c:v> C.T. CAÑA BRAVA </c:v>
                  </c:pt>
                  <c:pt idx="53">
                    <c:v> C.T. HUAYCOLORO </c:v>
                  </c:pt>
                  <c:pt idx="54">
                    <c:v>C.T. LA GRINGA</c:v>
                  </c:pt>
                  <c:pt idx="55">
                    <c:v>C.T. MAPLE ETANOL</c:v>
                  </c:pt>
                  <c:pt idx="56">
                    <c:v>C.T. PARAMONGA</c:v>
                  </c:pt>
                  <c:pt idx="57">
                    <c:v>C.T. SAN JACINTO</c:v>
                  </c:pt>
                  <c:pt idx="58">
                    <c:v>C.T.B DOÑA CATALINA</c:v>
                  </c:pt>
                  <c:pt idx="59">
                    <c:v>C.T.B. CALLAO</c:v>
                  </c:pt>
                </c:lvl>
                <c:lvl>
                  <c:pt idx="0">
                    <c:v>HIDROELÉCTRICAS</c:v>
                  </c:pt>
                  <c:pt idx="30">
                    <c:v>EÓLICAS</c:v>
                  </c:pt>
                  <c:pt idx="41">
                    <c:v>SOLARES</c:v>
                  </c:pt>
                  <c:pt idx="52">
                    <c:v>TERMOELÉCTRICAS</c:v>
                  </c:pt>
                </c:lvl>
              </c:multiLvlStrCache>
            </c:multiLvlStrRef>
          </c:cat>
          <c:val>
            <c:numRef>
              <c:f>'6. FP RER'!$W$6:$W$65</c:f>
              <c:numCache>
                <c:formatCode>_(* #,##0.00_);_(* \(#,##0.00\);_(* "-"??_);_(@_)</c:formatCode>
                <c:ptCount val="60"/>
                <c:pt idx="0">
                  <c:v>0.82759719844631952</c:v>
                </c:pt>
                <c:pt idx="1">
                  <c:v>0.85547080712857504</c:v>
                </c:pt>
                <c:pt idx="2">
                  <c:v>0.87071608965934544</c:v>
                </c:pt>
                <c:pt idx="3">
                  <c:v>0.85884150738049947</c:v>
                </c:pt>
                <c:pt idx="4">
                  <c:v>0.89408310090910148</c:v>
                </c:pt>
                <c:pt idx="5">
                  <c:v>0.54267481681475316</c:v>
                </c:pt>
                <c:pt idx="6">
                  <c:v>0.94578938959114267</c:v>
                </c:pt>
                <c:pt idx="7">
                  <c:v>0.95244153361391759</c:v>
                </c:pt>
                <c:pt idx="8">
                  <c:v>0.78548300173249541</c:v>
                </c:pt>
                <c:pt idx="9">
                  <c:v>0.5864001337123973</c:v>
                </c:pt>
                <c:pt idx="10">
                  <c:v>0.21073809553179826</c:v>
                </c:pt>
                <c:pt idx="11">
                  <c:v>0.82248172700151401</c:v>
                </c:pt>
                <c:pt idx="12">
                  <c:v>0.83896212759388622</c:v>
                </c:pt>
                <c:pt idx="13">
                  <c:v>0.80881062302118245</c:v>
                </c:pt>
                <c:pt idx="14">
                  <c:v>0.46377096454524069</c:v>
                </c:pt>
                <c:pt idx="15">
                  <c:v>0.89722097926184119</c:v>
                </c:pt>
                <c:pt idx="16">
                  <c:v>0.75703636383383066</c:v>
                </c:pt>
                <c:pt idx="17">
                  <c:v>0.68314615869297701</c:v>
                </c:pt>
                <c:pt idx="18">
                  <c:v>0.94398190888528066</c:v>
                </c:pt>
                <c:pt idx="19">
                  <c:v>0.19761043402925577</c:v>
                </c:pt>
                <c:pt idx="20">
                  <c:v>0.94098445039625478</c:v>
                </c:pt>
                <c:pt idx="21">
                  <c:v>0.88886711165812682</c:v>
                </c:pt>
                <c:pt idx="22">
                  <c:v>0.94944751985125164</c:v>
                </c:pt>
                <c:pt idx="23">
                  <c:v>0.80827807837427379</c:v>
                </c:pt>
                <c:pt idx="24">
                  <c:v>0.90095475006249659</c:v>
                </c:pt>
                <c:pt idx="25">
                  <c:v>0.88686787501701914</c:v>
                </c:pt>
                <c:pt idx="26">
                  <c:v>0.9786934840941317</c:v>
                </c:pt>
                <c:pt idx="27">
                  <c:v>0.79232531149096586</c:v>
                </c:pt>
                <c:pt idx="28">
                  <c:v>0.88671528411677969</c:v>
                </c:pt>
                <c:pt idx="29">
                  <c:v>0.82207289816826279</c:v>
                </c:pt>
                <c:pt idx="30">
                  <c:v>0.48032128346836728</c:v>
                </c:pt>
                <c:pt idx="31">
                  <c:v>0.48015830256353326</c:v>
                </c:pt>
                <c:pt idx="32">
                  <c:v>0.38239923875335452</c:v>
                </c:pt>
                <c:pt idx="33">
                  <c:v>0.50795448563425172</c:v>
                </c:pt>
                <c:pt idx="34">
                  <c:v>0.36262803404130817</c:v>
                </c:pt>
                <c:pt idx="35">
                  <c:v>0.30758888592048028</c:v>
                </c:pt>
                <c:pt idx="36">
                  <c:v>0.46700324533526616</c:v>
                </c:pt>
                <c:pt idx="37">
                  <c:v>0.36556846974362855</c:v>
                </c:pt>
                <c:pt idx="38">
                  <c:v>0.53674953332814157</c:v>
                </c:pt>
                <c:pt idx="39">
                  <c:v>0</c:v>
                </c:pt>
                <c:pt idx="40">
                  <c:v>0.46100467096560849</c:v>
                </c:pt>
                <c:pt idx="41">
                  <c:v>7.0815767045454545E-2</c:v>
                </c:pt>
                <c:pt idx="42">
                  <c:v>0.31753863144766992</c:v>
                </c:pt>
                <c:pt idx="43">
                  <c:v>0.28937119162199482</c:v>
                </c:pt>
                <c:pt idx="44">
                  <c:v>0.2572950201480263</c:v>
                </c:pt>
                <c:pt idx="45">
                  <c:v>0</c:v>
                </c:pt>
                <c:pt idx="46">
                  <c:v>0.3147903346011513</c:v>
                </c:pt>
                <c:pt idx="47">
                  <c:v>0.3048197985197369</c:v>
                </c:pt>
                <c:pt idx="48">
                  <c:v>0.25265584155701759</c:v>
                </c:pt>
                <c:pt idx="49">
                  <c:v>0.34357235948474019</c:v>
                </c:pt>
                <c:pt idx="50">
                  <c:v>0.29368207922149125</c:v>
                </c:pt>
                <c:pt idx="51">
                  <c:v>0.21638036074138051</c:v>
                </c:pt>
                <c:pt idx="52">
                  <c:v>0.67568647900416667</c:v>
                </c:pt>
                <c:pt idx="53">
                  <c:v>0.88623307740847235</c:v>
                </c:pt>
                <c:pt idx="54">
                  <c:v>0.420367176331296</c:v>
                </c:pt>
                <c:pt idx="55">
                  <c:v>2.8687550933829842E-2</c:v>
                </c:pt>
                <c:pt idx="56">
                  <c:v>0.73691661746535675</c:v>
                </c:pt>
                <c:pt idx="57">
                  <c:v>0.60964854052363582</c:v>
                </c:pt>
                <c:pt idx="58">
                  <c:v>0.75410938276499118</c:v>
                </c:pt>
                <c:pt idx="59">
                  <c:v>0.84863282869469625</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5539094340900699"/>
        </c:manualLayout>
      </c:layout>
      <c:barChart>
        <c:barDir val="bar"/>
        <c:grouping val="clustered"/>
        <c:varyColors val="0"/>
        <c:ser>
          <c:idx val="0"/>
          <c:order val="0"/>
          <c:tx>
            <c:strRef>
              <c:f>'7. Generacion empresa'!$N$3</c:f>
              <c:strCache>
                <c:ptCount val="1"/>
                <c:pt idx="0">
                  <c:v>2025</c:v>
                </c:pt>
              </c:strCache>
            </c:strRef>
          </c:tx>
          <c:spPr>
            <a:solidFill>
              <a:srgbClr val="0077A5"/>
            </a:solidFill>
          </c:spPr>
          <c:invertIfNegative val="0"/>
          <c:cat>
            <c:strRef>
              <c:f>'7. Generacion empresa'!$M$4:$M$73</c:f>
              <c:strCache>
                <c:ptCount val="70"/>
                <c:pt idx="0">
                  <c:v>ENEL GENERACION PERU</c:v>
                </c:pt>
                <c:pt idx="1">
                  <c:v>COGENERACIÓN OQUENDO</c:v>
                </c:pt>
                <c:pt idx="2">
                  <c:v>CENTRALES SANTA ROSA</c:v>
                </c:pt>
                <c:pt idx="3">
                  <c:v>TERMOCHILCA</c:v>
                </c:pt>
                <c:pt idx="4">
                  <c:v>SHOUGESA</c:v>
                </c:pt>
                <c:pt idx="5">
                  <c:v>AGROINDUSTRIAS SAN JACINTO</c:v>
                </c:pt>
                <c:pt idx="6">
                  <c:v>AGROAURORA</c:v>
                </c:pt>
                <c:pt idx="7">
                  <c:v>KONDU</c:v>
                </c:pt>
                <c:pt idx="8">
                  <c:v>IYEPSA</c:v>
                </c:pt>
                <c:pt idx="9">
                  <c:v>ATRIA ENERGÍA</c:v>
                </c:pt>
                <c:pt idx="10">
                  <c:v>COLCA SOLAR</c:v>
                </c:pt>
                <c:pt idx="11">
                  <c:v>PLANTA ETEN</c:v>
                </c:pt>
                <c:pt idx="12">
                  <c:v>TERMOSELVA</c:v>
                </c:pt>
                <c:pt idx="13">
                  <c:v>SAMAY I</c:v>
                </c:pt>
                <c:pt idx="14">
                  <c:v>MAJA ENERGIA</c:v>
                </c:pt>
                <c:pt idx="15">
                  <c:v>ASOCIACIÓN SANTA LUCIA DE CHACAS</c:v>
                </c:pt>
                <c:pt idx="16">
                  <c:v>ELECTRICA YANAPAMPA</c:v>
                </c:pt>
                <c:pt idx="17">
                  <c:v>HIDROCAÑETE</c:v>
                </c:pt>
                <c:pt idx="18">
                  <c:v>CERRO VERDE</c:v>
                </c:pt>
                <c:pt idx="19">
                  <c:v>INVERSIONES SHAQSHA</c:v>
                </c:pt>
                <c:pt idx="20">
                  <c:v>REPARTICION ARCUS</c:v>
                </c:pt>
                <c:pt idx="21">
                  <c:v>MOQUEGUA FV</c:v>
                </c:pt>
                <c:pt idx="22">
                  <c:v>MAJES ARCUS</c:v>
                </c:pt>
                <c:pt idx="23">
                  <c:v>EGECSAC</c:v>
                </c:pt>
                <c:pt idx="24">
                  <c:v>TACNA SOLAR</c:v>
                </c:pt>
                <c:pt idx="25">
                  <c:v>PANAMERICANA SOLAR</c:v>
                </c:pt>
                <c:pt idx="26">
                  <c:v>PETRAMAS</c:v>
                </c:pt>
                <c:pt idx="27">
                  <c:v>GR PAINO</c:v>
                </c:pt>
                <c:pt idx="28">
                  <c:v>BIOENERGIA</c:v>
                </c:pt>
                <c:pt idx="29">
                  <c:v>GR TARUCA</c:v>
                </c:pt>
                <c:pt idx="30">
                  <c:v>HIDROELECTRICA HUANCHOR</c:v>
                </c:pt>
                <c:pt idx="31">
                  <c:v>EGESUR</c:v>
                </c:pt>
                <c:pt idx="32">
                  <c:v>AGRO INDUSTRIAL PARAMONGA</c:v>
                </c:pt>
                <c:pt idx="33">
                  <c:v>ANDEAN POWER</c:v>
                </c:pt>
                <c:pt idx="34">
                  <c:v>AGUA AZUL</c:v>
                </c:pt>
                <c:pt idx="35">
                  <c:v>SANTA ANA</c:v>
                </c:pt>
                <c:pt idx="36">
                  <c:v>RIO DOBLE</c:v>
                </c:pt>
                <c:pt idx="37">
                  <c:v>HUAURA POWER GROUP</c:v>
                </c:pt>
                <c:pt idx="38">
                  <c:v>GENERACIÓN ANDINA</c:v>
                </c:pt>
                <c:pt idx="39">
                  <c:v>P.E. MARCONA</c:v>
                </c:pt>
                <c:pt idx="40">
                  <c:v>PIER</c:v>
                </c:pt>
                <c:pt idx="41">
                  <c:v>CELEPSA RENOVABLES</c:v>
                </c:pt>
                <c:pt idx="42">
                  <c:v>RIO BAÑOS</c:v>
                </c:pt>
                <c:pt idx="43">
                  <c:v>GR CORTARRAMA</c:v>
                </c:pt>
                <c:pt idx="44">
                  <c:v>GM OPERACIONES</c:v>
                </c:pt>
                <c:pt idx="45">
                  <c:v>SINERSA</c:v>
                </c:pt>
                <c:pt idx="46">
                  <c:v>EMGE HUANZA</c:v>
                </c:pt>
                <c:pt idx="47">
                  <c:v>ENEL GENERACION PIURA</c:v>
                </c:pt>
                <c:pt idx="48">
                  <c:v>EGEJUNIN</c:v>
                </c:pt>
                <c:pt idx="49">
                  <c:v>P.E. TRES HERMANAS</c:v>
                </c:pt>
                <c:pt idx="50">
                  <c:v>ENERGÍA EÓLICA</c:v>
                </c:pt>
                <c:pt idx="51">
                  <c:v>GEPSA</c:v>
                </c:pt>
                <c:pt idx="52">
                  <c:v>HYDRO GLOBAL PERÚ</c:v>
                </c:pt>
                <c:pt idx="53">
                  <c:v>LA VIRGEN</c:v>
                </c:pt>
                <c:pt idx="54">
                  <c:v>JOYA SOLAR</c:v>
                </c:pt>
                <c:pt idx="55">
                  <c:v>ENERGIA RENOVABLE DEL SUR</c:v>
                </c:pt>
                <c:pt idx="56">
                  <c:v>INLAND ENERGY</c:v>
                </c:pt>
                <c:pt idx="57">
                  <c:v>EGASA</c:v>
                </c:pt>
                <c:pt idx="58">
                  <c:v>SAN GABAN</c:v>
                </c:pt>
                <c:pt idx="59">
                  <c:v>CHINANGO</c:v>
                </c:pt>
                <c:pt idx="60">
                  <c:v>EGEMSA</c:v>
                </c:pt>
                <c:pt idx="61">
                  <c:v>CELEPSA</c:v>
                </c:pt>
                <c:pt idx="62">
                  <c:v>EMGE HUALLAGA</c:v>
                </c:pt>
                <c:pt idx="63">
                  <c:v>ORAZUL ENERGY PERÚ</c:v>
                </c:pt>
                <c:pt idx="64">
                  <c:v>FENIX POWER</c:v>
                </c:pt>
                <c:pt idx="65">
                  <c:v>STATKRAFT</c:v>
                </c:pt>
                <c:pt idx="66">
                  <c:v>ENGIE</c:v>
                </c:pt>
                <c:pt idx="67">
                  <c:v>ELECTROPERU</c:v>
                </c:pt>
                <c:pt idx="68">
                  <c:v>ORYGEN PERU</c:v>
                </c:pt>
                <c:pt idx="69">
                  <c:v>KALLPA GENERACIÓN</c:v>
                </c:pt>
              </c:strCache>
            </c:strRef>
          </c:cat>
          <c:val>
            <c:numRef>
              <c:f>'7. Generacion empresa'!$N$4:$N$73</c:f>
              <c:numCache>
                <c:formatCode>General</c:formatCode>
                <c:ptCount val="70"/>
                <c:pt idx="3">
                  <c:v>0</c:v>
                </c:pt>
                <c:pt idx="4">
                  <c:v>0</c:v>
                </c:pt>
                <c:pt idx="5">
                  <c:v>0</c:v>
                </c:pt>
                <c:pt idx="6">
                  <c:v>0</c:v>
                </c:pt>
                <c:pt idx="7">
                  <c:v>6.8851005000000007E-2</c:v>
                </c:pt>
                <c:pt idx="8">
                  <c:v>9.7544647500000012E-2</c:v>
                </c:pt>
                <c:pt idx="9">
                  <c:v>9.8411609999999997E-2</c:v>
                </c:pt>
                <c:pt idx="10">
                  <c:v>0.22616325000000001</c:v>
                </c:pt>
                <c:pt idx="11">
                  <c:v>0.25062675499999998</c:v>
                </c:pt>
                <c:pt idx="12">
                  <c:v>0.36170688000000001</c:v>
                </c:pt>
                <c:pt idx="13">
                  <c:v>0.7987582124999999</c:v>
                </c:pt>
                <c:pt idx="14">
                  <c:v>1.3898524999999999</c:v>
                </c:pt>
                <c:pt idx="15">
                  <c:v>1.6491182775</c:v>
                </c:pt>
                <c:pt idx="16">
                  <c:v>2.0292712750000002</c:v>
                </c:pt>
                <c:pt idx="17">
                  <c:v>2.1709999999999998</c:v>
                </c:pt>
                <c:pt idx="18">
                  <c:v>2.7209241550000001</c:v>
                </c:pt>
                <c:pt idx="19">
                  <c:v>3.2224297374999997</c:v>
                </c:pt>
                <c:pt idx="20">
                  <c:v>3.4965368575000002</c:v>
                </c:pt>
                <c:pt idx="21">
                  <c:v>3.5826164999999999</c:v>
                </c:pt>
                <c:pt idx="22">
                  <c:v>3.601188665</c:v>
                </c:pt>
                <c:pt idx="23">
                  <c:v>3.6122713175000003</c:v>
                </c:pt>
                <c:pt idx="24">
                  <c:v>3.7269967499999996</c:v>
                </c:pt>
                <c:pt idx="25">
                  <c:v>4.2978164999999997</c:v>
                </c:pt>
                <c:pt idx="26">
                  <c:v>4.6755127749999996</c:v>
                </c:pt>
                <c:pt idx="27">
                  <c:v>5.6270887725000005</c:v>
                </c:pt>
                <c:pt idx="28">
                  <c:v>6.9480624999999998</c:v>
                </c:pt>
                <c:pt idx="29">
                  <c:v>7.1759983099999998</c:v>
                </c:pt>
                <c:pt idx="30">
                  <c:v>10.0449825</c:v>
                </c:pt>
                <c:pt idx="31">
                  <c:v>11.002386014999999</c:v>
                </c:pt>
                <c:pt idx="32">
                  <c:v>11.8481820875</c:v>
                </c:pt>
                <c:pt idx="33">
                  <c:v>11.90539777</c:v>
                </c:pt>
                <c:pt idx="34">
                  <c:v>12.65921825</c:v>
                </c:pt>
                <c:pt idx="35">
                  <c:v>13.15633635</c:v>
                </c:pt>
                <c:pt idx="36">
                  <c:v>13.54643302</c:v>
                </c:pt>
                <c:pt idx="37">
                  <c:v>13.563985750000001</c:v>
                </c:pt>
                <c:pt idx="38">
                  <c:v>14.131360000000001</c:v>
                </c:pt>
                <c:pt idx="39">
                  <c:v>14.185688845000001</c:v>
                </c:pt>
                <c:pt idx="40">
                  <c:v>14.209103365000001</c:v>
                </c:pt>
                <c:pt idx="41">
                  <c:v>14.634209127499998</c:v>
                </c:pt>
                <c:pt idx="42">
                  <c:v>14.745123257500001</c:v>
                </c:pt>
                <c:pt idx="43">
                  <c:v>18.561772355000002</c:v>
                </c:pt>
                <c:pt idx="44">
                  <c:v>20.487768790000001</c:v>
                </c:pt>
                <c:pt idx="45">
                  <c:v>21.766173442499998</c:v>
                </c:pt>
                <c:pt idx="46">
                  <c:v>21.932578030000002</c:v>
                </c:pt>
                <c:pt idx="47">
                  <c:v>26.325959999999998</c:v>
                </c:pt>
                <c:pt idx="48">
                  <c:v>37.98758222</c:v>
                </c:pt>
                <c:pt idx="49">
                  <c:v>39.594794880000002</c:v>
                </c:pt>
                <c:pt idx="50">
                  <c:v>40.628511374999995</c:v>
                </c:pt>
                <c:pt idx="51">
                  <c:v>41.251642862499999</c:v>
                </c:pt>
                <c:pt idx="52">
                  <c:v>43.4577076375</c:v>
                </c:pt>
                <c:pt idx="53">
                  <c:v>50.441341000000001</c:v>
                </c:pt>
                <c:pt idx="54">
                  <c:v>51.283626999999996</c:v>
                </c:pt>
                <c:pt idx="55">
                  <c:v>54.581911249999997</c:v>
                </c:pt>
                <c:pt idx="56">
                  <c:v>66.223657287500004</c:v>
                </c:pt>
                <c:pt idx="57">
                  <c:v>69.286821357499988</c:v>
                </c:pt>
                <c:pt idx="58">
                  <c:v>80.034046579999995</c:v>
                </c:pt>
                <c:pt idx="59">
                  <c:v>116.870219405</c:v>
                </c:pt>
                <c:pt idx="60">
                  <c:v>121.87199674999999</c:v>
                </c:pt>
                <c:pt idx="61">
                  <c:v>145.87335114999999</c:v>
                </c:pt>
                <c:pt idx="62">
                  <c:v>179.53112909750001</c:v>
                </c:pt>
                <c:pt idx="63">
                  <c:v>229.19994557000001</c:v>
                </c:pt>
                <c:pt idx="64">
                  <c:v>244.32597157499998</c:v>
                </c:pt>
                <c:pt idx="65">
                  <c:v>263.3220966975</c:v>
                </c:pt>
                <c:pt idx="66">
                  <c:v>467.54827620250001</c:v>
                </c:pt>
                <c:pt idx="67">
                  <c:v>626.0787762425</c:v>
                </c:pt>
                <c:pt idx="68">
                  <c:v>743.16916249999986</c:v>
                </c:pt>
                <c:pt idx="69">
                  <c:v>1024.3839129550001</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2024</c:v>
                </c:pt>
              </c:strCache>
            </c:strRef>
          </c:tx>
          <c:spPr>
            <a:solidFill>
              <a:schemeClr val="accent2"/>
            </a:solidFill>
          </c:spPr>
          <c:invertIfNegative val="0"/>
          <c:cat>
            <c:strRef>
              <c:f>'7. Generacion empresa'!$M$4:$M$73</c:f>
              <c:strCache>
                <c:ptCount val="70"/>
                <c:pt idx="0">
                  <c:v>ENEL GENERACION PERU</c:v>
                </c:pt>
                <c:pt idx="1">
                  <c:v>COGENERACIÓN OQUENDO</c:v>
                </c:pt>
                <c:pt idx="2">
                  <c:v>CENTRALES SANTA ROSA</c:v>
                </c:pt>
                <c:pt idx="3">
                  <c:v>TERMOCHILCA</c:v>
                </c:pt>
                <c:pt idx="4">
                  <c:v>SHOUGESA</c:v>
                </c:pt>
                <c:pt idx="5">
                  <c:v>AGROINDUSTRIAS SAN JACINTO</c:v>
                </c:pt>
                <c:pt idx="6">
                  <c:v>AGROAURORA</c:v>
                </c:pt>
                <c:pt idx="7">
                  <c:v>KONDU</c:v>
                </c:pt>
                <c:pt idx="8">
                  <c:v>IYEPSA</c:v>
                </c:pt>
                <c:pt idx="9">
                  <c:v>ATRIA ENERGÍA</c:v>
                </c:pt>
                <c:pt idx="10">
                  <c:v>COLCA SOLAR</c:v>
                </c:pt>
                <c:pt idx="11">
                  <c:v>PLANTA ETEN</c:v>
                </c:pt>
                <c:pt idx="12">
                  <c:v>TERMOSELVA</c:v>
                </c:pt>
                <c:pt idx="13">
                  <c:v>SAMAY I</c:v>
                </c:pt>
                <c:pt idx="14">
                  <c:v>MAJA ENERGIA</c:v>
                </c:pt>
                <c:pt idx="15">
                  <c:v>ASOCIACIÓN SANTA LUCIA DE CHACAS</c:v>
                </c:pt>
                <c:pt idx="16">
                  <c:v>ELECTRICA YANAPAMPA</c:v>
                </c:pt>
                <c:pt idx="17">
                  <c:v>HIDROCAÑETE</c:v>
                </c:pt>
                <c:pt idx="18">
                  <c:v>CERRO VERDE</c:v>
                </c:pt>
                <c:pt idx="19">
                  <c:v>INVERSIONES SHAQSHA</c:v>
                </c:pt>
                <c:pt idx="20">
                  <c:v>REPARTICION ARCUS</c:v>
                </c:pt>
                <c:pt idx="21">
                  <c:v>MOQUEGUA FV</c:v>
                </c:pt>
                <c:pt idx="22">
                  <c:v>MAJES ARCUS</c:v>
                </c:pt>
                <c:pt idx="23">
                  <c:v>EGECSAC</c:v>
                </c:pt>
                <c:pt idx="24">
                  <c:v>TACNA SOLAR</c:v>
                </c:pt>
                <c:pt idx="25">
                  <c:v>PANAMERICANA SOLAR</c:v>
                </c:pt>
                <c:pt idx="26">
                  <c:v>PETRAMAS</c:v>
                </c:pt>
                <c:pt idx="27">
                  <c:v>GR PAINO</c:v>
                </c:pt>
                <c:pt idx="28">
                  <c:v>BIOENERGIA</c:v>
                </c:pt>
                <c:pt idx="29">
                  <c:v>GR TARUCA</c:v>
                </c:pt>
                <c:pt idx="30">
                  <c:v>HIDROELECTRICA HUANCHOR</c:v>
                </c:pt>
                <c:pt idx="31">
                  <c:v>EGESUR</c:v>
                </c:pt>
                <c:pt idx="32">
                  <c:v>AGRO INDUSTRIAL PARAMONGA</c:v>
                </c:pt>
                <c:pt idx="33">
                  <c:v>ANDEAN POWER</c:v>
                </c:pt>
                <c:pt idx="34">
                  <c:v>AGUA AZUL</c:v>
                </c:pt>
                <c:pt idx="35">
                  <c:v>SANTA ANA</c:v>
                </c:pt>
                <c:pt idx="36">
                  <c:v>RIO DOBLE</c:v>
                </c:pt>
                <c:pt idx="37">
                  <c:v>HUAURA POWER GROUP</c:v>
                </c:pt>
                <c:pt idx="38">
                  <c:v>GENERACIÓN ANDINA</c:v>
                </c:pt>
                <c:pt idx="39">
                  <c:v>P.E. MARCONA</c:v>
                </c:pt>
                <c:pt idx="40">
                  <c:v>PIER</c:v>
                </c:pt>
                <c:pt idx="41">
                  <c:v>CELEPSA RENOVABLES</c:v>
                </c:pt>
                <c:pt idx="42">
                  <c:v>RIO BAÑOS</c:v>
                </c:pt>
                <c:pt idx="43">
                  <c:v>GR CORTARRAMA</c:v>
                </c:pt>
                <c:pt idx="44">
                  <c:v>GM OPERACIONES</c:v>
                </c:pt>
                <c:pt idx="45">
                  <c:v>SINERSA</c:v>
                </c:pt>
                <c:pt idx="46">
                  <c:v>EMGE HUANZA</c:v>
                </c:pt>
                <c:pt idx="47">
                  <c:v>ENEL GENERACION PIURA</c:v>
                </c:pt>
                <c:pt idx="48">
                  <c:v>EGEJUNIN</c:v>
                </c:pt>
                <c:pt idx="49">
                  <c:v>P.E. TRES HERMANAS</c:v>
                </c:pt>
                <c:pt idx="50">
                  <c:v>ENERGÍA EÓLICA</c:v>
                </c:pt>
                <c:pt idx="51">
                  <c:v>GEPSA</c:v>
                </c:pt>
                <c:pt idx="52">
                  <c:v>HYDRO GLOBAL PERÚ</c:v>
                </c:pt>
                <c:pt idx="53">
                  <c:v>LA VIRGEN</c:v>
                </c:pt>
                <c:pt idx="54">
                  <c:v>JOYA SOLAR</c:v>
                </c:pt>
                <c:pt idx="55">
                  <c:v>ENERGIA RENOVABLE DEL SUR</c:v>
                </c:pt>
                <c:pt idx="56">
                  <c:v>INLAND ENERGY</c:v>
                </c:pt>
                <c:pt idx="57">
                  <c:v>EGASA</c:v>
                </c:pt>
                <c:pt idx="58">
                  <c:v>SAN GABAN</c:v>
                </c:pt>
                <c:pt idx="59">
                  <c:v>CHINANGO</c:v>
                </c:pt>
                <c:pt idx="60">
                  <c:v>EGEMSA</c:v>
                </c:pt>
                <c:pt idx="61">
                  <c:v>CELEPSA</c:v>
                </c:pt>
                <c:pt idx="62">
                  <c:v>EMGE HUALLAGA</c:v>
                </c:pt>
                <c:pt idx="63">
                  <c:v>ORAZUL ENERGY PERÚ</c:v>
                </c:pt>
                <c:pt idx="64">
                  <c:v>FENIX POWER</c:v>
                </c:pt>
                <c:pt idx="65">
                  <c:v>STATKRAFT</c:v>
                </c:pt>
                <c:pt idx="66">
                  <c:v>ENGIE</c:v>
                </c:pt>
                <c:pt idx="67">
                  <c:v>ELECTROPERU</c:v>
                </c:pt>
                <c:pt idx="68">
                  <c:v>ORYGEN PERU</c:v>
                </c:pt>
                <c:pt idx="69">
                  <c:v>KALLPA GENERACIÓN</c:v>
                </c:pt>
              </c:strCache>
            </c:strRef>
          </c:cat>
          <c:val>
            <c:numRef>
              <c:f>'7. Generacion empresa'!$O$4:$O$73</c:f>
              <c:numCache>
                <c:formatCode>General</c:formatCode>
                <c:ptCount val="70"/>
                <c:pt idx="0">
                  <c:v>698.64363400000002</c:v>
                </c:pt>
                <c:pt idx="1">
                  <c:v>0.66622925249999998</c:v>
                </c:pt>
                <c:pt idx="2">
                  <c:v>1.8603020125</c:v>
                </c:pt>
                <c:pt idx="3">
                  <c:v>30.42784047</c:v>
                </c:pt>
                <c:pt idx="4">
                  <c:v>0.999981275</c:v>
                </c:pt>
                <c:pt idx="5">
                  <c:v>0</c:v>
                </c:pt>
                <c:pt idx="6">
                  <c:v>0</c:v>
                </c:pt>
                <c:pt idx="7">
                  <c:v>6.9539187500000002E-2</c:v>
                </c:pt>
                <c:pt idx="8">
                  <c:v>0.12770401749999999</c:v>
                </c:pt>
                <c:pt idx="9">
                  <c:v>0.13646533999999999</c:v>
                </c:pt>
                <c:pt idx="10">
                  <c:v>0.23515975</c:v>
                </c:pt>
                <c:pt idx="11">
                  <c:v>2.1113875000000003E-3</c:v>
                </c:pt>
                <c:pt idx="12">
                  <c:v>1.8968526475</c:v>
                </c:pt>
                <c:pt idx="13">
                  <c:v>0.3980762075</c:v>
                </c:pt>
                <c:pt idx="14">
                  <c:v>2.29938325</c:v>
                </c:pt>
                <c:pt idx="15">
                  <c:v>1.338415015</c:v>
                </c:pt>
                <c:pt idx="16">
                  <c:v>2.0809973749999999</c:v>
                </c:pt>
                <c:pt idx="17">
                  <c:v>2.1181000000000001</c:v>
                </c:pt>
                <c:pt idx="18">
                  <c:v>0</c:v>
                </c:pt>
                <c:pt idx="20">
                  <c:v>3.6998362</c:v>
                </c:pt>
                <c:pt idx="21">
                  <c:v>3.3273852499999998</c:v>
                </c:pt>
                <c:pt idx="22">
                  <c:v>3.6244725</c:v>
                </c:pt>
                <c:pt idx="23">
                  <c:v>2.541798</c:v>
                </c:pt>
                <c:pt idx="24">
                  <c:v>3.3173359999999996</c:v>
                </c:pt>
                <c:pt idx="25">
                  <c:v>4.0192024999999996</c:v>
                </c:pt>
                <c:pt idx="26">
                  <c:v>4.6652184000000005</c:v>
                </c:pt>
                <c:pt idx="27">
                  <c:v>5.6636369824999999</c:v>
                </c:pt>
                <c:pt idx="28">
                  <c:v>7.0982749900000002</c:v>
                </c:pt>
                <c:pt idx="29">
                  <c:v>7.4506600600000006</c:v>
                </c:pt>
                <c:pt idx="30">
                  <c:v>13.406419934999999</c:v>
                </c:pt>
                <c:pt idx="31">
                  <c:v>6.36984189</c:v>
                </c:pt>
                <c:pt idx="32">
                  <c:v>11.650560414999999</c:v>
                </c:pt>
                <c:pt idx="33">
                  <c:v>7.7835210500000001</c:v>
                </c:pt>
                <c:pt idx="34">
                  <c:v>13.642853000000001</c:v>
                </c:pt>
                <c:pt idx="35">
                  <c:v>14.855385220000001</c:v>
                </c:pt>
                <c:pt idx="36">
                  <c:v>12.97495799</c:v>
                </c:pt>
                <c:pt idx="37">
                  <c:v>13.683859250000001</c:v>
                </c:pt>
                <c:pt idx="38">
                  <c:v>12.633549339999998</c:v>
                </c:pt>
                <c:pt idx="39">
                  <c:v>16.580469359999999</c:v>
                </c:pt>
                <c:pt idx="40">
                  <c:v>10.359182497500001</c:v>
                </c:pt>
                <c:pt idx="41">
                  <c:v>14.597301637499999</c:v>
                </c:pt>
                <c:pt idx="42">
                  <c:v>13.98475268</c:v>
                </c:pt>
                <c:pt idx="44">
                  <c:v>37.624717850000003</c:v>
                </c:pt>
                <c:pt idx="45">
                  <c:v>18.628147792500002</c:v>
                </c:pt>
                <c:pt idx="46">
                  <c:v>21.498340542499999</c:v>
                </c:pt>
                <c:pt idx="47">
                  <c:v>32.838933249999997</c:v>
                </c:pt>
                <c:pt idx="48">
                  <c:v>28.7474278575</c:v>
                </c:pt>
                <c:pt idx="49">
                  <c:v>49.263737862500001</c:v>
                </c:pt>
                <c:pt idx="50">
                  <c:v>50.134787500000009</c:v>
                </c:pt>
                <c:pt idx="51">
                  <c:v>25.456688132499998</c:v>
                </c:pt>
                <c:pt idx="53">
                  <c:v>30.9950565</c:v>
                </c:pt>
                <c:pt idx="55">
                  <c:v>63.264300000000006</c:v>
                </c:pt>
                <c:pt idx="56">
                  <c:v>47.456646462500004</c:v>
                </c:pt>
                <c:pt idx="57">
                  <c:v>67.409191942500001</c:v>
                </c:pt>
                <c:pt idx="58">
                  <c:v>66.5268939475</c:v>
                </c:pt>
                <c:pt idx="59">
                  <c:v>83.043059749999998</c:v>
                </c:pt>
                <c:pt idx="60">
                  <c:v>121.988257</c:v>
                </c:pt>
                <c:pt idx="61">
                  <c:v>116.346278915</c:v>
                </c:pt>
                <c:pt idx="62">
                  <c:v>169.99158005999999</c:v>
                </c:pt>
                <c:pt idx="63">
                  <c:v>232.47861499249998</c:v>
                </c:pt>
                <c:pt idx="64">
                  <c:v>273.43286563000004</c:v>
                </c:pt>
                <c:pt idx="65">
                  <c:v>206.71597733749999</c:v>
                </c:pt>
                <c:pt idx="66">
                  <c:v>761.92701627000019</c:v>
                </c:pt>
                <c:pt idx="67">
                  <c:v>627.12455312750001</c:v>
                </c:pt>
                <c:pt idx="69">
                  <c:v>898.19810999000003</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68570737766"/>
              <c:y val="0.98190774250076374"/>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2025</c:v>
                </c:pt>
                <c:pt idx="1">
                  <c:v>2024</c:v>
                </c:pt>
                <c:pt idx="2">
                  <c:v>2023</c:v>
                </c:pt>
              </c:numCache>
            </c:numRef>
          </c:cat>
          <c:val>
            <c:numRef>
              <c:f>('8. Max Potencia'!$G$10:$H$10,'8. Max Potencia'!$J$10)</c:f>
              <c:numCache>
                <c:formatCode>_(* #,##0.00_);_(* \(#,##0.00\);_(* "-"??_);_(@_)</c:formatCode>
                <c:ptCount val="3"/>
                <c:pt idx="0">
                  <c:v>4833.021270000002</c:v>
                </c:pt>
                <c:pt idx="1">
                  <c:v>4475.6376299999984</c:v>
                </c:pt>
                <c:pt idx="2">
                  <c:v>4362.1793299999999</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2025</c:v>
                </c:pt>
                <c:pt idx="1">
                  <c:v>2024</c:v>
                </c:pt>
                <c:pt idx="2">
                  <c:v>2023</c:v>
                </c:pt>
              </c:numCache>
            </c:numRef>
          </c:cat>
          <c:val>
            <c:numRef>
              <c:f>('8. Max Potencia'!$G$11:$H$11,'8. Max Potencia'!$J$11)</c:f>
              <c:numCache>
                <c:formatCode>_(* #,##0.00_);_(* \(#,##0.00\);_(* "-"??_);_(@_)</c:formatCode>
                <c:ptCount val="3"/>
                <c:pt idx="0">
                  <c:v>2624.9114799999998</c:v>
                </c:pt>
                <c:pt idx="1">
                  <c:v>3005.9687099999996</c:v>
                </c:pt>
                <c:pt idx="2">
                  <c:v>2953.9779799999992</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2025</c:v>
                </c:pt>
                <c:pt idx="1">
                  <c:v>2024</c:v>
                </c:pt>
                <c:pt idx="2">
                  <c:v>2023</c:v>
                </c:pt>
              </c:numCache>
            </c:numRef>
          </c:cat>
          <c:val>
            <c:numRef>
              <c:f>('8. Max Potencia'!$G$12:$H$12,'8. Max Potencia'!$J$12)</c:f>
              <c:numCache>
                <c:formatCode>_(* #,##0.00_);_(* \(#,##0.00\);_(* "-"??_);_(@_)</c:formatCode>
                <c:ptCount val="3"/>
                <c:pt idx="0">
                  <c:v>486.20463999999993</c:v>
                </c:pt>
                <c:pt idx="1">
                  <c:v>280.52343999999999</c:v>
                </c:pt>
                <c:pt idx="2">
                  <c:v>289.34881000000001</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2025</c:v>
                </c:pt>
              </c:strCache>
            </c:strRef>
          </c:tx>
          <c:spPr>
            <a:solidFill>
              <a:srgbClr val="0077A5"/>
            </a:solidFill>
          </c:spPr>
          <c:invertIfNegative val="0"/>
          <c:cat>
            <c:strRef>
              <c:f>'9. Pot. Empresa'!$M$6:$M$75</c:f>
              <c:strCache>
                <c:ptCount val="70"/>
                <c:pt idx="0">
                  <c:v>ENEL GENERACION PERU</c:v>
                </c:pt>
                <c:pt idx="1">
                  <c:v>COGENERACIÓN OQUENDO</c:v>
                </c:pt>
                <c:pt idx="2">
                  <c:v>CENTRALES SANTA ROSA</c:v>
                </c:pt>
                <c:pt idx="3">
                  <c:v>TERMOSELVA</c:v>
                </c:pt>
                <c:pt idx="4">
                  <c:v>TERMOCHILCA</c:v>
                </c:pt>
                <c:pt idx="5">
                  <c:v>TACNA SOLAR</c:v>
                </c:pt>
                <c:pt idx="6">
                  <c:v>SHOUGESA</c:v>
                </c:pt>
                <c:pt idx="7">
                  <c:v>SAMAY I</c:v>
                </c:pt>
                <c:pt idx="8">
                  <c:v>REPARTICION ARCUS</c:v>
                </c:pt>
                <c:pt idx="9">
                  <c:v>PLANTA ETEN</c:v>
                </c:pt>
                <c:pt idx="10">
                  <c:v>PETRAMAS</c:v>
                </c:pt>
                <c:pt idx="11">
                  <c:v>PANAMERICANA SOLAR</c:v>
                </c:pt>
                <c:pt idx="12">
                  <c:v>MOQUEGUA FV</c:v>
                </c:pt>
                <c:pt idx="13">
                  <c:v>MAJES ARCUS</c:v>
                </c:pt>
                <c:pt idx="14">
                  <c:v>KONDU</c:v>
                </c:pt>
                <c:pt idx="15">
                  <c:v>JOYA SOLAR</c:v>
                </c:pt>
                <c:pt idx="16">
                  <c:v>IYEPSA</c:v>
                </c:pt>
                <c:pt idx="17">
                  <c:v>HYDRO GLOBAL PERÚ</c:v>
                </c:pt>
                <c:pt idx="18">
                  <c:v>GR TARUCA</c:v>
                </c:pt>
                <c:pt idx="19">
                  <c:v>GR CORTARRAMA</c:v>
                </c:pt>
                <c:pt idx="20">
                  <c:v>GM OPERACIONES</c:v>
                </c:pt>
                <c:pt idx="21">
                  <c:v>COLCA SOLAR</c:v>
                </c:pt>
                <c:pt idx="22">
                  <c:v>CERRO VERDE</c:v>
                </c:pt>
                <c:pt idx="23">
                  <c:v>ATRIA ENERGÍA</c:v>
                </c:pt>
                <c:pt idx="24">
                  <c:v>AGROINDUSTRIAS SAN JACINTO</c:v>
                </c:pt>
                <c:pt idx="25">
                  <c:v>AGROAURORA</c:v>
                </c:pt>
                <c:pt idx="26">
                  <c:v>GR PAINO</c:v>
                </c:pt>
                <c:pt idx="27">
                  <c:v>ASOCIACIÓN SANTA LUCIA DE CHACAS</c:v>
                </c:pt>
                <c:pt idx="28">
                  <c:v>ELECTRICA YANAPAMPA</c:v>
                </c:pt>
                <c:pt idx="29">
                  <c:v>MAJA ENERGIA</c:v>
                </c:pt>
                <c:pt idx="30">
                  <c:v>INVERSIONES SHAQSHA</c:v>
                </c:pt>
                <c:pt idx="31">
                  <c:v>HIDROCAÑETE</c:v>
                </c:pt>
                <c:pt idx="32">
                  <c:v>EGECSAC</c:v>
                </c:pt>
                <c:pt idx="33">
                  <c:v>BIOENERGIA</c:v>
                </c:pt>
                <c:pt idx="34">
                  <c:v>AGRO INDUSTRIAL PARAMONGA</c:v>
                </c:pt>
                <c:pt idx="35">
                  <c:v>HUAURA POWER GROUP</c:v>
                </c:pt>
                <c:pt idx="36">
                  <c:v>RIO DOBLE</c:v>
                </c:pt>
                <c:pt idx="37">
                  <c:v>HIDROELECTRICA HUANCHOR</c:v>
                </c:pt>
                <c:pt idx="38">
                  <c:v>AGUA AZUL</c:v>
                </c:pt>
                <c:pt idx="39">
                  <c:v>CELEPSA RENOVABLES</c:v>
                </c:pt>
                <c:pt idx="40">
                  <c:v>PIER</c:v>
                </c:pt>
                <c:pt idx="41">
                  <c:v>RIO BAÑOS</c:v>
                </c:pt>
                <c:pt idx="42">
                  <c:v>SANTA ANA</c:v>
                </c:pt>
                <c:pt idx="43">
                  <c:v>ANDEAN POWER</c:v>
                </c:pt>
                <c:pt idx="44">
                  <c:v>GENERACIÓN ANDINA</c:v>
                </c:pt>
                <c:pt idx="45">
                  <c:v>SINERSA</c:v>
                </c:pt>
                <c:pt idx="46">
                  <c:v>P.E. MARCONA</c:v>
                </c:pt>
                <c:pt idx="47">
                  <c:v>EGESUR</c:v>
                </c:pt>
                <c:pt idx="48">
                  <c:v>ENEL GENERACION PIURA</c:v>
                </c:pt>
                <c:pt idx="49">
                  <c:v>EMGE HUANZA</c:v>
                </c:pt>
                <c:pt idx="50">
                  <c:v>ENERGÍA EÓLICA</c:v>
                </c:pt>
                <c:pt idx="51">
                  <c:v>GEPSA</c:v>
                </c:pt>
                <c:pt idx="52">
                  <c:v>EGEJUNIN</c:v>
                </c:pt>
                <c:pt idx="53">
                  <c:v>LA VIRGEN</c:v>
                </c:pt>
                <c:pt idx="54">
                  <c:v>P.E. TRES HERMANAS</c:v>
                </c:pt>
                <c:pt idx="55">
                  <c:v>INLAND ENERGY</c:v>
                </c:pt>
                <c:pt idx="56">
                  <c:v>SAN GABAN</c:v>
                </c:pt>
                <c:pt idx="57">
                  <c:v>ENERGIA RENOVABLE DEL SUR</c:v>
                </c:pt>
                <c:pt idx="58">
                  <c:v>EGASA</c:v>
                </c:pt>
                <c:pt idx="59">
                  <c:v>EGEMSA</c:v>
                </c:pt>
                <c:pt idx="60">
                  <c:v>CHINANGO</c:v>
                </c:pt>
                <c:pt idx="61">
                  <c:v>CELEPSA</c:v>
                </c:pt>
                <c:pt idx="62">
                  <c:v>EMGE HUALLAGA</c:v>
                </c:pt>
                <c:pt idx="63">
                  <c:v>ORAZUL ENERGY PERÚ</c:v>
                </c:pt>
                <c:pt idx="64">
                  <c:v>STATKRAFT</c:v>
                </c:pt>
                <c:pt idx="65">
                  <c:v>FENIX POWER</c:v>
                </c:pt>
                <c:pt idx="66">
                  <c:v>ENGIE</c:v>
                </c:pt>
                <c:pt idx="67">
                  <c:v>ELECTROPERU</c:v>
                </c:pt>
                <c:pt idx="68">
                  <c:v>ORYGEN PERU</c:v>
                </c:pt>
                <c:pt idx="69">
                  <c:v>KALLPA GENERACIÓN</c:v>
                </c:pt>
              </c:strCache>
            </c:strRef>
          </c:cat>
          <c:val>
            <c:numRef>
              <c:f>'9. Pot. Empresa'!$N$6:$N$75</c:f>
              <c:numCache>
                <c:formatCode>0</c:formatCode>
                <c:ptCount val="70"/>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8.2900000000000005E-3</c:v>
                </c:pt>
                <c:pt idx="27">
                  <c:v>3.0644</c:v>
                </c:pt>
                <c:pt idx="28">
                  <c:v>3.327</c:v>
                </c:pt>
                <c:pt idx="29">
                  <c:v>3.44</c:v>
                </c:pt>
                <c:pt idx="30">
                  <c:v>3.4798399999999998</c:v>
                </c:pt>
                <c:pt idx="31">
                  <c:v>3.6</c:v>
                </c:pt>
                <c:pt idx="32">
                  <c:v>5.173</c:v>
                </c:pt>
                <c:pt idx="33">
                  <c:v>8.9</c:v>
                </c:pt>
                <c:pt idx="34">
                  <c:v>12.60281</c:v>
                </c:pt>
                <c:pt idx="35">
                  <c:v>18.496449999999999</c:v>
                </c:pt>
                <c:pt idx="36">
                  <c:v>18.62726</c:v>
                </c:pt>
                <c:pt idx="37">
                  <c:v>18.634999999999998</c:v>
                </c:pt>
                <c:pt idx="38">
                  <c:v>18.942999999999998</c:v>
                </c:pt>
                <c:pt idx="39">
                  <c:v>19.718809999999998</c:v>
                </c:pt>
                <c:pt idx="40">
                  <c:v>19.862760000000002</c:v>
                </c:pt>
                <c:pt idx="41">
                  <c:v>19.969580000000001</c:v>
                </c:pt>
                <c:pt idx="42">
                  <c:v>20.177289999999999</c:v>
                </c:pt>
                <c:pt idx="43">
                  <c:v>20.274450000000002</c:v>
                </c:pt>
                <c:pt idx="44">
                  <c:v>28.91281</c:v>
                </c:pt>
                <c:pt idx="45">
                  <c:v>29.419290000000004</c:v>
                </c:pt>
                <c:pt idx="46">
                  <c:v>31.887250000000002</c:v>
                </c:pt>
                <c:pt idx="47">
                  <c:v>33.149850000000001</c:v>
                </c:pt>
                <c:pt idx="48">
                  <c:v>46.61</c:v>
                </c:pt>
                <c:pt idx="49">
                  <c:v>47.61741</c:v>
                </c:pt>
                <c:pt idx="50">
                  <c:v>62.114310000000003</c:v>
                </c:pt>
                <c:pt idx="51">
                  <c:v>68.448980000000006</c:v>
                </c:pt>
                <c:pt idx="52">
                  <c:v>68.900719999999993</c:v>
                </c:pt>
                <c:pt idx="53">
                  <c:v>76.948000000000008</c:v>
                </c:pt>
                <c:pt idx="54">
                  <c:v>89.719229999999996</c:v>
                </c:pt>
                <c:pt idx="55">
                  <c:v>89.873620000000003</c:v>
                </c:pt>
                <c:pt idx="56">
                  <c:v>111.80582</c:v>
                </c:pt>
                <c:pt idx="57">
                  <c:v>125.494</c:v>
                </c:pt>
                <c:pt idx="58">
                  <c:v>126.93666999999998</c:v>
                </c:pt>
                <c:pt idx="59">
                  <c:v>166.98700000000002</c:v>
                </c:pt>
                <c:pt idx="60">
                  <c:v>176.58278999999999</c:v>
                </c:pt>
                <c:pt idx="61">
                  <c:v>222.75839999999999</c:v>
                </c:pt>
                <c:pt idx="62">
                  <c:v>236.33807000000002</c:v>
                </c:pt>
                <c:pt idx="63">
                  <c:v>343.27731999999997</c:v>
                </c:pt>
                <c:pt idx="64">
                  <c:v>404.74414999999999</c:v>
                </c:pt>
                <c:pt idx="65">
                  <c:v>434.95931000000002</c:v>
                </c:pt>
                <c:pt idx="66">
                  <c:v>800.44747000000018</c:v>
                </c:pt>
                <c:pt idx="67">
                  <c:v>862.10669999999993</c:v>
                </c:pt>
                <c:pt idx="68">
                  <c:v>1043.0579999999998</c:v>
                </c:pt>
                <c:pt idx="69">
                  <c:v>1640.6095399999999</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2024</c:v>
                </c:pt>
              </c:strCache>
            </c:strRef>
          </c:tx>
          <c:spPr>
            <a:solidFill>
              <a:srgbClr val="FF6600"/>
            </a:solidFill>
          </c:spPr>
          <c:invertIfNegative val="0"/>
          <c:cat>
            <c:strRef>
              <c:f>'9. Pot. Empresa'!$M$6:$M$75</c:f>
              <c:strCache>
                <c:ptCount val="70"/>
                <c:pt idx="0">
                  <c:v>ENEL GENERACION PERU</c:v>
                </c:pt>
                <c:pt idx="1">
                  <c:v>COGENERACIÓN OQUENDO</c:v>
                </c:pt>
                <c:pt idx="2">
                  <c:v>CENTRALES SANTA ROSA</c:v>
                </c:pt>
                <c:pt idx="3">
                  <c:v>TERMOSELVA</c:v>
                </c:pt>
                <c:pt idx="4">
                  <c:v>TERMOCHILCA</c:v>
                </c:pt>
                <c:pt idx="5">
                  <c:v>TACNA SOLAR</c:v>
                </c:pt>
                <c:pt idx="6">
                  <c:v>SHOUGESA</c:v>
                </c:pt>
                <c:pt idx="7">
                  <c:v>SAMAY I</c:v>
                </c:pt>
                <c:pt idx="8">
                  <c:v>REPARTICION ARCUS</c:v>
                </c:pt>
                <c:pt idx="9">
                  <c:v>PLANTA ETEN</c:v>
                </c:pt>
                <c:pt idx="10">
                  <c:v>PETRAMAS</c:v>
                </c:pt>
                <c:pt idx="11">
                  <c:v>PANAMERICANA SOLAR</c:v>
                </c:pt>
                <c:pt idx="12">
                  <c:v>MOQUEGUA FV</c:v>
                </c:pt>
                <c:pt idx="13">
                  <c:v>MAJES ARCUS</c:v>
                </c:pt>
                <c:pt idx="14">
                  <c:v>KONDU</c:v>
                </c:pt>
                <c:pt idx="15">
                  <c:v>JOYA SOLAR</c:v>
                </c:pt>
                <c:pt idx="16">
                  <c:v>IYEPSA</c:v>
                </c:pt>
                <c:pt idx="17">
                  <c:v>HYDRO GLOBAL PERÚ</c:v>
                </c:pt>
                <c:pt idx="18">
                  <c:v>GR TARUCA</c:v>
                </c:pt>
                <c:pt idx="19">
                  <c:v>GR CORTARRAMA</c:v>
                </c:pt>
                <c:pt idx="20">
                  <c:v>GM OPERACIONES</c:v>
                </c:pt>
                <c:pt idx="21">
                  <c:v>COLCA SOLAR</c:v>
                </c:pt>
                <c:pt idx="22">
                  <c:v>CERRO VERDE</c:v>
                </c:pt>
                <c:pt idx="23">
                  <c:v>ATRIA ENERGÍA</c:v>
                </c:pt>
                <c:pt idx="24">
                  <c:v>AGROINDUSTRIAS SAN JACINTO</c:v>
                </c:pt>
                <c:pt idx="25">
                  <c:v>AGROAURORA</c:v>
                </c:pt>
                <c:pt idx="26">
                  <c:v>GR PAINO</c:v>
                </c:pt>
                <c:pt idx="27">
                  <c:v>ASOCIACIÓN SANTA LUCIA DE CHACAS</c:v>
                </c:pt>
                <c:pt idx="28">
                  <c:v>ELECTRICA YANAPAMPA</c:v>
                </c:pt>
                <c:pt idx="29">
                  <c:v>MAJA ENERGIA</c:v>
                </c:pt>
                <c:pt idx="30">
                  <c:v>INVERSIONES SHAQSHA</c:v>
                </c:pt>
                <c:pt idx="31">
                  <c:v>HIDROCAÑETE</c:v>
                </c:pt>
                <c:pt idx="32">
                  <c:v>EGECSAC</c:v>
                </c:pt>
                <c:pt idx="33">
                  <c:v>BIOENERGIA</c:v>
                </c:pt>
                <c:pt idx="34">
                  <c:v>AGRO INDUSTRIAL PARAMONGA</c:v>
                </c:pt>
                <c:pt idx="35">
                  <c:v>HUAURA POWER GROUP</c:v>
                </c:pt>
                <c:pt idx="36">
                  <c:v>RIO DOBLE</c:v>
                </c:pt>
                <c:pt idx="37">
                  <c:v>HIDROELECTRICA HUANCHOR</c:v>
                </c:pt>
                <c:pt idx="38">
                  <c:v>AGUA AZUL</c:v>
                </c:pt>
                <c:pt idx="39">
                  <c:v>CELEPSA RENOVABLES</c:v>
                </c:pt>
                <c:pt idx="40">
                  <c:v>PIER</c:v>
                </c:pt>
                <c:pt idx="41">
                  <c:v>RIO BAÑOS</c:v>
                </c:pt>
                <c:pt idx="42">
                  <c:v>SANTA ANA</c:v>
                </c:pt>
                <c:pt idx="43">
                  <c:v>ANDEAN POWER</c:v>
                </c:pt>
                <c:pt idx="44">
                  <c:v>GENERACIÓN ANDINA</c:v>
                </c:pt>
                <c:pt idx="45">
                  <c:v>SINERSA</c:v>
                </c:pt>
                <c:pt idx="46">
                  <c:v>P.E. MARCONA</c:v>
                </c:pt>
                <c:pt idx="47">
                  <c:v>EGESUR</c:v>
                </c:pt>
                <c:pt idx="48">
                  <c:v>ENEL GENERACION PIURA</c:v>
                </c:pt>
                <c:pt idx="49">
                  <c:v>EMGE HUANZA</c:v>
                </c:pt>
                <c:pt idx="50">
                  <c:v>ENERGÍA EÓLICA</c:v>
                </c:pt>
                <c:pt idx="51">
                  <c:v>GEPSA</c:v>
                </c:pt>
                <c:pt idx="52">
                  <c:v>EGEJUNIN</c:v>
                </c:pt>
                <c:pt idx="53">
                  <c:v>LA VIRGEN</c:v>
                </c:pt>
                <c:pt idx="54">
                  <c:v>P.E. TRES HERMANAS</c:v>
                </c:pt>
                <c:pt idx="55">
                  <c:v>INLAND ENERGY</c:v>
                </c:pt>
                <c:pt idx="56">
                  <c:v>SAN GABAN</c:v>
                </c:pt>
                <c:pt idx="57">
                  <c:v>ENERGIA RENOVABLE DEL SUR</c:v>
                </c:pt>
                <c:pt idx="58">
                  <c:v>EGASA</c:v>
                </c:pt>
                <c:pt idx="59">
                  <c:v>EGEMSA</c:v>
                </c:pt>
                <c:pt idx="60">
                  <c:v>CHINANGO</c:v>
                </c:pt>
                <c:pt idx="61">
                  <c:v>CELEPSA</c:v>
                </c:pt>
                <c:pt idx="62">
                  <c:v>EMGE HUALLAGA</c:v>
                </c:pt>
                <c:pt idx="63">
                  <c:v>ORAZUL ENERGY PERÚ</c:v>
                </c:pt>
                <c:pt idx="64">
                  <c:v>STATKRAFT</c:v>
                </c:pt>
                <c:pt idx="65">
                  <c:v>FENIX POWER</c:v>
                </c:pt>
                <c:pt idx="66">
                  <c:v>ENGIE</c:v>
                </c:pt>
                <c:pt idx="67">
                  <c:v>ELECTROPERU</c:v>
                </c:pt>
                <c:pt idx="68">
                  <c:v>ORYGEN PERU</c:v>
                </c:pt>
                <c:pt idx="69">
                  <c:v>KALLPA GENERACIÓN</c:v>
                </c:pt>
              </c:strCache>
            </c:strRef>
          </c:cat>
          <c:val>
            <c:numRef>
              <c:f>'9. Pot. Empresa'!$O$6:$O$75</c:f>
              <c:numCache>
                <c:formatCode>0</c:formatCode>
                <c:ptCount val="70"/>
                <c:pt idx="0">
                  <c:v>1030.0839999999998</c:v>
                </c:pt>
                <c:pt idx="1">
                  <c:v>0</c:v>
                </c:pt>
                <c:pt idx="2">
                  <c:v>2.6834100000000003</c:v>
                </c:pt>
                <c:pt idx="3">
                  <c:v>0</c:v>
                </c:pt>
                <c:pt idx="4">
                  <c:v>0</c:v>
                </c:pt>
                <c:pt idx="5">
                  <c:v>0</c:v>
                </c:pt>
                <c:pt idx="6">
                  <c:v>0</c:v>
                </c:pt>
                <c:pt idx="7">
                  <c:v>0</c:v>
                </c:pt>
                <c:pt idx="8">
                  <c:v>0</c:v>
                </c:pt>
                <c:pt idx="9">
                  <c:v>0</c:v>
                </c:pt>
                <c:pt idx="10">
                  <c:v>7.536900000000001</c:v>
                </c:pt>
                <c:pt idx="11">
                  <c:v>0</c:v>
                </c:pt>
                <c:pt idx="12">
                  <c:v>0</c:v>
                </c:pt>
                <c:pt idx="13">
                  <c:v>0</c:v>
                </c:pt>
                <c:pt idx="14">
                  <c:v>0</c:v>
                </c:pt>
                <c:pt idx="16">
                  <c:v>0</c:v>
                </c:pt>
                <c:pt idx="18">
                  <c:v>6.0000000000000002E-5</c:v>
                </c:pt>
                <c:pt idx="20">
                  <c:v>49.917929999999998</c:v>
                </c:pt>
                <c:pt idx="21">
                  <c:v>0</c:v>
                </c:pt>
                <c:pt idx="22">
                  <c:v>0</c:v>
                </c:pt>
                <c:pt idx="23">
                  <c:v>0</c:v>
                </c:pt>
                <c:pt idx="24">
                  <c:v>0</c:v>
                </c:pt>
                <c:pt idx="25">
                  <c:v>0</c:v>
                </c:pt>
                <c:pt idx="26">
                  <c:v>0</c:v>
                </c:pt>
                <c:pt idx="27">
                  <c:v>1.996</c:v>
                </c:pt>
                <c:pt idx="28">
                  <c:v>2.54</c:v>
                </c:pt>
                <c:pt idx="29">
                  <c:v>3.5990000000000002</c:v>
                </c:pt>
                <c:pt idx="31">
                  <c:v>2.8</c:v>
                </c:pt>
                <c:pt idx="32">
                  <c:v>4.4079999999999995</c:v>
                </c:pt>
                <c:pt idx="33">
                  <c:v>9.8000000000000007</c:v>
                </c:pt>
                <c:pt idx="34">
                  <c:v>18.400359999999999</c:v>
                </c:pt>
                <c:pt idx="35">
                  <c:v>18.441119999999998</c:v>
                </c:pt>
                <c:pt idx="36">
                  <c:v>18.407959999999999</c:v>
                </c:pt>
                <c:pt idx="37">
                  <c:v>18.049859999999999</c:v>
                </c:pt>
                <c:pt idx="38">
                  <c:v>19.97</c:v>
                </c:pt>
                <c:pt idx="39">
                  <c:v>19.64612</c:v>
                </c:pt>
                <c:pt idx="40">
                  <c:v>19.713660000000001</c:v>
                </c:pt>
                <c:pt idx="41">
                  <c:v>19.919699999999999</c:v>
                </c:pt>
                <c:pt idx="42">
                  <c:v>20.088930000000001</c:v>
                </c:pt>
                <c:pt idx="43">
                  <c:v>12.174569999999999</c:v>
                </c:pt>
                <c:pt idx="44">
                  <c:v>24.002470000000002</c:v>
                </c:pt>
                <c:pt idx="45">
                  <c:v>25.756100000000004</c:v>
                </c:pt>
                <c:pt idx="46">
                  <c:v>23.12276</c:v>
                </c:pt>
                <c:pt idx="47">
                  <c:v>6.8137299999999996</c:v>
                </c:pt>
                <c:pt idx="48">
                  <c:v>35.156999999999996</c:v>
                </c:pt>
                <c:pt idx="49">
                  <c:v>26.144580000000001</c:v>
                </c:pt>
                <c:pt idx="50">
                  <c:v>90.83</c:v>
                </c:pt>
                <c:pt idx="51">
                  <c:v>32.447519999999997</c:v>
                </c:pt>
                <c:pt idx="52">
                  <c:v>43.411630000000002</c:v>
                </c:pt>
                <c:pt idx="53">
                  <c:v>40.548000000000002</c:v>
                </c:pt>
                <c:pt idx="54">
                  <c:v>47.28839</c:v>
                </c:pt>
                <c:pt idx="55">
                  <c:v>89.461379999999991</c:v>
                </c:pt>
                <c:pt idx="56">
                  <c:v>103.10871</c:v>
                </c:pt>
                <c:pt idx="57">
                  <c:v>101.444</c:v>
                </c:pt>
                <c:pt idx="58">
                  <c:v>156.59586999999999</c:v>
                </c:pt>
                <c:pt idx="59">
                  <c:v>166.655</c:v>
                </c:pt>
                <c:pt idx="60">
                  <c:v>99.490000000000009</c:v>
                </c:pt>
                <c:pt idx="61">
                  <c:v>219.83161000000001</c:v>
                </c:pt>
                <c:pt idx="62">
                  <c:v>229.54671999999999</c:v>
                </c:pt>
                <c:pt idx="63">
                  <c:v>330.43694999999997</c:v>
                </c:pt>
                <c:pt idx="64">
                  <c:v>284.83311000000003</c:v>
                </c:pt>
                <c:pt idx="65">
                  <c:v>546.87748999999997</c:v>
                </c:pt>
                <c:pt idx="66">
                  <c:v>1087.2421099999999</c:v>
                </c:pt>
                <c:pt idx="67">
                  <c:v>878.73013999999989</c:v>
                </c:pt>
                <c:pt idx="69">
                  <c:v>1441.3578299999999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2022</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pt idx="43" formatCode="General">
                  <c:v>8.25</c:v>
                </c:pt>
                <c:pt idx="44">
                  <c:v>9.08474</c:v>
                </c:pt>
                <c:pt idx="45">
                  <c:v>11.356999999999999</c:v>
                </c:pt>
                <c:pt idx="46">
                  <c:v>12.486000000000001</c:v>
                </c:pt>
                <c:pt idx="47">
                  <c:v>13.622</c:v>
                </c:pt>
                <c:pt idx="48">
                  <c:v>14.760999999999999</c:v>
                </c:pt>
                <c:pt idx="49">
                  <c:v>16.103999999999999</c:v>
                </c:pt>
                <c:pt idx="50">
                  <c:v>17.636610000000001</c:v>
                </c:pt>
                <c:pt idx="51">
                  <c:v>18.959</c:v>
                </c:pt>
                <c:pt idx="52">
                  <c:v>24.044</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_(* #,##0.00_);_(* \(#,##0.00\);_(* "-"??_);_(@_)</c:formatCode>
                <c:ptCount val="53"/>
                <c:pt idx="0">
                  <c:v>25.332000000000001</c:v>
                </c:pt>
                <c:pt idx="1">
                  <c:v>25.331659999999999</c:v>
                </c:pt>
                <c:pt idx="2">
                  <c:v>29.128</c:v>
                </c:pt>
                <c:pt idx="3">
                  <c:v>30.821000000000002</c:v>
                </c:pt>
                <c:pt idx="4">
                  <c:v>32.676000000000002</c:v>
                </c:pt>
                <c:pt idx="5">
                  <c:v>35.290999999999997</c:v>
                </c:pt>
                <c:pt idx="6">
                  <c:v>38.713999999999999</c:v>
                </c:pt>
                <c:pt idx="7">
                  <c:v>41.018000000000001</c:v>
                </c:pt>
                <c:pt idx="8">
                  <c:v>43.93</c:v>
                </c:pt>
                <c:pt idx="9">
                  <c:v>47.44097</c:v>
                </c:pt>
                <c:pt idx="10">
                  <c:v>51.341000000000001</c:v>
                </c:pt>
                <c:pt idx="11">
                  <c:v>55.752000000000002</c:v>
                </c:pt>
                <c:pt idx="12">
                  <c:v>58.869</c:v>
                </c:pt>
                <c:pt idx="13">
                  <c:v>59.640999999999998</c:v>
                </c:pt>
                <c:pt idx="14">
                  <c:v>60.942</c:v>
                </c:pt>
                <c:pt idx="15">
                  <c:v>62.948999999999998</c:v>
                </c:pt>
                <c:pt idx="16">
                  <c:v>65.131979999999999</c:v>
                </c:pt>
                <c:pt idx="17">
                  <c:v>64.311999999999998</c:v>
                </c:pt>
                <c:pt idx="18">
                  <c:v>65.305000000000007</c:v>
                </c:pt>
                <c:pt idx="19">
                  <c:v>65.492000000000004</c:v>
                </c:pt>
                <c:pt idx="20">
                  <c:v>66.183999999999997</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2022</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pt idx="43" formatCode="General">
                  <c:v>2.6734200000000001</c:v>
                </c:pt>
                <c:pt idx="44">
                  <c:v>3.1323300000000001</c:v>
                </c:pt>
                <c:pt idx="45">
                  <c:v>8.5278700000000001</c:v>
                </c:pt>
                <c:pt idx="46">
                  <c:v>16.682289999999998</c:v>
                </c:pt>
                <c:pt idx="47">
                  <c:v>10.44577</c:v>
                </c:pt>
                <c:pt idx="48">
                  <c:v>9.8271800000000002</c:v>
                </c:pt>
                <c:pt idx="49">
                  <c:v>2.7149800000000002</c:v>
                </c:pt>
                <c:pt idx="50">
                  <c:v>13.84319</c:v>
                </c:pt>
                <c:pt idx="51">
                  <c:v>6.9455400000000003</c:v>
                </c:pt>
                <c:pt idx="52">
                  <c:v>12.55139</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_(* #,##0.00_);_(* \(#,##0.00\);_(* "-"??_);_(@_)</c:formatCode>
                <c:ptCount val="53"/>
                <c:pt idx="0">
                  <c:v>9.2383299999999995</c:v>
                </c:pt>
                <c:pt idx="1">
                  <c:v>5.0647000000000002</c:v>
                </c:pt>
                <c:pt idx="2">
                  <c:v>12.538220000000001</c:v>
                </c:pt>
                <c:pt idx="3">
                  <c:v>9.6545699999999997</c:v>
                </c:pt>
                <c:pt idx="4">
                  <c:v>8.2881499999999999</c:v>
                </c:pt>
                <c:pt idx="5">
                  <c:v>8.6283899999999996</c:v>
                </c:pt>
                <c:pt idx="6">
                  <c:v>8.8844399999999997</c:v>
                </c:pt>
                <c:pt idx="7">
                  <c:v>7.1190800000000003</c:v>
                </c:pt>
                <c:pt idx="8">
                  <c:v>2.6519200000000001</c:v>
                </c:pt>
                <c:pt idx="9">
                  <c:v>1.5481400000000001</c:v>
                </c:pt>
                <c:pt idx="10">
                  <c:v>0.68208000000000002</c:v>
                </c:pt>
                <c:pt idx="11">
                  <c:v>9.4833099999999995</c:v>
                </c:pt>
                <c:pt idx="12">
                  <c:v>9.40367</c:v>
                </c:pt>
                <c:pt idx="13">
                  <c:v>8.2406699999999997</c:v>
                </c:pt>
                <c:pt idx="14">
                  <c:v>7.5630699999999997</c:v>
                </c:pt>
                <c:pt idx="15">
                  <c:v>9.2585700000000006</c:v>
                </c:pt>
                <c:pt idx="16">
                  <c:v>8.9317600000000006</c:v>
                </c:pt>
                <c:pt idx="17">
                  <c:v>9.8385400000000001</c:v>
                </c:pt>
                <c:pt idx="18">
                  <c:v>10.17083</c:v>
                </c:pt>
                <c:pt idx="19">
                  <c:v>9.5876800000000006</c:v>
                </c:pt>
                <c:pt idx="20">
                  <c:v>11.80453</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max val="20"/>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2022</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pt idx="43" formatCode="General">
                  <c:v>20.739000000000001</c:v>
                </c:pt>
                <c:pt idx="44">
                  <c:v>21.411000000000001</c:v>
                </c:pt>
                <c:pt idx="45">
                  <c:v>21.323</c:v>
                </c:pt>
                <c:pt idx="46">
                  <c:v>20.683</c:v>
                </c:pt>
                <c:pt idx="47">
                  <c:v>20.96</c:v>
                </c:pt>
                <c:pt idx="48">
                  <c:v>20.838999999999999</c:v>
                </c:pt>
                <c:pt idx="49">
                  <c:v>22.806000000000001</c:v>
                </c:pt>
                <c:pt idx="50">
                  <c:v>23.748999999999999</c:v>
                </c:pt>
                <c:pt idx="51">
                  <c:v>24.681999999999999</c:v>
                </c:pt>
                <c:pt idx="52">
                  <c:v>24.843</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24.768999999999998</c:v>
                </c:pt>
                <c:pt idx="1">
                  <c:v>24.538</c:v>
                </c:pt>
                <c:pt idx="2">
                  <c:v>25.721</c:v>
                </c:pt>
                <c:pt idx="3">
                  <c:v>25.516999999999999</c:v>
                </c:pt>
                <c:pt idx="4">
                  <c:v>25.4</c:v>
                </c:pt>
                <c:pt idx="5">
                  <c:v>25.253</c:v>
                </c:pt>
                <c:pt idx="6">
                  <c:v>25.24</c:v>
                </c:pt>
                <c:pt idx="7">
                  <c:v>25.184999999999999</c:v>
                </c:pt>
                <c:pt idx="8">
                  <c:v>25.259</c:v>
                </c:pt>
                <c:pt idx="9">
                  <c:v>24.934000000000001</c:v>
                </c:pt>
                <c:pt idx="10">
                  <c:v>24.605</c:v>
                </c:pt>
                <c:pt idx="11">
                  <c:v>24.308</c:v>
                </c:pt>
                <c:pt idx="12">
                  <c:v>24.277000000000001</c:v>
                </c:pt>
                <c:pt idx="13">
                  <c:v>24.265000000000001</c:v>
                </c:pt>
                <c:pt idx="14">
                  <c:v>24.175000000000001</c:v>
                </c:pt>
                <c:pt idx="15">
                  <c:v>23.920999999999999</c:v>
                </c:pt>
                <c:pt idx="16">
                  <c:v>23.763000000000002</c:v>
                </c:pt>
                <c:pt idx="17">
                  <c:v>23.28</c:v>
                </c:pt>
                <c:pt idx="18">
                  <c:v>23.149000000000001</c:v>
                </c:pt>
                <c:pt idx="19">
                  <c:v>23.114000000000001</c:v>
                </c:pt>
                <c:pt idx="20">
                  <c:v>22.983000000000001</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2022</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pt idx="43" formatCode="General">
                  <c:v>250.57</c:v>
                </c:pt>
                <c:pt idx="44">
                  <c:v>241.316</c:v>
                </c:pt>
                <c:pt idx="45">
                  <c:v>233.97900000000001</c:v>
                </c:pt>
                <c:pt idx="46">
                  <c:v>227.13</c:v>
                </c:pt>
                <c:pt idx="47">
                  <c:v>225.03100000000001</c:v>
                </c:pt>
                <c:pt idx="48">
                  <c:v>222.96799999999999</c:v>
                </c:pt>
                <c:pt idx="49">
                  <c:v>235.82300000000001</c:v>
                </c:pt>
                <c:pt idx="50">
                  <c:v>229.12799999999999</c:v>
                </c:pt>
                <c:pt idx="51">
                  <c:v>225.49</c:v>
                </c:pt>
                <c:pt idx="52">
                  <c:v>208.071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210.26</c:v>
                </c:pt>
                <c:pt idx="1">
                  <c:v>206.477</c:v>
                </c:pt>
                <c:pt idx="2">
                  <c:v>218.31</c:v>
                </c:pt>
                <c:pt idx="3">
                  <c:v>256.75</c:v>
                </c:pt>
                <c:pt idx="4">
                  <c:v>273.19499999999999</c:v>
                </c:pt>
                <c:pt idx="5">
                  <c:v>305.33800000000002</c:v>
                </c:pt>
                <c:pt idx="6">
                  <c:v>369.83100000000002</c:v>
                </c:pt>
                <c:pt idx="7">
                  <c:v>376.42599999999999</c:v>
                </c:pt>
                <c:pt idx="8">
                  <c:v>407.14</c:v>
                </c:pt>
                <c:pt idx="9">
                  <c:v>419.93900000000002</c:v>
                </c:pt>
                <c:pt idx="10">
                  <c:v>423.73500000000001</c:v>
                </c:pt>
                <c:pt idx="11">
                  <c:v>419.39600000000002</c:v>
                </c:pt>
                <c:pt idx="12">
                  <c:v>419.62099999999998</c:v>
                </c:pt>
                <c:pt idx="13">
                  <c:v>421.67099999999999</c:v>
                </c:pt>
                <c:pt idx="14">
                  <c:v>414.46800000000002</c:v>
                </c:pt>
                <c:pt idx="15">
                  <c:v>413.11200000000002</c:v>
                </c:pt>
                <c:pt idx="16">
                  <c:v>409.49200000000002</c:v>
                </c:pt>
                <c:pt idx="17">
                  <c:v>410.81799999999998</c:v>
                </c:pt>
                <c:pt idx="18">
                  <c:v>407.16399999999999</c:v>
                </c:pt>
                <c:pt idx="19">
                  <c:v>403.78500000000003</c:v>
                </c:pt>
                <c:pt idx="20">
                  <c:v>399.608</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Resumen'!$P$23:$P$29</c:f>
              <c:numCache>
                <c:formatCode>0.000</c:formatCode>
                <c:ptCount val="7"/>
                <c:pt idx="0">
                  <c:v>2689.1808162449997</c:v>
                </c:pt>
                <c:pt idx="1">
                  <c:v>1775.4583613074999</c:v>
                </c:pt>
                <c:pt idx="2">
                  <c:v>0</c:v>
                </c:pt>
                <c:pt idx="3">
                  <c:v>40.985253165000003</c:v>
                </c:pt>
                <c:pt idx="4">
                  <c:v>23.414053804999995</c:v>
                </c:pt>
                <c:pt idx="5">
                  <c:v>368.52996849750002</c:v>
                </c:pt>
                <c:pt idx="6">
                  <c:v>84.753996027500008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Resumen'!$O$24</c:f>
              <c:numCache>
                <c:formatCode>0.00</c:formatCode>
                <c:ptCount val="1"/>
                <c:pt idx="0">
                  <c:v>1471.8930958899998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Nafta / Gas Refinería</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Resumen'!$O$25</c:f>
              <c:numCache>
                <c:formatCode>0.00</c:formatCode>
                <c:ptCount val="1"/>
                <c:pt idx="0">
                  <c:v>20.507750000000001</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Diesel2/Residual500/Nafta,Gas Refinería &amp; Flexigas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Resumen'!$O$26</c:f>
              <c:numCache>
                <c:formatCode>0.00</c:formatCode>
                <c:ptCount val="1"/>
                <c:pt idx="0">
                  <c:v>9.1396241074999995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Resumen'!$O$27</c:f>
              <c:numCache>
                <c:formatCode>0.00</c:formatCode>
                <c:ptCount val="1"/>
                <c:pt idx="0">
                  <c:v>23.4717573625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Resumen'!$O$28</c:f>
              <c:numCache>
                <c:formatCode>0.00</c:formatCode>
                <c:ptCount val="1"/>
                <c:pt idx="0">
                  <c:v>153.69746294000001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Nafta / Gas Refinería</c:v>
                </c:pt>
                <c:pt idx="3">
                  <c:v>Diesel2/Residual500/Nafta,Gas Refinería &amp; Flexigas</c:v>
                </c:pt>
                <c:pt idx="4">
                  <c:v>Bagazo / Biogás</c:v>
                </c:pt>
                <c:pt idx="5">
                  <c:v>Eólico</c:v>
                </c:pt>
                <c:pt idx="6">
                  <c:v>Solar</c:v>
                </c:pt>
              </c:strCache>
            </c:strRef>
          </c:cat>
          <c:val>
            <c:numRef>
              <c:f>'1. Resumen'!$O$29</c:f>
              <c:numCache>
                <c:formatCode>0.00</c:formatCode>
                <c:ptCount val="1"/>
                <c:pt idx="0">
                  <c:v>331.98247399249999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2022</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pt idx="43" formatCode="General">
                  <c:v>239.48699999999999</c:v>
                </c:pt>
                <c:pt idx="44">
                  <c:v>238.642</c:v>
                </c:pt>
                <c:pt idx="45">
                  <c:v>237.92400000000001</c:v>
                </c:pt>
                <c:pt idx="46">
                  <c:v>237.143</c:v>
                </c:pt>
                <c:pt idx="47">
                  <c:v>236.62100000000001</c:v>
                </c:pt>
                <c:pt idx="48">
                  <c:v>236.166</c:v>
                </c:pt>
                <c:pt idx="49">
                  <c:v>235.453</c:v>
                </c:pt>
                <c:pt idx="50">
                  <c:v>234.798</c:v>
                </c:pt>
                <c:pt idx="51">
                  <c:v>234.214</c:v>
                </c:pt>
                <c:pt idx="52">
                  <c:v>233.56899999999999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233.376</c:v>
                </c:pt>
                <c:pt idx="1">
                  <c:v>232.73099999999999</c:v>
                </c:pt>
                <c:pt idx="2">
                  <c:v>233.59299999999999</c:v>
                </c:pt>
                <c:pt idx="3">
                  <c:v>239.21899999999999</c:v>
                </c:pt>
                <c:pt idx="4">
                  <c:v>241.62200000000001</c:v>
                </c:pt>
                <c:pt idx="5">
                  <c:v>245.28</c:v>
                </c:pt>
                <c:pt idx="6">
                  <c:v>258.55500000000001</c:v>
                </c:pt>
                <c:pt idx="7">
                  <c:v>263.03699999999998</c:v>
                </c:pt>
                <c:pt idx="8">
                  <c:v>267.98899999999998</c:v>
                </c:pt>
                <c:pt idx="9">
                  <c:v>273.54700000000003</c:v>
                </c:pt>
                <c:pt idx="10">
                  <c:v>276.53899999999999</c:v>
                </c:pt>
                <c:pt idx="11">
                  <c:v>277.99200000000002</c:v>
                </c:pt>
                <c:pt idx="12">
                  <c:v>278.25599999999997</c:v>
                </c:pt>
                <c:pt idx="13">
                  <c:v>278.58100000000002</c:v>
                </c:pt>
                <c:pt idx="14">
                  <c:v>278.26</c:v>
                </c:pt>
                <c:pt idx="15">
                  <c:v>277.935</c:v>
                </c:pt>
                <c:pt idx="16">
                  <c:v>277.351</c:v>
                </c:pt>
                <c:pt idx="17">
                  <c:v>276.70100000000002</c:v>
                </c:pt>
                <c:pt idx="18">
                  <c:v>276.11700000000002</c:v>
                </c:pt>
                <c:pt idx="19">
                  <c:v>275.46699999999998</c:v>
                </c:pt>
                <c:pt idx="20">
                  <c:v>274.822</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2022</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pt idx="43" formatCode="General">
                  <c:v>8.4120000000000008</c:v>
                </c:pt>
                <c:pt idx="44">
                  <c:v>8.3819999999999997</c:v>
                </c:pt>
                <c:pt idx="45">
                  <c:v>8.8019999999999996</c:v>
                </c:pt>
                <c:pt idx="46">
                  <c:v>10.3</c:v>
                </c:pt>
                <c:pt idx="47">
                  <c:v>12.23</c:v>
                </c:pt>
                <c:pt idx="48">
                  <c:v>13.85</c:v>
                </c:pt>
                <c:pt idx="49">
                  <c:v>16.64</c:v>
                </c:pt>
                <c:pt idx="50">
                  <c:v>18.11</c:v>
                </c:pt>
                <c:pt idx="51">
                  <c:v>19.11</c:v>
                </c:pt>
                <c:pt idx="52">
                  <c:v>20.92</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24.74</c:v>
                </c:pt>
                <c:pt idx="1">
                  <c:v>28.14</c:v>
                </c:pt>
                <c:pt idx="2">
                  <c:v>30.54</c:v>
                </c:pt>
                <c:pt idx="3">
                  <c:v>32.47</c:v>
                </c:pt>
                <c:pt idx="4">
                  <c:v>34.049999999999997</c:v>
                </c:pt>
                <c:pt idx="5">
                  <c:v>37.119999999999997</c:v>
                </c:pt>
                <c:pt idx="6">
                  <c:v>43.33</c:v>
                </c:pt>
                <c:pt idx="7">
                  <c:v>47.17</c:v>
                </c:pt>
                <c:pt idx="8">
                  <c:v>53.17</c:v>
                </c:pt>
                <c:pt idx="9">
                  <c:v>56.54</c:v>
                </c:pt>
                <c:pt idx="10">
                  <c:v>58.28</c:v>
                </c:pt>
                <c:pt idx="11">
                  <c:v>59.28</c:v>
                </c:pt>
                <c:pt idx="12">
                  <c:v>60.64</c:v>
                </c:pt>
                <c:pt idx="13">
                  <c:v>61.78</c:v>
                </c:pt>
                <c:pt idx="14">
                  <c:v>62.51</c:v>
                </c:pt>
                <c:pt idx="15">
                  <c:v>63.08</c:v>
                </c:pt>
                <c:pt idx="16">
                  <c:v>63.66</c:v>
                </c:pt>
                <c:pt idx="17">
                  <c:v>63.82</c:v>
                </c:pt>
                <c:pt idx="18">
                  <c:v>63.63</c:v>
                </c:pt>
                <c:pt idx="19">
                  <c:v>62.77</c:v>
                </c:pt>
                <c:pt idx="20">
                  <c:v>62.1</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2022</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pt idx="43" formatCode="General">
                  <c:v>65.78</c:v>
                </c:pt>
                <c:pt idx="44">
                  <c:v>56.13</c:v>
                </c:pt>
                <c:pt idx="45">
                  <c:v>46.16</c:v>
                </c:pt>
                <c:pt idx="46">
                  <c:v>43.57</c:v>
                </c:pt>
                <c:pt idx="47">
                  <c:v>44.78</c:v>
                </c:pt>
                <c:pt idx="48">
                  <c:v>56.27</c:v>
                </c:pt>
                <c:pt idx="49">
                  <c:v>61.55</c:v>
                </c:pt>
                <c:pt idx="50">
                  <c:v>68.38</c:v>
                </c:pt>
                <c:pt idx="51">
                  <c:v>81.61</c:v>
                </c:pt>
                <c:pt idx="52">
                  <c:v>90.84</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96.22</c:v>
                </c:pt>
                <c:pt idx="1">
                  <c:v>108.35</c:v>
                </c:pt>
                <c:pt idx="2">
                  <c:v>112.35</c:v>
                </c:pt>
                <c:pt idx="3">
                  <c:v>118.65</c:v>
                </c:pt>
                <c:pt idx="4">
                  <c:v>126.42</c:v>
                </c:pt>
                <c:pt idx="5">
                  <c:v>137.86000000000001</c:v>
                </c:pt>
                <c:pt idx="6">
                  <c:v>147.21</c:v>
                </c:pt>
                <c:pt idx="7">
                  <c:v>161.09</c:v>
                </c:pt>
                <c:pt idx="8">
                  <c:v>172.97</c:v>
                </c:pt>
                <c:pt idx="9">
                  <c:v>184.86</c:v>
                </c:pt>
                <c:pt idx="10">
                  <c:v>193.52</c:v>
                </c:pt>
                <c:pt idx="11">
                  <c:v>199.15</c:v>
                </c:pt>
                <c:pt idx="12">
                  <c:v>202.31</c:v>
                </c:pt>
                <c:pt idx="13">
                  <c:v>208.79</c:v>
                </c:pt>
                <c:pt idx="14">
                  <c:v>213.07</c:v>
                </c:pt>
                <c:pt idx="15">
                  <c:v>214.04</c:v>
                </c:pt>
                <c:pt idx="16">
                  <c:v>215.21</c:v>
                </c:pt>
                <c:pt idx="17">
                  <c:v>217</c:v>
                </c:pt>
                <c:pt idx="18">
                  <c:v>218.5</c:v>
                </c:pt>
                <c:pt idx="19">
                  <c:v>218.84</c:v>
                </c:pt>
                <c:pt idx="20">
                  <c:v>218.26</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2022</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pt idx="43" formatCode="General">
                  <c:v>42.41</c:v>
                </c:pt>
                <c:pt idx="44">
                  <c:v>43.24</c:v>
                </c:pt>
                <c:pt idx="45">
                  <c:v>44.35</c:v>
                </c:pt>
                <c:pt idx="46">
                  <c:v>47.4</c:v>
                </c:pt>
                <c:pt idx="47">
                  <c:v>51.02</c:v>
                </c:pt>
                <c:pt idx="48">
                  <c:v>53.25</c:v>
                </c:pt>
                <c:pt idx="49">
                  <c:v>52.84</c:v>
                </c:pt>
                <c:pt idx="50">
                  <c:v>58.01</c:v>
                </c:pt>
                <c:pt idx="51">
                  <c:v>60.26</c:v>
                </c:pt>
                <c:pt idx="52">
                  <c:v>61.95</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65.62</c:v>
                </c:pt>
                <c:pt idx="1">
                  <c:v>71.010000000000005</c:v>
                </c:pt>
                <c:pt idx="2">
                  <c:v>74.72</c:v>
                </c:pt>
                <c:pt idx="3">
                  <c:v>79.290000000000006</c:v>
                </c:pt>
                <c:pt idx="4">
                  <c:v>80.44</c:v>
                </c:pt>
                <c:pt idx="5">
                  <c:v>84.18</c:v>
                </c:pt>
                <c:pt idx="6">
                  <c:v>89.95</c:v>
                </c:pt>
                <c:pt idx="7">
                  <c:v>93.73</c:v>
                </c:pt>
                <c:pt idx="8">
                  <c:v>98.09</c:v>
                </c:pt>
                <c:pt idx="9">
                  <c:v>102.77</c:v>
                </c:pt>
                <c:pt idx="10">
                  <c:v>105.7</c:v>
                </c:pt>
                <c:pt idx="11">
                  <c:v>107.76</c:v>
                </c:pt>
                <c:pt idx="12">
                  <c:v>109.53</c:v>
                </c:pt>
                <c:pt idx="13">
                  <c:v>111.3</c:v>
                </c:pt>
                <c:pt idx="14">
                  <c:v>111.89</c:v>
                </c:pt>
                <c:pt idx="15">
                  <c:v>112.78</c:v>
                </c:pt>
                <c:pt idx="16">
                  <c:v>112.93</c:v>
                </c:pt>
                <c:pt idx="17">
                  <c:v>113.66</c:v>
                </c:pt>
                <c:pt idx="18">
                  <c:v>113.66</c:v>
                </c:pt>
                <c:pt idx="19">
                  <c:v>113.66</c:v>
                </c:pt>
                <c:pt idx="20">
                  <c:v>113.07</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2022</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pt idx="43" formatCode="General">
                  <c:v>3.6519999999999997E-2</c:v>
                </c:pt>
                <c:pt idx="44">
                  <c:v>3.8379999999999997E-2</c:v>
                </c:pt>
                <c:pt idx="45">
                  <c:v>3.6519999999999997E-2</c:v>
                </c:pt>
                <c:pt idx="46">
                  <c:v>0.19008</c:v>
                </c:pt>
                <c:pt idx="47">
                  <c:v>0.19008</c:v>
                </c:pt>
                <c:pt idx="48">
                  <c:v>0.19008</c:v>
                </c:pt>
                <c:pt idx="49">
                  <c:v>1.79437</c:v>
                </c:pt>
                <c:pt idx="50">
                  <c:v>1.79437</c:v>
                </c:pt>
                <c:pt idx="51">
                  <c:v>1.79437</c:v>
                </c:pt>
                <c:pt idx="52">
                  <c:v>1.79437</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1.79437</c:v>
                </c:pt>
                <c:pt idx="1">
                  <c:v>7.4687200000000002</c:v>
                </c:pt>
                <c:pt idx="2">
                  <c:v>8.5289599999999997</c:v>
                </c:pt>
                <c:pt idx="3">
                  <c:v>9.7954100000000004</c:v>
                </c:pt>
                <c:pt idx="4">
                  <c:v>11.081910000000001</c:v>
                </c:pt>
                <c:pt idx="5">
                  <c:v>12.388479999999999</c:v>
                </c:pt>
                <c:pt idx="6">
                  <c:v>14.281929999999999</c:v>
                </c:pt>
                <c:pt idx="7">
                  <c:v>16.186679999999999</c:v>
                </c:pt>
                <c:pt idx="8">
                  <c:v>18.058759999999999</c:v>
                </c:pt>
                <c:pt idx="9">
                  <c:v>19.74126</c:v>
                </c:pt>
                <c:pt idx="10">
                  <c:v>20.032640000000001</c:v>
                </c:pt>
                <c:pt idx="11">
                  <c:v>21.597290000000001</c:v>
                </c:pt>
                <c:pt idx="12">
                  <c:v>22.994579999999999</c:v>
                </c:pt>
                <c:pt idx="13">
                  <c:v>24.520350000000001</c:v>
                </c:pt>
                <c:pt idx="14">
                  <c:v>26.00057</c:v>
                </c:pt>
                <c:pt idx="15">
                  <c:v>27.562349999999999</c:v>
                </c:pt>
                <c:pt idx="16">
                  <c:v>29.040289999999999</c:v>
                </c:pt>
                <c:pt idx="17">
                  <c:v>27.408000000000001</c:v>
                </c:pt>
                <c:pt idx="18">
                  <c:v>27.990960000000001</c:v>
                </c:pt>
                <c:pt idx="19">
                  <c:v>27.990960000000001</c:v>
                </c:pt>
                <c:pt idx="20">
                  <c:v>28.44622</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2022</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pt idx="43" formatCode="General">
                  <c:v>15.189</c:v>
                </c:pt>
                <c:pt idx="44">
                  <c:v>12.536</c:v>
                </c:pt>
                <c:pt idx="45">
                  <c:v>10.792</c:v>
                </c:pt>
                <c:pt idx="46">
                  <c:v>10.191000000000001</c:v>
                </c:pt>
                <c:pt idx="47">
                  <c:v>13.16</c:v>
                </c:pt>
                <c:pt idx="48">
                  <c:v>15.986000000000001</c:v>
                </c:pt>
                <c:pt idx="49">
                  <c:v>13.015000000000001</c:v>
                </c:pt>
                <c:pt idx="50">
                  <c:v>12.488</c:v>
                </c:pt>
                <c:pt idx="51">
                  <c:v>13.522</c:v>
                </c:pt>
                <c:pt idx="52">
                  <c:v>16.161000000000001</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20.358000000000001</c:v>
                </c:pt>
                <c:pt idx="1">
                  <c:v>21.757999999999999</c:v>
                </c:pt>
                <c:pt idx="2">
                  <c:v>18.904</c:v>
                </c:pt>
                <c:pt idx="3">
                  <c:v>19.940999999999999</c:v>
                </c:pt>
                <c:pt idx="4">
                  <c:v>22.184999999999999</c:v>
                </c:pt>
                <c:pt idx="5">
                  <c:v>28.513999999999999</c:v>
                </c:pt>
                <c:pt idx="6">
                  <c:v>37.475000000000001</c:v>
                </c:pt>
                <c:pt idx="7">
                  <c:v>46.637999999999998</c:v>
                </c:pt>
                <c:pt idx="8">
                  <c:v>53.994</c:v>
                </c:pt>
                <c:pt idx="9">
                  <c:v>54.302999999999997</c:v>
                </c:pt>
                <c:pt idx="10">
                  <c:v>58.838999999999999</c:v>
                </c:pt>
                <c:pt idx="11">
                  <c:v>60.718000000000004</c:v>
                </c:pt>
                <c:pt idx="12">
                  <c:v>67.331999999999994</c:v>
                </c:pt>
                <c:pt idx="13">
                  <c:v>66.572000000000003</c:v>
                </c:pt>
                <c:pt idx="14">
                  <c:v>64.802999999999997</c:v>
                </c:pt>
                <c:pt idx="15">
                  <c:v>66.066000000000003</c:v>
                </c:pt>
                <c:pt idx="16">
                  <c:v>67.331999999999994</c:v>
                </c:pt>
                <c:pt idx="17">
                  <c:v>66.861000000000004</c:v>
                </c:pt>
                <c:pt idx="18">
                  <c:v>67.114999999999995</c:v>
                </c:pt>
                <c:pt idx="19">
                  <c:v>67.150999999999996</c:v>
                </c:pt>
                <c:pt idx="20">
                  <c:v>67.006</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2022</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148.66</c:v>
                </c:pt>
                <c:pt idx="1">
                  <c:v>147.80000000000001</c:v>
                </c:pt>
                <c:pt idx="2">
                  <c:v>147.11000000000001</c:v>
                </c:pt>
                <c:pt idx="3">
                  <c:v>151.07</c:v>
                </c:pt>
                <c:pt idx="4">
                  <c:v>157.33000000000001</c:v>
                </c:pt>
                <c:pt idx="5">
                  <c:v>166.685</c:v>
                </c:pt>
                <c:pt idx="6">
                  <c:v>178.54300000000001</c:v>
                </c:pt>
                <c:pt idx="7">
                  <c:v>187.83199999999999</c:v>
                </c:pt>
                <c:pt idx="8">
                  <c:v>199.54</c:v>
                </c:pt>
                <c:pt idx="9">
                  <c:v>214.46</c:v>
                </c:pt>
                <c:pt idx="10">
                  <c:v>228.98</c:v>
                </c:pt>
                <c:pt idx="11">
                  <c:v>236.83600000000001</c:v>
                </c:pt>
                <c:pt idx="12">
                  <c:v>249.48400000000001</c:v>
                </c:pt>
                <c:pt idx="13">
                  <c:v>265.79599999999999</c:v>
                </c:pt>
                <c:pt idx="14">
                  <c:v>269.72899999999998</c:v>
                </c:pt>
                <c:pt idx="15">
                  <c:v>271.42</c:v>
                </c:pt>
                <c:pt idx="16">
                  <c:v>270.39</c:v>
                </c:pt>
                <c:pt idx="17">
                  <c:v>270.471</c:v>
                </c:pt>
                <c:pt idx="18">
                  <c:v>271.42</c:v>
                </c:pt>
                <c:pt idx="19">
                  <c:v>271.029</c:v>
                </c:pt>
                <c:pt idx="20">
                  <c:v>270.2</c:v>
                </c:pt>
                <c:pt idx="21">
                  <c:v>269.39</c:v>
                </c:pt>
                <c:pt idx="22">
                  <c:v>266.01799999999997</c:v>
                </c:pt>
                <c:pt idx="23">
                  <c:v>262.13</c:v>
                </c:pt>
                <c:pt idx="24">
                  <c:v>258.60199999999998</c:v>
                </c:pt>
                <c:pt idx="25">
                  <c:v>253.72200000000001</c:v>
                </c:pt>
                <c:pt idx="26">
                  <c:v>246.78</c:v>
                </c:pt>
                <c:pt idx="27">
                  <c:v>241.68</c:v>
                </c:pt>
                <c:pt idx="28">
                  <c:v>236.73</c:v>
                </c:pt>
                <c:pt idx="29">
                  <c:v>232.23</c:v>
                </c:pt>
                <c:pt idx="30">
                  <c:v>226.416</c:v>
                </c:pt>
                <c:pt idx="31">
                  <c:v>216.404</c:v>
                </c:pt>
                <c:pt idx="32">
                  <c:v>210.66</c:v>
                </c:pt>
                <c:pt idx="33">
                  <c:v>205.01</c:v>
                </c:pt>
                <c:pt idx="34">
                  <c:v>198.78</c:v>
                </c:pt>
                <c:pt idx="35">
                  <c:v>189.03</c:v>
                </c:pt>
                <c:pt idx="36">
                  <c:v>182.27199999999999</c:v>
                </c:pt>
                <c:pt idx="37">
                  <c:v>176.78100000000001</c:v>
                </c:pt>
                <c:pt idx="38">
                  <c:v>169.20699999999999</c:v>
                </c:pt>
                <c:pt idx="39">
                  <c:v>151.602</c:v>
                </c:pt>
                <c:pt idx="40">
                  <c:v>154.06700000000001</c:v>
                </c:pt>
                <c:pt idx="41">
                  <c:v>147.15899999999999</c:v>
                </c:pt>
                <c:pt idx="42">
                  <c:v>143.071</c:v>
                </c:pt>
                <c:pt idx="43">
                  <c:v>134.79</c:v>
                </c:pt>
                <c:pt idx="44">
                  <c:v>125.34399999999999</c:v>
                </c:pt>
                <c:pt idx="45">
                  <c:v>118.37</c:v>
                </c:pt>
                <c:pt idx="46">
                  <c:v>111.124</c:v>
                </c:pt>
                <c:pt idx="47">
                  <c:v>103.988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92.438000000000002</c:v>
                </c:pt>
                <c:pt idx="1">
                  <c:v>98.191000000000003</c:v>
                </c:pt>
                <c:pt idx="2">
                  <c:v>99.385999999999996</c:v>
                </c:pt>
                <c:pt idx="3">
                  <c:v>104.32</c:v>
                </c:pt>
                <c:pt idx="4">
                  <c:v>110.37</c:v>
                </c:pt>
                <c:pt idx="5">
                  <c:v>123.40300000000001</c:v>
                </c:pt>
                <c:pt idx="6">
                  <c:v>132.72999999999999</c:v>
                </c:pt>
                <c:pt idx="7">
                  <c:v>150.01</c:v>
                </c:pt>
                <c:pt idx="8">
                  <c:v>161.893</c:v>
                </c:pt>
                <c:pt idx="9">
                  <c:v>173.304</c:v>
                </c:pt>
                <c:pt idx="10">
                  <c:v>187.672</c:v>
                </c:pt>
                <c:pt idx="11">
                  <c:v>198.322</c:v>
                </c:pt>
                <c:pt idx="12">
                  <c:v>206.28100000000001</c:v>
                </c:pt>
                <c:pt idx="13">
                  <c:v>218.47399999999999</c:v>
                </c:pt>
                <c:pt idx="14">
                  <c:v>223.15</c:v>
                </c:pt>
                <c:pt idx="15">
                  <c:v>226.66</c:v>
                </c:pt>
                <c:pt idx="16">
                  <c:v>228.761</c:v>
                </c:pt>
                <c:pt idx="17">
                  <c:v>229.63499999999999</c:v>
                </c:pt>
                <c:pt idx="18">
                  <c:v>230.88900000000001</c:v>
                </c:pt>
                <c:pt idx="19">
                  <c:v>231.32499999999999</c:v>
                </c:pt>
                <c:pt idx="20">
                  <c:v>230.02799999999999</c:v>
                </c:pt>
                <c:pt idx="21">
                  <c:v>229.274</c:v>
                </c:pt>
                <c:pt idx="22">
                  <c:v>225.33</c:v>
                </c:pt>
                <c:pt idx="23">
                  <c:v>222.2</c:v>
                </c:pt>
                <c:pt idx="24">
                  <c:v>217.72399999999999</c:v>
                </c:pt>
                <c:pt idx="25">
                  <c:v>212.96700000000001</c:v>
                </c:pt>
                <c:pt idx="26">
                  <c:v>206.529</c:v>
                </c:pt>
                <c:pt idx="27">
                  <c:v>202.28200000000001</c:v>
                </c:pt>
                <c:pt idx="28">
                  <c:v>199.15700000000001</c:v>
                </c:pt>
                <c:pt idx="29">
                  <c:v>195.05699999999999</c:v>
                </c:pt>
                <c:pt idx="30">
                  <c:v>191.31</c:v>
                </c:pt>
                <c:pt idx="31">
                  <c:v>184.37299999999999</c:v>
                </c:pt>
                <c:pt idx="32">
                  <c:v>180.17400000000001</c:v>
                </c:pt>
                <c:pt idx="33">
                  <c:v>176.72300000000001</c:v>
                </c:pt>
                <c:pt idx="34">
                  <c:v>171.739</c:v>
                </c:pt>
                <c:pt idx="35">
                  <c:v>163.48400000000001</c:v>
                </c:pt>
                <c:pt idx="36">
                  <c:v>158.86099999999999</c:v>
                </c:pt>
                <c:pt idx="37">
                  <c:v>155.50800000000001</c:v>
                </c:pt>
                <c:pt idx="38">
                  <c:v>153.41999999999999</c:v>
                </c:pt>
                <c:pt idx="39">
                  <c:v>145.35</c:v>
                </c:pt>
                <c:pt idx="40">
                  <c:v>143.97499999999999</c:v>
                </c:pt>
                <c:pt idx="41">
                  <c:v>140.572</c:v>
                </c:pt>
                <c:pt idx="42">
                  <c:v>139.97300000000001</c:v>
                </c:pt>
                <c:pt idx="43">
                  <c:v>138.04400000000001</c:v>
                </c:pt>
                <c:pt idx="44">
                  <c:v>133.803</c:v>
                </c:pt>
                <c:pt idx="45">
                  <c:v>130.03200000000001</c:v>
                </c:pt>
                <c:pt idx="46">
                  <c:v>130.88499999999999</c:v>
                </c:pt>
                <c:pt idx="47">
                  <c:v>134.708</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178.13200000000001</c:v>
                </c:pt>
                <c:pt idx="1">
                  <c:v>191.28200000000001</c:v>
                </c:pt>
                <c:pt idx="2">
                  <c:v>201.74</c:v>
                </c:pt>
                <c:pt idx="3">
                  <c:v>215.482</c:v>
                </c:pt>
                <c:pt idx="4">
                  <c:v>230.72800000000001</c:v>
                </c:pt>
                <c:pt idx="5">
                  <c:v>243.89</c:v>
                </c:pt>
                <c:pt idx="6">
                  <c:v>249.11199999999999</c:v>
                </c:pt>
                <c:pt idx="7">
                  <c:v>252.53899999999999</c:v>
                </c:pt>
                <c:pt idx="8">
                  <c:v>258.63299999999998</c:v>
                </c:pt>
                <c:pt idx="9">
                  <c:v>267.09100000000001</c:v>
                </c:pt>
                <c:pt idx="10">
                  <c:v>263.69</c:v>
                </c:pt>
                <c:pt idx="11">
                  <c:v>268.42899999999997</c:v>
                </c:pt>
                <c:pt idx="12">
                  <c:v>274.10199999999998</c:v>
                </c:pt>
                <c:pt idx="13">
                  <c:v>272.904</c:v>
                </c:pt>
                <c:pt idx="14">
                  <c:v>277.85399999999998</c:v>
                </c:pt>
                <c:pt idx="15">
                  <c:v>277.85899999999998</c:v>
                </c:pt>
                <c:pt idx="16">
                  <c:v>277.952</c:v>
                </c:pt>
                <c:pt idx="17">
                  <c:v>277.99299999999999</c:v>
                </c:pt>
                <c:pt idx="18">
                  <c:v>277.69499999999999</c:v>
                </c:pt>
                <c:pt idx="19">
                  <c:v>277.33800000000002</c:v>
                </c:pt>
                <c:pt idx="20">
                  <c:v>276.75400000000002</c:v>
                </c:pt>
                <c:pt idx="21">
                  <c:v>276.14800000000002</c:v>
                </c:pt>
                <c:pt idx="22">
                  <c:v>274.89</c:v>
                </c:pt>
                <c:pt idx="23">
                  <c:v>275.00299999999999</c:v>
                </c:pt>
                <c:pt idx="24">
                  <c:v>270.87599999999998</c:v>
                </c:pt>
                <c:pt idx="25">
                  <c:v>264.53699999999998</c:v>
                </c:pt>
                <c:pt idx="26">
                  <c:v>261.25</c:v>
                </c:pt>
                <c:pt idx="27">
                  <c:v>254.369</c:v>
                </c:pt>
                <c:pt idx="28">
                  <c:v>250.77500000000001</c:v>
                </c:pt>
                <c:pt idx="29">
                  <c:v>244.952</c:v>
                </c:pt>
                <c:pt idx="30">
                  <c:v>238.69800000000001</c:v>
                </c:pt>
                <c:pt idx="31">
                  <c:v>232.90899999999999</c:v>
                </c:pt>
                <c:pt idx="32">
                  <c:v>226.97499999999999</c:v>
                </c:pt>
                <c:pt idx="33">
                  <c:v>220.91900000000001</c:v>
                </c:pt>
                <c:pt idx="34">
                  <c:v>214.08799999999999</c:v>
                </c:pt>
                <c:pt idx="35">
                  <c:v>212.82900000000001</c:v>
                </c:pt>
                <c:pt idx="36">
                  <c:v>199.108</c:v>
                </c:pt>
                <c:pt idx="37">
                  <c:v>191.923</c:v>
                </c:pt>
                <c:pt idx="38">
                  <c:v>184.51400000000001</c:v>
                </c:pt>
                <c:pt idx="39">
                  <c:v>179.47</c:v>
                </c:pt>
                <c:pt idx="40">
                  <c:v>170.803</c:v>
                </c:pt>
                <c:pt idx="41">
                  <c:v>167.434</c:v>
                </c:pt>
                <c:pt idx="42">
                  <c:v>160.43899999999999</c:v>
                </c:pt>
                <c:pt idx="43" formatCode="General">
                  <c:v>153.518</c:v>
                </c:pt>
                <c:pt idx="44">
                  <c:v>145.03899999999999</c:v>
                </c:pt>
                <c:pt idx="45">
                  <c:v>140.398</c:v>
                </c:pt>
                <c:pt idx="46">
                  <c:v>136.78800000000001</c:v>
                </c:pt>
                <c:pt idx="47">
                  <c:v>139.51900000000001</c:v>
                </c:pt>
                <c:pt idx="48">
                  <c:v>143.97399999999999</c:v>
                </c:pt>
                <c:pt idx="49">
                  <c:v>150.971</c:v>
                </c:pt>
                <c:pt idx="50">
                  <c:v>161.72900000000001</c:v>
                </c:pt>
                <c:pt idx="51">
                  <c:v>171.66399999999999</c:v>
                </c:pt>
                <c:pt idx="52">
                  <c:v>178.91300000000001</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190.149</c:v>
                </c:pt>
                <c:pt idx="1">
                  <c:v>199.857</c:v>
                </c:pt>
                <c:pt idx="2">
                  <c:v>204.178</c:v>
                </c:pt>
                <c:pt idx="3">
                  <c:v>210.869</c:v>
                </c:pt>
                <c:pt idx="4">
                  <c:v>224.66800000000001</c:v>
                </c:pt>
                <c:pt idx="5">
                  <c:v>237.02699999999999</c:v>
                </c:pt>
                <c:pt idx="6">
                  <c:v>246.32400000000001</c:v>
                </c:pt>
                <c:pt idx="7">
                  <c:v>257.95</c:v>
                </c:pt>
                <c:pt idx="8">
                  <c:v>268.26600000000002</c:v>
                </c:pt>
                <c:pt idx="9">
                  <c:v>267.97800000000001</c:v>
                </c:pt>
                <c:pt idx="10">
                  <c:v>271.75299999999999</c:v>
                </c:pt>
                <c:pt idx="11">
                  <c:v>275.452</c:v>
                </c:pt>
                <c:pt idx="12">
                  <c:v>282.69099999999997</c:v>
                </c:pt>
                <c:pt idx="13">
                  <c:v>282.41199999999998</c:v>
                </c:pt>
                <c:pt idx="14">
                  <c:v>281.71499999999997</c:v>
                </c:pt>
                <c:pt idx="15">
                  <c:v>282.81599999999997</c:v>
                </c:pt>
                <c:pt idx="16">
                  <c:v>282.87200000000001</c:v>
                </c:pt>
                <c:pt idx="17">
                  <c:v>282.47300000000001</c:v>
                </c:pt>
                <c:pt idx="18">
                  <c:v>281.83199999999999</c:v>
                </c:pt>
                <c:pt idx="19">
                  <c:v>280.89299999999997</c:v>
                </c:pt>
                <c:pt idx="20">
                  <c:v>280.75400000000002</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4494017356505E-3"/>
              <c:y val="8.408651632124990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2022</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161.136</c:v>
                </c:pt>
                <c:pt idx="36">
                  <c:v>151.59200000000001</c:v>
                </c:pt>
                <c:pt idx="37">
                  <c:v>140.809</c:v>
                </c:pt>
                <c:pt idx="38">
                  <c:v>125.7</c:v>
                </c:pt>
                <c:pt idx="39">
                  <c:v>114.979</c:v>
                </c:pt>
                <c:pt idx="40">
                  <c:v>104.05</c:v>
                </c:pt>
                <c:pt idx="41">
                  <c:v>95.909000000000006</c:v>
                </c:pt>
                <c:pt idx="42">
                  <c:v>84.995999999999995</c:v>
                </c:pt>
                <c:pt idx="43" formatCode="General">
                  <c:v>76.375</c:v>
                </c:pt>
                <c:pt idx="44">
                  <c:v>69.522000000000006</c:v>
                </c:pt>
                <c:pt idx="45">
                  <c:v>61.997</c:v>
                </c:pt>
                <c:pt idx="46">
                  <c:v>57.704999999999998</c:v>
                </c:pt>
                <c:pt idx="47">
                  <c:v>61.213999999999999</c:v>
                </c:pt>
                <c:pt idx="48">
                  <c:v>55.384</c:v>
                </c:pt>
                <c:pt idx="49">
                  <c:v>41.381999999999998</c:v>
                </c:pt>
                <c:pt idx="50">
                  <c:v>44.738999999999997</c:v>
                </c:pt>
                <c:pt idx="51">
                  <c:v>60.430999999999997</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2025</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91.68</c:v>
                </c:pt>
                <c:pt idx="1">
                  <c:v>116.306</c:v>
                </c:pt>
                <c:pt idx="2">
                  <c:v>143.602</c:v>
                </c:pt>
                <c:pt idx="3">
                  <c:v>149.702</c:v>
                </c:pt>
                <c:pt idx="4">
                  <c:v>173.77799999999999</c:v>
                </c:pt>
                <c:pt idx="5">
                  <c:v>211.20599999999999</c:v>
                </c:pt>
                <c:pt idx="6">
                  <c:v>252.42599999999999</c:v>
                </c:pt>
                <c:pt idx="7">
                  <c:v>303.54399999999998</c:v>
                </c:pt>
                <c:pt idx="8">
                  <c:v>344.88099999999997</c:v>
                </c:pt>
                <c:pt idx="9">
                  <c:v>379.79899999999998</c:v>
                </c:pt>
                <c:pt idx="10">
                  <c:v>399.01</c:v>
                </c:pt>
                <c:pt idx="11">
                  <c:v>386.803</c:v>
                </c:pt>
                <c:pt idx="12">
                  <c:v>384.25</c:v>
                </c:pt>
                <c:pt idx="13">
                  <c:v>372.84399999999999</c:v>
                </c:pt>
                <c:pt idx="14">
                  <c:v>359.94299999999998</c:v>
                </c:pt>
                <c:pt idx="15">
                  <c:v>360.94099999999997</c:v>
                </c:pt>
                <c:pt idx="16">
                  <c:v>357.07400000000001</c:v>
                </c:pt>
                <c:pt idx="17">
                  <c:v>355.35199999999998</c:v>
                </c:pt>
                <c:pt idx="18">
                  <c:v>355.35199999999998</c:v>
                </c:pt>
                <c:pt idx="19">
                  <c:v>355.35199999999998</c:v>
                </c:pt>
                <c:pt idx="20">
                  <c:v>355.35199999999998</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2022</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pt idx="43" formatCode="General">
                  <c:v>49.960453273809527</c:v>
                </c:pt>
                <c:pt idx="44">
                  <c:v>30.840908154761902</c:v>
                </c:pt>
                <c:pt idx="45">
                  <c:v>98.491946071428572</c:v>
                </c:pt>
                <c:pt idx="46">
                  <c:v>91.631583392857138</c:v>
                </c:pt>
                <c:pt idx="47">
                  <c:v>149.89897238095239</c:v>
                </c:pt>
                <c:pt idx="48">
                  <c:v>132.23053339285715</c:v>
                </c:pt>
                <c:pt idx="49">
                  <c:v>135.52681000000001</c:v>
                </c:pt>
                <c:pt idx="50">
                  <c:v>145.39447267857142</c:v>
                </c:pt>
                <c:pt idx="51">
                  <c:v>141.06442434523808</c:v>
                </c:pt>
                <c:pt idx="52">
                  <c:v>102.40394190476189</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140.09851797619046</c:v>
                </c:pt>
                <c:pt idx="1">
                  <c:v>148.1922913095238</c:v>
                </c:pt>
                <c:pt idx="2">
                  <c:v>126.37637035714286</c:v>
                </c:pt>
                <c:pt idx="3">
                  <c:v>149.84982583333334</c:v>
                </c:pt>
                <c:pt idx="4">
                  <c:v>147.11559047619048</c:v>
                </c:pt>
                <c:pt idx="5">
                  <c:v>149.52542178571429</c:v>
                </c:pt>
                <c:pt idx="6">
                  <c:v>143.03125386904762</c:v>
                </c:pt>
                <c:pt idx="7">
                  <c:v>147.14297148809524</c:v>
                </c:pt>
                <c:pt idx="8">
                  <c:v>150.40839672619046</c:v>
                </c:pt>
                <c:pt idx="9">
                  <c:v>149.92932309523809</c:v>
                </c:pt>
                <c:pt idx="10">
                  <c:v>144.79871833333334</c:v>
                </c:pt>
                <c:pt idx="11">
                  <c:v>146.18267678571428</c:v>
                </c:pt>
                <c:pt idx="12">
                  <c:v>142.89877166666665</c:v>
                </c:pt>
                <c:pt idx="13">
                  <c:v>137.03918827380951</c:v>
                </c:pt>
                <c:pt idx="14">
                  <c:v>135.34958892857142</c:v>
                </c:pt>
                <c:pt idx="15">
                  <c:v>143.08670047619046</c:v>
                </c:pt>
                <c:pt idx="16">
                  <c:v>118.39869577380952</c:v>
                </c:pt>
                <c:pt idx="17">
                  <c:v>71.355581428571426</c:v>
                </c:pt>
                <c:pt idx="18">
                  <c:v>76.507040059523803</c:v>
                </c:pt>
                <c:pt idx="19">
                  <c:v>78.651431666666667</c:v>
                </c:pt>
                <c:pt idx="20">
                  <c:v>81.442650595238078</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2022</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pt idx="43" formatCode="General">
                  <c:v>7.677083333333333</c:v>
                </c:pt>
                <c:pt idx="44">
                  <c:v>7.4636904761904761</c:v>
                </c:pt>
                <c:pt idx="45">
                  <c:v>4.8178571428571431</c:v>
                </c:pt>
                <c:pt idx="46">
                  <c:v>3.0785714285714287</c:v>
                </c:pt>
                <c:pt idx="47">
                  <c:v>3.1541666666666668</c:v>
                </c:pt>
                <c:pt idx="48">
                  <c:v>6.9988095238095243</c:v>
                </c:pt>
                <c:pt idx="49">
                  <c:v>12.689285714285713</c:v>
                </c:pt>
                <c:pt idx="50">
                  <c:v>11.65952380952381</c:v>
                </c:pt>
                <c:pt idx="51">
                  <c:v>9.2511904761904766</c:v>
                </c:pt>
                <c:pt idx="52">
                  <c:v>9.2720238095238088</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9.7624999999999993</c:v>
                </c:pt>
                <c:pt idx="1">
                  <c:v>9.966666666666665</c:v>
                </c:pt>
                <c:pt idx="2">
                  <c:v>12.827380952380953</c:v>
                </c:pt>
                <c:pt idx="3">
                  <c:v>11.665277777777778</c:v>
                </c:pt>
                <c:pt idx="4">
                  <c:v>11.844642857142858</c:v>
                </c:pt>
                <c:pt idx="5">
                  <c:v>8.8458333333333332</c:v>
                </c:pt>
                <c:pt idx="6">
                  <c:v>6.4779761904761912</c:v>
                </c:pt>
                <c:pt idx="7">
                  <c:v>11.725</c:v>
                </c:pt>
                <c:pt idx="8">
                  <c:v>12.307142857142857</c:v>
                </c:pt>
                <c:pt idx="9">
                  <c:v>16.890476190476189</c:v>
                </c:pt>
                <c:pt idx="10">
                  <c:v>10.436309523809523</c:v>
                </c:pt>
                <c:pt idx="11">
                  <c:v>8.4922619047619037</c:v>
                </c:pt>
                <c:pt idx="12">
                  <c:v>15.120238095238095</c:v>
                </c:pt>
                <c:pt idx="13">
                  <c:v>24.073214285714283</c:v>
                </c:pt>
                <c:pt idx="14">
                  <c:v>11.783333333333333</c:v>
                </c:pt>
                <c:pt idx="15">
                  <c:v>3</c:v>
                </c:pt>
                <c:pt idx="16">
                  <c:v>3.1696428571428577</c:v>
                </c:pt>
                <c:pt idx="17">
                  <c:v>7.9678571428571425</c:v>
                </c:pt>
                <c:pt idx="18">
                  <c:v>4.2684523809523807</c:v>
                </c:pt>
                <c:pt idx="19">
                  <c:v>2.7982142857142858</c:v>
                </c:pt>
                <c:pt idx="20">
                  <c:v>2.5482142857142858</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generación'!$B$24:$C$24</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generación'!$D$23:$E$23</c:f>
              <c:strCache>
                <c:ptCount val="2"/>
                <c:pt idx="0">
                  <c:v>MAYO 2025</c:v>
                </c:pt>
                <c:pt idx="1">
                  <c:v>MAYO 2024</c:v>
                </c:pt>
              </c:strCache>
            </c:strRef>
          </c:cat>
          <c:val>
            <c:numRef>
              <c:f>'2. Oferta de generación'!$D$24:$E$24</c:f>
              <c:numCache>
                <c:formatCode>#,##0.0</c:formatCode>
                <c:ptCount val="2"/>
                <c:pt idx="0">
                  <c:v>5464.6608069999975</c:v>
                </c:pt>
                <c:pt idx="1">
                  <c:v>5161.3098199999986</c:v>
                </c:pt>
              </c:numCache>
            </c:numRef>
          </c:val>
          <c:extLst>
            <c:ext xmlns:c16="http://schemas.microsoft.com/office/drawing/2014/chart" uri="{C3380CC4-5D6E-409C-BE32-E72D297353CC}">
              <c16:uniqueId val="{00000004-54B0-402D-913D-0304413B844F}"/>
            </c:ext>
          </c:extLst>
        </c:ser>
        <c:ser>
          <c:idx val="1"/>
          <c:order val="1"/>
          <c:tx>
            <c:strRef>
              <c:f>'2. Oferta de generación'!$B$25:$C$25</c:f>
              <c:strCache>
                <c:ptCount val="2"/>
                <c:pt idx="0">
                  <c:v>TERMOELÉCTRICA</c:v>
                </c:pt>
              </c:strCache>
            </c:strRef>
          </c:tx>
          <c:spPr>
            <a:solidFill>
              <a:schemeClr val="accent2"/>
            </a:solidFill>
          </c:spPr>
          <c:invertIfNegative val="0"/>
          <c:cat>
            <c:strRef>
              <c:f>'2. Oferta de generación'!$D$23:$E$23</c:f>
              <c:strCache>
                <c:ptCount val="2"/>
                <c:pt idx="0">
                  <c:v>MAYO 2025</c:v>
                </c:pt>
                <c:pt idx="1">
                  <c:v>MAYO 2024</c:v>
                </c:pt>
              </c:strCache>
            </c:strRef>
          </c:cat>
          <c:val>
            <c:numRef>
              <c:f>'2. Oferta de generación'!$D$25:$E$25</c:f>
              <c:numCache>
                <c:formatCode>#,##0.0</c:formatCode>
                <c:ptCount val="2"/>
                <c:pt idx="0">
                  <c:v>7054.3537300000007</c:v>
                </c:pt>
                <c:pt idx="1">
                  <c:v>6954.3690200000001</c:v>
                </c:pt>
              </c:numCache>
            </c:numRef>
          </c:val>
          <c:extLst>
            <c:ext xmlns:c16="http://schemas.microsoft.com/office/drawing/2014/chart" uri="{C3380CC4-5D6E-409C-BE32-E72D297353CC}">
              <c16:uniqueId val="{00000005-54B0-402D-913D-0304413B844F}"/>
            </c:ext>
          </c:extLst>
        </c:ser>
        <c:ser>
          <c:idx val="2"/>
          <c:order val="2"/>
          <c:tx>
            <c:strRef>
              <c:f>'2. Oferta de generación'!$B$26:$C$26</c:f>
              <c:strCache>
                <c:ptCount val="2"/>
                <c:pt idx="0">
                  <c:v>EÓLICA</c:v>
                </c:pt>
              </c:strCache>
            </c:strRef>
          </c:tx>
          <c:spPr>
            <a:solidFill>
              <a:srgbClr val="6DA6D9"/>
            </a:solidFill>
          </c:spPr>
          <c:invertIfNegative val="0"/>
          <c:cat>
            <c:strRef>
              <c:f>'2. Oferta de generación'!$D$23:$E$23</c:f>
              <c:strCache>
                <c:ptCount val="2"/>
                <c:pt idx="0">
                  <c:v>MAYO 2025</c:v>
                </c:pt>
                <c:pt idx="1">
                  <c:v>MAYO 2024</c:v>
                </c:pt>
              </c:strCache>
            </c:strRef>
          </c:cat>
          <c:val>
            <c:numRef>
              <c:f>'2. Oferta de generación'!$D$26:$E$26</c:f>
              <c:numCache>
                <c:formatCode>#,##0.0</c:formatCode>
                <c:ptCount val="2"/>
                <c:pt idx="0">
                  <c:v>1021.3000000000001</c:v>
                </c:pt>
                <c:pt idx="1">
                  <c:v>1015.4</c:v>
                </c:pt>
              </c:numCache>
            </c:numRef>
          </c:val>
          <c:extLst>
            <c:ext xmlns:c16="http://schemas.microsoft.com/office/drawing/2014/chart" uri="{C3380CC4-5D6E-409C-BE32-E72D297353CC}">
              <c16:uniqueId val="{00000006-54B0-402D-913D-0304413B844F}"/>
            </c:ext>
          </c:extLst>
        </c:ser>
        <c:ser>
          <c:idx val="3"/>
          <c:order val="3"/>
          <c:tx>
            <c:strRef>
              <c:f>'2. Oferta de generación'!$B$27:$C$27</c:f>
              <c:strCache>
                <c:ptCount val="2"/>
                <c:pt idx="0">
                  <c:v>SOLAR</c:v>
                </c:pt>
              </c:strCache>
            </c:strRef>
          </c:tx>
          <c:invertIfNegative val="0"/>
          <c:cat>
            <c:strRef>
              <c:f>'2. Oferta de generación'!$D$23:$E$23</c:f>
              <c:strCache>
                <c:ptCount val="2"/>
                <c:pt idx="0">
                  <c:v>MAYO 2025</c:v>
                </c:pt>
                <c:pt idx="1">
                  <c:v>MAYO 2024</c:v>
                </c:pt>
              </c:strCache>
            </c:strRef>
          </c:cat>
          <c:val>
            <c:numRef>
              <c:f>'2. Oferta de generación'!$D$27:$E$27</c:f>
              <c:numCache>
                <c:formatCode>#,##0.0</c:formatCode>
                <c:ptCount val="2"/>
                <c:pt idx="0">
                  <c:v>477.755</c:v>
                </c:pt>
                <c:pt idx="1">
                  <c:v>397.82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2022</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pt idx="43" formatCode="General">
                  <c:v>13.80711320754717</c:v>
                </c:pt>
                <c:pt idx="44">
                  <c:v>21.247549230769231</c:v>
                </c:pt>
                <c:pt idx="45">
                  <c:v>24.397706545454543</c:v>
                </c:pt>
                <c:pt idx="46">
                  <c:v>17.730064516129033</c:v>
                </c:pt>
                <c:pt idx="47">
                  <c:v>30.286987457627117</c:v>
                </c:pt>
                <c:pt idx="48">
                  <c:v>37.649666956521735</c:v>
                </c:pt>
                <c:pt idx="49">
                  <c:v>38.216720562500001</c:v>
                </c:pt>
                <c:pt idx="50">
                  <c:v>55.853167264957264</c:v>
                </c:pt>
                <c:pt idx="51">
                  <c:v>46.466699708029196</c:v>
                </c:pt>
                <c:pt idx="52">
                  <c:v>42.405718484848485</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81.709419876543208</c:v>
                </c:pt>
                <c:pt idx="1">
                  <c:v>50.203965217391307</c:v>
                </c:pt>
                <c:pt idx="2">
                  <c:v>45.818493827160495</c:v>
                </c:pt>
                <c:pt idx="3">
                  <c:v>50.606926829268296</c:v>
                </c:pt>
                <c:pt idx="4">
                  <c:v>84.394737804878048</c:v>
                </c:pt>
                <c:pt idx="5">
                  <c:v>97.784104938271597</c:v>
                </c:pt>
                <c:pt idx="6">
                  <c:v>126.87994927536232</c:v>
                </c:pt>
                <c:pt idx="7">
                  <c:v>142.40980487804879</c:v>
                </c:pt>
                <c:pt idx="8">
                  <c:v>124.52673049645388</c:v>
                </c:pt>
                <c:pt idx="9">
                  <c:v>76.23312962962963</c:v>
                </c:pt>
                <c:pt idx="10">
                  <c:v>82.261938271604933</c:v>
                </c:pt>
                <c:pt idx="11">
                  <c:v>70.557218181818186</c:v>
                </c:pt>
                <c:pt idx="12">
                  <c:v>89.316006060606057</c:v>
                </c:pt>
                <c:pt idx="13">
                  <c:v>74.509130434782605</c:v>
                </c:pt>
                <c:pt idx="14">
                  <c:v>28.539903680981595</c:v>
                </c:pt>
                <c:pt idx="15">
                  <c:v>20.086570060240962</c:v>
                </c:pt>
                <c:pt idx="16">
                  <c:v>29.461481481481481</c:v>
                </c:pt>
                <c:pt idx="17">
                  <c:v>39.092439759036147</c:v>
                </c:pt>
                <c:pt idx="18">
                  <c:v>31.427035928143713</c:v>
                </c:pt>
                <c:pt idx="19">
                  <c:v>27.213303614457832</c:v>
                </c:pt>
                <c:pt idx="20">
                  <c:v>26.100158598726114</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2022</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pt idx="43" formatCode="General">
                  <c:v>21.387031666666665</c:v>
                </c:pt>
                <c:pt idx="44">
                  <c:v>17.947266428571428</c:v>
                </c:pt>
                <c:pt idx="45">
                  <c:v>45.869066547619049</c:v>
                </c:pt>
                <c:pt idx="46">
                  <c:v>45.121723333333328</c:v>
                </c:pt>
                <c:pt idx="47">
                  <c:v>49.876342678571433</c:v>
                </c:pt>
                <c:pt idx="48">
                  <c:v>40.876785119047625</c:v>
                </c:pt>
                <c:pt idx="49">
                  <c:v>44.160467797619049</c:v>
                </c:pt>
                <c:pt idx="50">
                  <c:v>71.789236547619041</c:v>
                </c:pt>
                <c:pt idx="51">
                  <c:v>51.125195059523811</c:v>
                </c:pt>
                <c:pt idx="52">
                  <c:v>43.548742976190482</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65.894647083333339</c:v>
                </c:pt>
                <c:pt idx="1">
                  <c:v>47.158423749999997</c:v>
                </c:pt>
                <c:pt idx="2">
                  <c:v>51.663300299757623</c:v>
                </c:pt>
                <c:pt idx="3">
                  <c:v>47.207325952380948</c:v>
                </c:pt>
                <c:pt idx="4">
                  <c:v>47.265305476190477</c:v>
                </c:pt>
                <c:pt idx="5">
                  <c:v>69.041706973443226</c:v>
                </c:pt>
                <c:pt idx="6">
                  <c:v>80.615868125000006</c:v>
                </c:pt>
                <c:pt idx="7">
                  <c:v>92.14778011904761</c:v>
                </c:pt>
                <c:pt idx="8">
                  <c:v>118.59204756944445</c:v>
                </c:pt>
                <c:pt idx="9">
                  <c:v>131.41592422619047</c:v>
                </c:pt>
                <c:pt idx="10">
                  <c:v>144.99574345238094</c:v>
                </c:pt>
                <c:pt idx="11">
                  <c:v>90.90168083333333</c:v>
                </c:pt>
                <c:pt idx="12">
                  <c:v>83.277038333333323</c:v>
                </c:pt>
                <c:pt idx="13">
                  <c:v>101.17493678571428</c:v>
                </c:pt>
                <c:pt idx="14">
                  <c:v>88.626130892857134</c:v>
                </c:pt>
                <c:pt idx="15">
                  <c:v>65.774306011904756</c:v>
                </c:pt>
                <c:pt idx="16">
                  <c:v>57.720653988095236</c:v>
                </c:pt>
                <c:pt idx="17">
                  <c:v>57.091101488095241</c:v>
                </c:pt>
                <c:pt idx="18">
                  <c:v>52.04328410714286</c:v>
                </c:pt>
                <c:pt idx="19">
                  <c:v>38.457882976190476</c:v>
                </c:pt>
                <c:pt idx="20">
                  <c:v>34.851854285714282</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2022</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pt idx="43" formatCode="General">
                  <c:v>46.310196428571423</c:v>
                </c:pt>
                <c:pt idx="44">
                  <c:v>60.387482142857145</c:v>
                </c:pt>
                <c:pt idx="45">
                  <c:v>52.254172619047615</c:v>
                </c:pt>
                <c:pt idx="46">
                  <c:v>45.114255952380951</c:v>
                </c:pt>
                <c:pt idx="47">
                  <c:v>74.079982142857133</c:v>
                </c:pt>
                <c:pt idx="48">
                  <c:v>96.931940476190476</c:v>
                </c:pt>
                <c:pt idx="49">
                  <c:v>101.34713888888889</c:v>
                </c:pt>
                <c:pt idx="50">
                  <c:v>102.51620833333332</c:v>
                </c:pt>
                <c:pt idx="51">
                  <c:v>102.05110714285713</c:v>
                </c:pt>
                <c:pt idx="52">
                  <c:v>138.97197023809522</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217.47739285714283</c:v>
                </c:pt>
                <c:pt idx="1">
                  <c:v>124.40014285714285</c:v>
                </c:pt>
                <c:pt idx="2">
                  <c:v>95.204273809523812</c:v>
                </c:pt>
                <c:pt idx="3">
                  <c:v>104.69656944444445</c:v>
                </c:pt>
                <c:pt idx="4">
                  <c:v>179.81583928571428</c:v>
                </c:pt>
                <c:pt idx="5">
                  <c:v>278.24124404761903</c:v>
                </c:pt>
                <c:pt idx="6">
                  <c:v>327.07780357142855</c:v>
                </c:pt>
                <c:pt idx="7">
                  <c:v>360.37261309523802</c:v>
                </c:pt>
                <c:pt idx="8">
                  <c:v>410.81005952380957</c:v>
                </c:pt>
                <c:pt idx="9">
                  <c:v>294.47723809523808</c:v>
                </c:pt>
                <c:pt idx="10">
                  <c:v>330.1411845238095</c:v>
                </c:pt>
                <c:pt idx="11">
                  <c:v>228.71362500000001</c:v>
                </c:pt>
                <c:pt idx="12">
                  <c:v>372.04590476190475</c:v>
                </c:pt>
                <c:pt idx="13">
                  <c:v>250.60123214285713</c:v>
                </c:pt>
                <c:pt idx="14">
                  <c:v>195.83966666666666</c:v>
                </c:pt>
                <c:pt idx="15">
                  <c:v>155.14683333333332</c:v>
                </c:pt>
                <c:pt idx="16">
                  <c:v>181.37935714285715</c:v>
                </c:pt>
                <c:pt idx="17">
                  <c:v>169.79479761904761</c:v>
                </c:pt>
                <c:pt idx="18">
                  <c:v>85.287940476190471</c:v>
                </c:pt>
                <c:pt idx="19">
                  <c:v>65.997791666666672</c:v>
                </c:pt>
                <c:pt idx="20">
                  <c:v>55.290011904761904</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2022</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pt idx="43" formatCode="General">
                  <c:v>2.6654047619047621</c:v>
                </c:pt>
                <c:pt idx="44">
                  <c:v>2.5789523809523809</c:v>
                </c:pt>
                <c:pt idx="45">
                  <c:v>2.0100297619047618</c:v>
                </c:pt>
                <c:pt idx="46">
                  <c:v>2.051714285714286</c:v>
                </c:pt>
                <c:pt idx="47">
                  <c:v>2.5101726190476192</c:v>
                </c:pt>
                <c:pt idx="48">
                  <c:v>4.0547559523809529</c:v>
                </c:pt>
                <c:pt idx="49">
                  <c:v>6.4543125000000003</c:v>
                </c:pt>
                <c:pt idx="50">
                  <c:v>7.5661726190476193</c:v>
                </c:pt>
                <c:pt idx="51">
                  <c:v>18.812565476190475</c:v>
                </c:pt>
                <c:pt idx="52">
                  <c:v>96.839315476190464</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95.694821428571416</c:v>
                </c:pt>
                <c:pt idx="1">
                  <c:v>60.187053571428564</c:v>
                </c:pt>
                <c:pt idx="2">
                  <c:v>27.363720238095237</c:v>
                </c:pt>
                <c:pt idx="3">
                  <c:v>24.282652777777777</c:v>
                </c:pt>
                <c:pt idx="4">
                  <c:v>84.200863095238077</c:v>
                </c:pt>
                <c:pt idx="5">
                  <c:v>171.03647619047618</c:v>
                </c:pt>
                <c:pt idx="6">
                  <c:v>88.797761904761899</c:v>
                </c:pt>
                <c:pt idx="7">
                  <c:v>208.56799404761904</c:v>
                </c:pt>
                <c:pt idx="8">
                  <c:v>159.35308333333333</c:v>
                </c:pt>
                <c:pt idx="9">
                  <c:v>73.341916666666663</c:v>
                </c:pt>
                <c:pt idx="10">
                  <c:v>170.56931547619047</c:v>
                </c:pt>
                <c:pt idx="11">
                  <c:v>119.36090476190475</c:v>
                </c:pt>
                <c:pt idx="12">
                  <c:v>216.81592857142854</c:v>
                </c:pt>
                <c:pt idx="13">
                  <c:v>170.68872023809521</c:v>
                </c:pt>
                <c:pt idx="14">
                  <c:v>100.61518452380952</c:v>
                </c:pt>
                <c:pt idx="15">
                  <c:v>78.608035714285705</c:v>
                </c:pt>
                <c:pt idx="16">
                  <c:v>131.15575595238096</c:v>
                </c:pt>
                <c:pt idx="17">
                  <c:v>164.35723809523807</c:v>
                </c:pt>
                <c:pt idx="18">
                  <c:v>58.39575</c:v>
                </c:pt>
                <c:pt idx="19">
                  <c:v>45.982577380952378</c:v>
                </c:pt>
                <c:pt idx="20">
                  <c:v>28.959404761904761</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2022</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pt idx="43" formatCode="General">
                  <c:v>1.338857142857143</c:v>
                </c:pt>
                <c:pt idx="44">
                  <c:v>1.1362857142857143</c:v>
                </c:pt>
                <c:pt idx="45">
                  <c:v>1.3367142857142857</c:v>
                </c:pt>
                <c:pt idx="46">
                  <c:v>1.235857142857143</c:v>
                </c:pt>
                <c:pt idx="47">
                  <c:v>1.7508333333333332</c:v>
                </c:pt>
                <c:pt idx="48">
                  <c:v>1.7592857142857143</c:v>
                </c:pt>
                <c:pt idx="49">
                  <c:v>1.3351428571428572</c:v>
                </c:pt>
                <c:pt idx="50">
                  <c:v>1.5354285714285716</c:v>
                </c:pt>
                <c:pt idx="51">
                  <c:v>1.5554285714285716</c:v>
                </c:pt>
                <c:pt idx="52">
                  <c:v>1.4633</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2.2077142857142857</c:v>
                </c:pt>
                <c:pt idx="1">
                  <c:v>1.5207142857142857</c:v>
                </c:pt>
                <c:pt idx="2">
                  <c:v>4.088857142857143</c:v>
                </c:pt>
                <c:pt idx="3">
                  <c:v>11.140857142857142</c:v>
                </c:pt>
                <c:pt idx="4">
                  <c:v>5.9905714285714291</c:v>
                </c:pt>
                <c:pt idx="5">
                  <c:v>8.7311428571428564</c:v>
                </c:pt>
                <c:pt idx="6">
                  <c:v>24.413857142857143</c:v>
                </c:pt>
                <c:pt idx="7">
                  <c:v>9.0441714285714294</c:v>
                </c:pt>
                <c:pt idx="8">
                  <c:v>10.514285714285714</c:v>
                </c:pt>
                <c:pt idx="9">
                  <c:v>11.743285714285713</c:v>
                </c:pt>
                <c:pt idx="10">
                  <c:v>7.5498571428571433</c:v>
                </c:pt>
                <c:pt idx="11">
                  <c:v>4.6092571428571434</c:v>
                </c:pt>
                <c:pt idx="12">
                  <c:v>2.7965714285714287</c:v>
                </c:pt>
                <c:pt idx="13">
                  <c:v>3.1478571428571431</c:v>
                </c:pt>
                <c:pt idx="14">
                  <c:v>2.0779999999999998</c:v>
                </c:pt>
                <c:pt idx="15">
                  <c:v>2.0594285714285716</c:v>
                </c:pt>
                <c:pt idx="16">
                  <c:v>1.6194285714285714</c:v>
                </c:pt>
                <c:pt idx="17">
                  <c:v>1.3904285714285716</c:v>
                </c:pt>
                <c:pt idx="18">
                  <c:v>1.6111428571428572</c:v>
                </c:pt>
                <c:pt idx="19">
                  <c:v>1.5041428571428572</c:v>
                </c:pt>
                <c:pt idx="20">
                  <c:v>1.5042857142857142</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2022</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pt idx="43" formatCode="General">
                  <c:v>7.3621114285714295</c:v>
                </c:pt>
                <c:pt idx="44">
                  <c:v>7.3020442857142855</c:v>
                </c:pt>
                <c:pt idx="45">
                  <c:v>7.4222357142857138</c:v>
                </c:pt>
                <c:pt idx="46">
                  <c:v>7.4695923809523812</c:v>
                </c:pt>
                <c:pt idx="47">
                  <c:v>15.011999047619048</c:v>
                </c:pt>
                <c:pt idx="48">
                  <c:v>14.967857142857142</c:v>
                </c:pt>
                <c:pt idx="49">
                  <c:v>15.783928095238094</c:v>
                </c:pt>
                <c:pt idx="50">
                  <c:v>24.151787142857142</c:v>
                </c:pt>
                <c:pt idx="51">
                  <c:v>18.613691428571428</c:v>
                </c:pt>
                <c:pt idx="52">
                  <c:v>22.339185714285712</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29.299405714285715</c:v>
                </c:pt>
                <c:pt idx="1">
                  <c:v>20.934522857142856</c:v>
                </c:pt>
                <c:pt idx="2">
                  <c:v>19.824404761904759</c:v>
                </c:pt>
                <c:pt idx="3">
                  <c:v>22.567499999999999</c:v>
                </c:pt>
                <c:pt idx="4">
                  <c:v>27.892855238095237</c:v>
                </c:pt>
                <c:pt idx="5">
                  <c:v>32.130357142857143</c:v>
                </c:pt>
                <c:pt idx="6">
                  <c:v>31.149305555555554</c:v>
                </c:pt>
                <c:pt idx="7">
                  <c:v>36.467025238095239</c:v>
                </c:pt>
                <c:pt idx="8">
                  <c:v>37.32010571428571</c:v>
                </c:pt>
                <c:pt idx="9">
                  <c:v>27.896442857142855</c:v>
                </c:pt>
                <c:pt idx="10">
                  <c:v>30.233334285714285</c:v>
                </c:pt>
                <c:pt idx="11">
                  <c:v>24.166139999999999</c:v>
                </c:pt>
                <c:pt idx="12">
                  <c:v>31.47266619047619</c:v>
                </c:pt>
                <c:pt idx="13">
                  <c:v>25.730500476190475</c:v>
                </c:pt>
                <c:pt idx="14">
                  <c:v>19.497046666666666</c:v>
                </c:pt>
                <c:pt idx="15">
                  <c:v>17.059524285714286</c:v>
                </c:pt>
                <c:pt idx="16">
                  <c:v>19.067261428571431</c:v>
                </c:pt>
                <c:pt idx="17">
                  <c:v>23.271687619047619</c:v>
                </c:pt>
                <c:pt idx="18">
                  <c:v>16.73065714285714</c:v>
                </c:pt>
                <c:pt idx="19">
                  <c:v>14.867262857142856</c:v>
                </c:pt>
                <c:pt idx="20">
                  <c:v>14.141667142857143</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2022</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pt idx="43" formatCode="General">
                  <c:v>46.504821428571432</c:v>
                </c:pt>
                <c:pt idx="44">
                  <c:v>42.21422619047619</c:v>
                </c:pt>
                <c:pt idx="45">
                  <c:v>49.383749999999999</c:v>
                </c:pt>
                <c:pt idx="46">
                  <c:v>128.9372619047619</c:v>
                </c:pt>
                <c:pt idx="47">
                  <c:v>131.65976190476189</c:v>
                </c:pt>
                <c:pt idx="48">
                  <c:v>110.02577380952381</c:v>
                </c:pt>
                <c:pt idx="49">
                  <c:v>125.49315476190476</c:v>
                </c:pt>
                <c:pt idx="50">
                  <c:v>137.36000000000001</c:v>
                </c:pt>
                <c:pt idx="51">
                  <c:v>135.13261904761904</c:v>
                </c:pt>
                <c:pt idx="52">
                  <c:v>82.645178571428573</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224.255</c:v>
                </c:pt>
                <c:pt idx="1">
                  <c:v>280.94928571428568</c:v>
                </c:pt>
                <c:pt idx="2">
                  <c:v>302.52779761904765</c:v>
                </c:pt>
                <c:pt idx="3">
                  <c:v>291.01238095238091</c:v>
                </c:pt>
                <c:pt idx="4">
                  <c:v>294.27375000000001</c:v>
                </c:pt>
                <c:pt idx="5">
                  <c:v>322.73059523809525</c:v>
                </c:pt>
                <c:pt idx="6">
                  <c:v>477.48410714285711</c:v>
                </c:pt>
                <c:pt idx="7">
                  <c:v>377.81821428571425</c:v>
                </c:pt>
                <c:pt idx="8">
                  <c:v>403.83714285714285</c:v>
                </c:pt>
                <c:pt idx="9">
                  <c:v>588.50059523809523</c:v>
                </c:pt>
                <c:pt idx="10">
                  <c:v>458.52749999999997</c:v>
                </c:pt>
                <c:pt idx="11">
                  <c:v>278.10660714285711</c:v>
                </c:pt>
                <c:pt idx="12">
                  <c:v>298.38720238095237</c:v>
                </c:pt>
                <c:pt idx="13">
                  <c:v>278.63595238095235</c:v>
                </c:pt>
                <c:pt idx="14">
                  <c:v>185.25446428571428</c:v>
                </c:pt>
                <c:pt idx="15">
                  <c:v>145.25005952380951</c:v>
                </c:pt>
                <c:pt idx="16">
                  <c:v>111.23160714285714</c:v>
                </c:pt>
                <c:pt idx="17">
                  <c:v>104.2897619047619</c:v>
                </c:pt>
                <c:pt idx="18">
                  <c:v>90.11565476190475</c:v>
                </c:pt>
                <c:pt idx="19">
                  <c:v>69.607857142857142</c:v>
                </c:pt>
                <c:pt idx="20">
                  <c:v>66.521785714285713</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2022</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pt idx="43" formatCode="General">
                  <c:v>45.67944130952381</c:v>
                </c:pt>
                <c:pt idx="44">
                  <c:v>27.135380535714283</c:v>
                </c:pt>
                <c:pt idx="45">
                  <c:v>104.57784809523808</c:v>
                </c:pt>
                <c:pt idx="46">
                  <c:v>109.90070833333331</c:v>
                </c:pt>
                <c:pt idx="47">
                  <c:v>169.32457738095238</c:v>
                </c:pt>
                <c:pt idx="48">
                  <c:v>142.88656005952379</c:v>
                </c:pt>
                <c:pt idx="49">
                  <c:v>135.75480071428572</c:v>
                </c:pt>
                <c:pt idx="50">
                  <c:v>290.37373559523809</c:v>
                </c:pt>
                <c:pt idx="51">
                  <c:v>147.41092499999999</c:v>
                </c:pt>
                <c:pt idx="52">
                  <c:v>117.17616732142857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201.61364880952382</c:v>
                </c:pt>
                <c:pt idx="1">
                  <c:v>145.3066975595238</c:v>
                </c:pt>
                <c:pt idx="2">
                  <c:v>173.61822184523808</c:v>
                </c:pt>
                <c:pt idx="3">
                  <c:v>164.86864404761903</c:v>
                </c:pt>
                <c:pt idx="4">
                  <c:v>214.43275595238092</c:v>
                </c:pt>
                <c:pt idx="5">
                  <c:v>300.66753571428569</c:v>
                </c:pt>
                <c:pt idx="6">
                  <c:v>359.03563095238093</c:v>
                </c:pt>
                <c:pt idx="7">
                  <c:v>374.64655357142857</c:v>
                </c:pt>
                <c:pt idx="8">
                  <c:v>462.65977380952376</c:v>
                </c:pt>
                <c:pt idx="9">
                  <c:v>416.63458928571424</c:v>
                </c:pt>
                <c:pt idx="10">
                  <c:v>419.39736309523801</c:v>
                </c:pt>
                <c:pt idx="11">
                  <c:v>270.59588690476187</c:v>
                </c:pt>
                <c:pt idx="12">
                  <c:v>274.56377380952381</c:v>
                </c:pt>
                <c:pt idx="13">
                  <c:v>292.74074404761905</c:v>
                </c:pt>
                <c:pt idx="14">
                  <c:v>216.44545238095239</c:v>
                </c:pt>
                <c:pt idx="15">
                  <c:v>181.32738095238093</c:v>
                </c:pt>
                <c:pt idx="16">
                  <c:v>163.70576190476189</c:v>
                </c:pt>
                <c:pt idx="17">
                  <c:v>184.32314880952379</c:v>
                </c:pt>
                <c:pt idx="18">
                  <c:v>135.77326785714286</c:v>
                </c:pt>
                <c:pt idx="19">
                  <c:v>104.29807738095238</c:v>
                </c:pt>
                <c:pt idx="20">
                  <c:v>95.224011904761895</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2022</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pt idx="43" formatCode="General">
                  <c:v>8.9763888888888896</c:v>
                </c:pt>
                <c:pt idx="44">
                  <c:v>8.6154761904761887</c:v>
                </c:pt>
                <c:pt idx="45">
                  <c:v>10.053571428571429</c:v>
                </c:pt>
                <c:pt idx="46">
                  <c:v>10.65952380952381</c:v>
                </c:pt>
                <c:pt idx="47">
                  <c:v>18.882738095238093</c:v>
                </c:pt>
                <c:pt idx="48">
                  <c:v>40.543452380952374</c:v>
                </c:pt>
                <c:pt idx="49">
                  <c:v>24.372619047619047</c:v>
                </c:pt>
                <c:pt idx="50">
                  <c:v>38.110119047619044</c:v>
                </c:pt>
                <c:pt idx="51">
                  <c:v>41.962499999999999</c:v>
                </c:pt>
                <c:pt idx="52">
                  <c:v>66.112499999999997</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95.520833333333329</c:v>
                </c:pt>
                <c:pt idx="1">
                  <c:v>55.897023809523809</c:v>
                </c:pt>
                <c:pt idx="2">
                  <c:v>41.173214285714288</c:v>
                </c:pt>
                <c:pt idx="3">
                  <c:v>78.73571428571428</c:v>
                </c:pt>
                <c:pt idx="4">
                  <c:v>81.427380952380943</c:v>
                </c:pt>
                <c:pt idx="5">
                  <c:v>117.07083333333333</c:v>
                </c:pt>
                <c:pt idx="6">
                  <c:v>137.12261904761905</c:v>
                </c:pt>
                <c:pt idx="7">
                  <c:v>210.72916666666666</c:v>
                </c:pt>
                <c:pt idx="8">
                  <c:v>202.9160714285714</c:v>
                </c:pt>
                <c:pt idx="9">
                  <c:v>176.63095238095238</c:v>
                </c:pt>
                <c:pt idx="10">
                  <c:v>170.98690476190475</c:v>
                </c:pt>
                <c:pt idx="11">
                  <c:v>111.31190476190476</c:v>
                </c:pt>
                <c:pt idx="12">
                  <c:v>214.96250000000001</c:v>
                </c:pt>
                <c:pt idx="13">
                  <c:v>193.9785714285714</c:v>
                </c:pt>
                <c:pt idx="14">
                  <c:v>104.60059523809522</c:v>
                </c:pt>
                <c:pt idx="15">
                  <c:v>71.409523809523805</c:v>
                </c:pt>
                <c:pt idx="16">
                  <c:v>68.30952380952381</c:v>
                </c:pt>
                <c:pt idx="17">
                  <c:v>86.354166666666657</c:v>
                </c:pt>
                <c:pt idx="18">
                  <c:v>54.758333333333326</c:v>
                </c:pt>
                <c:pt idx="19">
                  <c:v>39.25595238095238</c:v>
                </c:pt>
                <c:pt idx="20">
                  <c:v>32.411904761904765</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pt idx="43">
                  <c:v>0.308</c:v>
                </c:pt>
                <c:pt idx="44">
                  <c:v>0.308</c:v>
                </c:pt>
                <c:pt idx="45">
                  <c:v>0.308</c:v>
                </c:pt>
                <c:pt idx="46">
                  <c:v>0.308</c:v>
                </c:pt>
                <c:pt idx="47">
                  <c:v>0.308</c:v>
                </c:pt>
                <c:pt idx="48">
                  <c:v>0.308</c:v>
                </c:pt>
                <c:pt idx="49">
                  <c:v>0.308</c:v>
                </c:pt>
                <c:pt idx="50">
                  <c:v>0.308</c:v>
                </c:pt>
                <c:pt idx="51">
                  <c:v>0.308</c:v>
                </c:pt>
                <c:pt idx="52">
                  <c:v>0.308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666558558546975E-2"/>
          <c:y val="0.1700925123384889"/>
          <c:w val="0.91091946863971984"/>
          <c:h val="7.948415254197056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2023</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13899.929987617501</c:v>
                </c:pt>
                <c:pt idx="1">
                  <c:v>9248.4286917725003</c:v>
                </c:pt>
                <c:pt idx="2">
                  <c:v>789.94336493499998</c:v>
                </c:pt>
                <c:pt idx="3">
                  <c:v>307.86532708750002</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2024</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15326.785117079999</c:v>
                </c:pt>
                <c:pt idx="1">
                  <c:v>7757.0083669175001</c:v>
                </c:pt>
                <c:pt idx="2">
                  <c:v>1428.3066700475001</c:v>
                </c:pt>
                <c:pt idx="3">
                  <c:v>460.44591376249997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2025</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15904.9683447475</c:v>
                </c:pt>
                <c:pt idx="1">
                  <c:v>7462.720913905001</c:v>
                </c:pt>
                <c:pt idx="2">
                  <c:v>1374.54444603</c:v>
                </c:pt>
                <c:pt idx="3">
                  <c:v>798.04096376500001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2022</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pt idx="43" formatCode="General">
                  <c:v>62.035714285714285</c:v>
                </c:pt>
                <c:pt idx="44">
                  <c:v>43.160714285714285</c:v>
                </c:pt>
                <c:pt idx="45">
                  <c:v>84.678571428571416</c:v>
                </c:pt>
                <c:pt idx="46">
                  <c:v>126.86309523809523</c:v>
                </c:pt>
                <c:pt idx="47">
                  <c:v>126.81547619047618</c:v>
                </c:pt>
                <c:pt idx="48">
                  <c:v>100.17261904761905</c:v>
                </c:pt>
                <c:pt idx="49">
                  <c:v>120.10119047619047</c:v>
                </c:pt>
                <c:pt idx="50">
                  <c:v>151.67261904761904</c:v>
                </c:pt>
                <c:pt idx="51">
                  <c:v>104.0595238095238</c:v>
                </c:pt>
                <c:pt idx="52">
                  <c:v>90.422619047619051</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132.44047619047618</c:v>
                </c:pt>
                <c:pt idx="1">
                  <c:v>114.32142857142856</c:v>
                </c:pt>
                <c:pt idx="2">
                  <c:v>156.94642857142858</c:v>
                </c:pt>
                <c:pt idx="3">
                  <c:v>121.675</c:v>
                </c:pt>
                <c:pt idx="4">
                  <c:v>109.56547619047619</c:v>
                </c:pt>
                <c:pt idx="5">
                  <c:v>163.48214285714286</c:v>
                </c:pt>
                <c:pt idx="6">
                  <c:v>210.54166666666669</c:v>
                </c:pt>
                <c:pt idx="7">
                  <c:v>206.77976190476187</c:v>
                </c:pt>
                <c:pt idx="8">
                  <c:v>212.5297619047619</c:v>
                </c:pt>
                <c:pt idx="9">
                  <c:v>260.32142857142856</c:v>
                </c:pt>
                <c:pt idx="10">
                  <c:v>210.32738095238096</c:v>
                </c:pt>
                <c:pt idx="11">
                  <c:v>142.69642857142856</c:v>
                </c:pt>
                <c:pt idx="12">
                  <c:v>153.32738095238096</c:v>
                </c:pt>
                <c:pt idx="13">
                  <c:v>157</c:v>
                </c:pt>
                <c:pt idx="14">
                  <c:v>128.89285714285714</c:v>
                </c:pt>
                <c:pt idx="15">
                  <c:v>106.28571428571429</c:v>
                </c:pt>
                <c:pt idx="16">
                  <c:v>106.19642857142856</c:v>
                </c:pt>
                <c:pt idx="17">
                  <c:v>94.00595238095238</c:v>
                </c:pt>
                <c:pt idx="18">
                  <c:v>85.738095238095241</c:v>
                </c:pt>
                <c:pt idx="19">
                  <c:v>60.934523809523803</c:v>
                </c:pt>
                <c:pt idx="20">
                  <c:v>61.928571428571431</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2022</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pt idx="43" formatCode="General">
                  <c:v>12.630892857142857</c:v>
                </c:pt>
                <c:pt idx="44">
                  <c:v>11.841726190476189</c:v>
                </c:pt>
                <c:pt idx="45">
                  <c:v>13.290714285714287</c:v>
                </c:pt>
                <c:pt idx="46">
                  <c:v>46.866428571428571</c:v>
                </c:pt>
                <c:pt idx="47">
                  <c:v>43.280972222222225</c:v>
                </c:pt>
                <c:pt idx="48">
                  <c:v>33.165654761904761</c:v>
                </c:pt>
                <c:pt idx="49">
                  <c:v>49.125476190476185</c:v>
                </c:pt>
                <c:pt idx="50">
                  <c:v>22.373595238095238</c:v>
                </c:pt>
                <c:pt idx="51">
                  <c:v>26.866309523809523</c:v>
                </c:pt>
                <c:pt idx="52">
                  <c:v>21.950119047619047</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65.462916666666672</c:v>
                </c:pt>
                <c:pt idx="1">
                  <c:v>75.157380952380947</c:v>
                </c:pt>
                <c:pt idx="2">
                  <c:v>57.009285714285717</c:v>
                </c:pt>
                <c:pt idx="3">
                  <c:v>61.917142857142856</c:v>
                </c:pt>
                <c:pt idx="4">
                  <c:v>76.744652777777773</c:v>
                </c:pt>
                <c:pt idx="5">
                  <c:v>89.511666666666656</c:v>
                </c:pt>
                <c:pt idx="6">
                  <c:v>109.69184523809523</c:v>
                </c:pt>
                <c:pt idx="7">
                  <c:v>81.494285714285709</c:v>
                </c:pt>
                <c:pt idx="8">
                  <c:v>103.60339285714285</c:v>
                </c:pt>
                <c:pt idx="9">
                  <c:v>138.84595238095238</c:v>
                </c:pt>
                <c:pt idx="10">
                  <c:v>96.498511904761898</c:v>
                </c:pt>
                <c:pt idx="11">
                  <c:v>62.056726190476191</c:v>
                </c:pt>
                <c:pt idx="12">
                  <c:v>65.945892857142866</c:v>
                </c:pt>
                <c:pt idx="13">
                  <c:v>56.782023809523807</c:v>
                </c:pt>
                <c:pt idx="14">
                  <c:v>53.252499999999998</c:v>
                </c:pt>
                <c:pt idx="15">
                  <c:v>40.331845238095241</c:v>
                </c:pt>
                <c:pt idx="16">
                  <c:v>27.989761904761902</c:v>
                </c:pt>
                <c:pt idx="17">
                  <c:v>21.338511904761905</c:v>
                </c:pt>
                <c:pt idx="18">
                  <c:v>21.387976190476188</c:v>
                </c:pt>
                <c:pt idx="19">
                  <c:v>18.509404761904761</c:v>
                </c:pt>
                <c:pt idx="20">
                  <c:v>16.53422619047619</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2022</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pt idx="43" formatCode="General">
                  <c:v>7.4309523809523812</c:v>
                </c:pt>
                <c:pt idx="44">
                  <c:v>6.3732142857142859</c:v>
                </c:pt>
                <c:pt idx="45">
                  <c:v>21.486904761904764</c:v>
                </c:pt>
                <c:pt idx="46">
                  <c:v>20.890476190476189</c:v>
                </c:pt>
                <c:pt idx="47">
                  <c:v>20.482738095238094</c:v>
                </c:pt>
                <c:pt idx="48">
                  <c:v>14.745833333333334</c:v>
                </c:pt>
                <c:pt idx="49">
                  <c:v>18.530952380952382</c:v>
                </c:pt>
                <c:pt idx="50">
                  <c:v>41.13928571428572</c:v>
                </c:pt>
                <c:pt idx="51">
                  <c:v>18.554761904761904</c:v>
                </c:pt>
                <c:pt idx="52">
                  <c:v>17.764285714285716</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25.172619047619047</c:v>
                </c:pt>
                <c:pt idx="1">
                  <c:v>18.363690476190477</c:v>
                </c:pt>
                <c:pt idx="2">
                  <c:v>24.808333333333334</c:v>
                </c:pt>
                <c:pt idx="3">
                  <c:v>19.094999999999999</c:v>
                </c:pt>
                <c:pt idx="4">
                  <c:v>17.520833333333332</c:v>
                </c:pt>
                <c:pt idx="5">
                  <c:v>49.701190476190476</c:v>
                </c:pt>
                <c:pt idx="6">
                  <c:v>48.957638888888887</c:v>
                </c:pt>
                <c:pt idx="7">
                  <c:v>50.75119047619048</c:v>
                </c:pt>
                <c:pt idx="8">
                  <c:v>58.129761904761899</c:v>
                </c:pt>
                <c:pt idx="9">
                  <c:v>85.607738095238091</c:v>
                </c:pt>
                <c:pt idx="10">
                  <c:v>62.149404761904762</c:v>
                </c:pt>
                <c:pt idx="11">
                  <c:v>45.172023809523807</c:v>
                </c:pt>
                <c:pt idx="12">
                  <c:v>35.578571428571429</c:v>
                </c:pt>
                <c:pt idx="13">
                  <c:v>46.553571428571431</c:v>
                </c:pt>
                <c:pt idx="14">
                  <c:v>30.706547619047615</c:v>
                </c:pt>
                <c:pt idx="15">
                  <c:v>28.054761904761904</c:v>
                </c:pt>
                <c:pt idx="16">
                  <c:v>22.351785714285715</c:v>
                </c:pt>
                <c:pt idx="17">
                  <c:v>22.760714285714283</c:v>
                </c:pt>
                <c:pt idx="18">
                  <c:v>22.682738095238093</c:v>
                </c:pt>
                <c:pt idx="19">
                  <c:v>15.272619047619049</c:v>
                </c:pt>
                <c:pt idx="20">
                  <c:v>14.341666666666667</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2022</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pt idx="43" formatCode="General">
                  <c:v>67.863810793650785</c:v>
                </c:pt>
                <c:pt idx="44">
                  <c:v>70.197649285714277</c:v>
                </c:pt>
                <c:pt idx="45">
                  <c:v>80.93083571428572</c:v>
                </c:pt>
                <c:pt idx="46">
                  <c:v>101.42934</c:v>
                </c:pt>
                <c:pt idx="47">
                  <c:v>148.29280428571428</c:v>
                </c:pt>
                <c:pt idx="48">
                  <c:v>188.66927714285714</c:v>
                </c:pt>
                <c:pt idx="49">
                  <c:v>185.97834714285713</c:v>
                </c:pt>
                <c:pt idx="50">
                  <c:v>423.4351871428571</c:v>
                </c:pt>
                <c:pt idx="51">
                  <c:v>358.33094</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2025</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523.61036000000001</c:v>
                </c:pt>
                <c:pt idx="1">
                  <c:v>321.32898999999998</c:v>
                </c:pt>
                <c:pt idx="2">
                  <c:v>269.22536142857143</c:v>
                </c:pt>
                <c:pt idx="3">
                  <c:v>337.02061464285714</c:v>
                </c:pt>
                <c:pt idx="4">
                  <c:v>416.02936142857141</c:v>
                </c:pt>
                <c:pt idx="5">
                  <c:v>606.23885714285711</c:v>
                </c:pt>
                <c:pt idx="6">
                  <c:v>774.12422666666669</c:v>
                </c:pt>
                <c:pt idx="7">
                  <c:v>857.9091957142856</c:v>
                </c:pt>
                <c:pt idx="8">
                  <c:v>929.46835738095228</c:v>
                </c:pt>
                <c:pt idx="9">
                  <c:v>1111.2430171428571</c:v>
                </c:pt>
                <c:pt idx="10">
                  <c:v>825.40722285714287</c:v>
                </c:pt>
                <c:pt idx="11">
                  <c:v>495.2901842857143</c:v>
                </c:pt>
                <c:pt idx="12">
                  <c:v>725.10825857142856</c:v>
                </c:pt>
                <c:pt idx="13">
                  <c:v>649.53569000000005</c:v>
                </c:pt>
                <c:pt idx="14">
                  <c:v>411.65102571428571</c:v>
                </c:pt>
                <c:pt idx="15">
                  <c:v>301.68192142857146</c:v>
                </c:pt>
                <c:pt idx="16">
                  <c:v>309.19820571428568</c:v>
                </c:pt>
                <c:pt idx="17">
                  <c:v>372.92649999999998</c:v>
                </c:pt>
                <c:pt idx="18">
                  <c:v>214.43473285714285</c:v>
                </c:pt>
                <c:pt idx="19">
                  <c:v>157.41842357142855</c:v>
                </c:pt>
                <c:pt idx="20">
                  <c:v>160.3487280952381</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'13.Caudales'!$DG$11</c:f>
              <c:strCache>
                <c:ptCount val="1"/>
                <c:pt idx="0">
                  <c:v>2022</c:v>
                </c:pt>
              </c:strCache>
            </c:strRef>
          </c:tx>
          <c:spPr>
            <a:ln w="25400">
              <a:solidFill>
                <a:srgbClr val="00B050"/>
              </a:solidFill>
            </a:ln>
          </c:spPr>
          <c:marker>
            <c:symbol val="square"/>
            <c:size val="4"/>
            <c:spPr>
              <a:solidFill>
                <a:srgbClr val="C00000"/>
              </a:solidFill>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0-5D31-4E79-9563-5919A4687789}"/>
            </c:ext>
          </c:extLst>
        </c:ser>
        <c:ser>
          <c:idx val="2"/>
          <c:order val="1"/>
          <c:tx>
            <c:strRef>
              <c:f>'13.Caudales'!$DH$11</c:f>
              <c:strCache>
                <c:ptCount val="1"/>
                <c:pt idx="0">
                  <c:v>2023</c:v>
                </c:pt>
              </c:strCache>
            </c:strRef>
          </c:tx>
          <c:spPr>
            <a:ln w="25400">
              <a:solidFill>
                <a:srgbClr val="0000FF"/>
              </a:solidFill>
            </a:ln>
          </c:spPr>
          <c:marker>
            <c:symbol val="circle"/>
            <c:size val="5"/>
            <c:spPr>
              <a:solidFill>
                <a:srgbClr val="92D050"/>
              </a:solidFill>
              <a:ln>
                <a:solidFill>
                  <a:srgbClr val="00B050"/>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'13.Caudales'!$DI$11</c:f>
              <c:strCache>
                <c:ptCount val="1"/>
                <c:pt idx="0">
                  <c:v>2024</c:v>
                </c:pt>
              </c:strCache>
            </c:strRef>
          </c:tx>
          <c:spPr>
            <a:ln>
              <a:solidFill>
                <a:schemeClr val="accent2"/>
              </a:solidFill>
            </a:ln>
          </c:spPr>
          <c:marker>
            <c:symbol val="circle"/>
            <c:size val="6"/>
            <c:spPr>
              <a:solidFill>
                <a:schemeClr val="accent1">
                  <a:lumMod val="50000"/>
                </a:schemeClr>
              </a:solidFill>
              <a:ln>
                <a:solidFill>
                  <a:srgbClr val="0000FF"/>
                </a:solidFill>
              </a:ln>
            </c:spPr>
          </c:marker>
          <c:dPt>
            <c:idx val="4"/>
            <c:bubble3D val="0"/>
            <c:spPr>
              <a:ln w="34925">
                <a:solidFill>
                  <a:schemeClr val="accent2"/>
                </a:solidFill>
              </a:ln>
            </c:spPr>
            <c:extLst>
              <c:ext xmlns:c16="http://schemas.microsoft.com/office/drawing/2014/chart" uri="{C3380CC4-5D6E-409C-BE32-E72D297353CC}">
                <c16:uniqueId val="{00000001-D0F9-459A-94A4-36C2A5B8E403}"/>
              </c:ext>
            </c:extLst>
          </c:dPt>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pt idx="43">
                  <c:v>1.3332857142857144</c:v>
                </c:pt>
                <c:pt idx="44">
                  <c:v>1.570587142857143</c:v>
                </c:pt>
                <c:pt idx="45">
                  <c:v>1.8371428571428572</c:v>
                </c:pt>
                <c:pt idx="46">
                  <c:v>2.0692857142857144</c:v>
                </c:pt>
                <c:pt idx="47">
                  <c:v>2.278</c:v>
                </c:pt>
                <c:pt idx="48">
                  <c:v>0.43742857142857144</c:v>
                </c:pt>
                <c:pt idx="49">
                  <c:v>0</c:v>
                </c:pt>
                <c:pt idx="50">
                  <c:v>0</c:v>
                </c:pt>
                <c:pt idx="51">
                  <c:v>0</c:v>
                </c:pt>
                <c:pt idx="52">
                  <c:v>0</c:v>
                </c:pt>
              </c:numCache>
            </c:numRef>
          </c:val>
          <c:smooth val="0"/>
          <c:extLst>
            <c:ext xmlns:c16="http://schemas.microsoft.com/office/drawing/2014/chart" uri="{C3380CC4-5D6E-409C-BE32-E72D297353CC}">
              <c16:uniqueId val="{00000002-5D31-4E79-9563-5919A4687789}"/>
            </c:ext>
          </c:extLst>
        </c:ser>
        <c:ser>
          <c:idx val="0"/>
          <c:order val="3"/>
          <c:tx>
            <c:strRef>
              <c:f>'13.Caudales'!$DJ$11</c:f>
              <c:strCache>
                <c:ptCount val="1"/>
                <c:pt idx="0">
                  <c:v>2025</c:v>
                </c:pt>
              </c:strCache>
            </c:strRef>
          </c:tx>
          <c:marker>
            <c:spPr>
              <a:solidFill>
                <a:schemeClr val="accent2"/>
              </a:solidFill>
              <a:ln>
                <a:solidFill>
                  <a:schemeClr val="accent2"/>
                </a:solidFill>
              </a:ln>
            </c:spPr>
          </c:marker>
          <c:cat>
            <c:numRef>
              <c:f>'13.Caudales'!$DF$12:$DF$64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'13.Caudales'!$DJ$12:$DJ$64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2022</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pt idx="43" formatCode="General">
                  <c:v>1.68</c:v>
                </c:pt>
                <c:pt idx="44">
                  <c:v>1.35</c:v>
                </c:pt>
                <c:pt idx="45">
                  <c:v>1.35</c:v>
                </c:pt>
                <c:pt idx="46">
                  <c:v>1.35</c:v>
                </c:pt>
                <c:pt idx="47">
                  <c:v>0.73285714285714287</c:v>
                </c:pt>
                <c:pt idx="48">
                  <c:v>0.63</c:v>
                </c:pt>
                <c:pt idx="49">
                  <c:v>0.6657142857142857</c:v>
                </c:pt>
                <c:pt idx="50">
                  <c:v>0.63</c:v>
                </c:pt>
                <c:pt idx="51">
                  <c:v>0.63</c:v>
                </c:pt>
                <c:pt idx="52">
                  <c:v>0.63</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_(* #,##0.00_);_(* \(#,##0.00\);_(* "-"??_);_(@_)</c:formatCode>
                <c:ptCount val="53"/>
                <c:pt idx="0">
                  <c:v>0.63</c:v>
                </c:pt>
                <c:pt idx="1">
                  <c:v>0.63</c:v>
                </c:pt>
                <c:pt idx="2">
                  <c:v>0.63</c:v>
                </c:pt>
                <c:pt idx="3">
                  <c:v>0.63</c:v>
                </c:pt>
                <c:pt idx="4">
                  <c:v>0.63</c:v>
                </c:pt>
                <c:pt idx="5">
                  <c:v>0.63</c:v>
                </c:pt>
                <c:pt idx="6">
                  <c:v>0.63</c:v>
                </c:pt>
                <c:pt idx="7">
                  <c:v>0.63</c:v>
                </c:pt>
                <c:pt idx="8">
                  <c:v>0.63</c:v>
                </c:pt>
                <c:pt idx="9">
                  <c:v>0.63</c:v>
                </c:pt>
                <c:pt idx="10">
                  <c:v>0.63</c:v>
                </c:pt>
                <c:pt idx="11">
                  <c:v>0.63</c:v>
                </c:pt>
                <c:pt idx="12">
                  <c:v>0.63</c:v>
                </c:pt>
                <c:pt idx="13">
                  <c:v>0.63</c:v>
                </c:pt>
                <c:pt idx="14">
                  <c:v>0.63</c:v>
                </c:pt>
                <c:pt idx="15">
                  <c:v>0.63</c:v>
                </c:pt>
                <c:pt idx="16">
                  <c:v>0.63</c:v>
                </c:pt>
                <c:pt idx="17">
                  <c:v>0.63</c:v>
                </c:pt>
                <c:pt idx="18">
                  <c:v>0.78714285714285714</c:v>
                </c:pt>
                <c:pt idx="19">
                  <c:v>1.73</c:v>
                </c:pt>
                <c:pt idx="20">
                  <c:v>1.73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2022</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pt idx="43" formatCode="General">
                  <c:v>12.765178571428571</c:v>
                </c:pt>
                <c:pt idx="44">
                  <c:v>12.822559523809524</c:v>
                </c:pt>
                <c:pt idx="45">
                  <c:v>12.748273809523811</c:v>
                </c:pt>
                <c:pt idx="46">
                  <c:v>12.787321428571428</c:v>
                </c:pt>
                <c:pt idx="47">
                  <c:v>12.898571428571428</c:v>
                </c:pt>
                <c:pt idx="48">
                  <c:v>12.657380952380951</c:v>
                </c:pt>
                <c:pt idx="49">
                  <c:v>12.706309523809523</c:v>
                </c:pt>
                <c:pt idx="50">
                  <c:v>12.748869047619047</c:v>
                </c:pt>
                <c:pt idx="51">
                  <c:v>12.679583333333333</c:v>
                </c:pt>
                <c:pt idx="52">
                  <c:v>11.83327380952381</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_(* #,##0.00_);_(* \(#,##0.00\);_(* "-"??_);_(@_)</c:formatCode>
                <c:ptCount val="53"/>
                <c:pt idx="0">
                  <c:v>10.659880952380952</c:v>
                </c:pt>
                <c:pt idx="1">
                  <c:v>10.985714285714286</c:v>
                </c:pt>
                <c:pt idx="2">
                  <c:v>11.73267857142857</c:v>
                </c:pt>
                <c:pt idx="3">
                  <c:v>10.965654761904762</c:v>
                </c:pt>
                <c:pt idx="4">
                  <c:v>14.874702380952382</c:v>
                </c:pt>
                <c:pt idx="5">
                  <c:v>16.32</c:v>
                </c:pt>
                <c:pt idx="6">
                  <c:v>20.844345238095237</c:v>
                </c:pt>
                <c:pt idx="7">
                  <c:v>21.203095238095237</c:v>
                </c:pt>
                <c:pt idx="8">
                  <c:v>23.617440476190474</c:v>
                </c:pt>
                <c:pt idx="9">
                  <c:v>23.425178571428571</c:v>
                </c:pt>
                <c:pt idx="10">
                  <c:v>23.931428571428572</c:v>
                </c:pt>
                <c:pt idx="11">
                  <c:v>19.208392857142858</c:v>
                </c:pt>
                <c:pt idx="12">
                  <c:v>23.013571428571428</c:v>
                </c:pt>
                <c:pt idx="13">
                  <c:v>23.282857142857143</c:v>
                </c:pt>
                <c:pt idx="14">
                  <c:v>23.913869047619045</c:v>
                </c:pt>
                <c:pt idx="15">
                  <c:v>18.317916666666665</c:v>
                </c:pt>
                <c:pt idx="16">
                  <c:v>14.359047619047619</c:v>
                </c:pt>
                <c:pt idx="17">
                  <c:v>11.589940476190478</c:v>
                </c:pt>
                <c:pt idx="18">
                  <c:v>13.643273809523809</c:v>
                </c:pt>
                <c:pt idx="19">
                  <c:v>12.553419404761904</c:v>
                </c:pt>
                <c:pt idx="20">
                  <c:v>11.957685892857143</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2022</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pt idx="43" formatCode="General">
                  <c:v>1.4147261904761905</c:v>
                </c:pt>
                <c:pt idx="44">
                  <c:v>1.4241726190476192</c:v>
                </c:pt>
                <c:pt idx="45">
                  <c:v>1.3263928571428572</c:v>
                </c:pt>
                <c:pt idx="46">
                  <c:v>1.4328809523809523</c:v>
                </c:pt>
                <c:pt idx="47">
                  <c:v>1.3944583333333334</c:v>
                </c:pt>
                <c:pt idx="48">
                  <c:v>1.3856845238095239</c:v>
                </c:pt>
                <c:pt idx="49">
                  <c:v>1.4567023809523809</c:v>
                </c:pt>
                <c:pt idx="50">
                  <c:v>1.4755773809523809</c:v>
                </c:pt>
                <c:pt idx="51">
                  <c:v>1.4059285714285714</c:v>
                </c:pt>
                <c:pt idx="52">
                  <c:v>1.4142261904761904</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_(* #,##0.00_);_(* \(#,##0.00\);_(* "-"??_);_(@_)</c:formatCode>
                <c:ptCount val="53"/>
                <c:pt idx="0">
                  <c:v>1.417875</c:v>
                </c:pt>
                <c:pt idx="1">
                  <c:v>1.5238809523809524</c:v>
                </c:pt>
                <c:pt idx="2">
                  <c:v>1.4956785714285716</c:v>
                </c:pt>
                <c:pt idx="3">
                  <c:v>1.5192321428571429</c:v>
                </c:pt>
                <c:pt idx="4">
                  <c:v>1.5303988095238097</c:v>
                </c:pt>
                <c:pt idx="5">
                  <c:v>1.5049642857142858</c:v>
                </c:pt>
                <c:pt idx="6">
                  <c:v>1.5916666666666668</c:v>
                </c:pt>
                <c:pt idx="7">
                  <c:v>1.5198690476190477</c:v>
                </c:pt>
                <c:pt idx="8">
                  <c:v>1.4859464285714286</c:v>
                </c:pt>
                <c:pt idx="9">
                  <c:v>1.4842380952380951</c:v>
                </c:pt>
                <c:pt idx="10">
                  <c:v>1.4797321428571428</c:v>
                </c:pt>
                <c:pt idx="11">
                  <c:v>1.4745357142857143</c:v>
                </c:pt>
                <c:pt idx="12">
                  <c:v>1.4894345238095239</c:v>
                </c:pt>
                <c:pt idx="13">
                  <c:v>1.4846845238095239</c:v>
                </c:pt>
                <c:pt idx="14">
                  <c:v>1.4881309523809525</c:v>
                </c:pt>
                <c:pt idx="15">
                  <c:v>1.4603809523809523</c:v>
                </c:pt>
                <c:pt idx="16">
                  <c:v>1.465672619047619</c:v>
                </c:pt>
                <c:pt idx="17">
                  <c:v>1.4477380952380954</c:v>
                </c:pt>
                <c:pt idx="18">
                  <c:v>1.4427559523809526</c:v>
                </c:pt>
                <c:pt idx="19">
                  <c:v>1.455845238095238</c:v>
                </c:pt>
                <c:pt idx="20">
                  <c:v>1.4548511904761905</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2022</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4.6622222222222218</c:v>
                </c:pt>
                <c:pt idx="1">
                  <c:v>8.1722222222222225</c:v>
                </c:pt>
                <c:pt idx="2">
                  <c:v>4.5495238095238095</c:v>
                </c:pt>
                <c:pt idx="3">
                  <c:v>1.0416666666666667</c:v>
                </c:pt>
                <c:pt idx="4">
                  <c:v>0.22</c:v>
                </c:pt>
                <c:pt idx="5">
                  <c:v>0.37</c:v>
                </c:pt>
                <c:pt idx="6">
                  <c:v>0.38</c:v>
                </c:pt>
                <c:pt idx="7">
                  <c:v>0.57999999999999996</c:v>
                </c:pt>
                <c:pt idx="8">
                  <c:v>0.53</c:v>
                </c:pt>
                <c:pt idx="9">
                  <c:v>0.65</c:v>
                </c:pt>
                <c:pt idx="10">
                  <c:v>1.03</c:v>
                </c:pt>
                <c:pt idx="11">
                  <c:v>1.39</c:v>
                </c:pt>
                <c:pt idx="12">
                  <c:v>0.56000000000000005</c:v>
                </c:pt>
                <c:pt idx="13">
                  <c:v>3.57</c:v>
                </c:pt>
                <c:pt idx="14">
                  <c:v>4.0244444444444447</c:v>
                </c:pt>
                <c:pt idx="15">
                  <c:v>1.94</c:v>
                </c:pt>
                <c:pt idx="16">
                  <c:v>4.6387499999999999</c:v>
                </c:pt>
                <c:pt idx="17">
                  <c:v>0.66</c:v>
                </c:pt>
                <c:pt idx="18">
                  <c:v>1.0375000000000001</c:v>
                </c:pt>
                <c:pt idx="19">
                  <c:v>4.4355555555555561</c:v>
                </c:pt>
                <c:pt idx="20">
                  <c:v>2.6228571428571428</c:v>
                </c:pt>
                <c:pt idx="21">
                  <c:v>5.4669999999999996</c:v>
                </c:pt>
                <c:pt idx="22">
                  <c:v>4.3777777777777782</c:v>
                </c:pt>
                <c:pt idx="23">
                  <c:v>8.0477777777777781</c:v>
                </c:pt>
                <c:pt idx="24">
                  <c:v>6.7622222222222224</c:v>
                </c:pt>
                <c:pt idx="25">
                  <c:v>8.68611111111111</c:v>
                </c:pt>
                <c:pt idx="26">
                  <c:v>8.069285714285714</c:v>
                </c:pt>
                <c:pt idx="27">
                  <c:v>8.8493055555555546</c:v>
                </c:pt>
                <c:pt idx="28">
                  <c:v>9.4621428571428563</c:v>
                </c:pt>
                <c:pt idx="29">
                  <c:v>9.3812499999999996</c:v>
                </c:pt>
                <c:pt idx="30">
                  <c:v>10.680555555555555</c:v>
                </c:pt>
                <c:pt idx="31">
                  <c:v>11.1305</c:v>
                </c:pt>
                <c:pt idx="32">
                  <c:v>12.098571428571429</c:v>
                </c:pt>
                <c:pt idx="33">
                  <c:v>11.756785714285714</c:v>
                </c:pt>
                <c:pt idx="34">
                  <c:v>12.592589285714286</c:v>
                </c:pt>
                <c:pt idx="35">
                  <c:v>11.989285714285714</c:v>
                </c:pt>
                <c:pt idx="36">
                  <c:v>13.571428571428571</c:v>
                </c:pt>
                <c:pt idx="37">
                  <c:v>12.775303030303029</c:v>
                </c:pt>
                <c:pt idx="38">
                  <c:v>14.49</c:v>
                </c:pt>
                <c:pt idx="39">
                  <c:v>12.039444444444445</c:v>
                </c:pt>
                <c:pt idx="40">
                  <c:v>12.585833333333333</c:v>
                </c:pt>
                <c:pt idx="41">
                  <c:v>12.242000000000001</c:v>
                </c:pt>
                <c:pt idx="42">
                  <c:v>12.491250000000001</c:v>
                </c:pt>
                <c:pt idx="43">
                  <c:v>12.179230769230768</c:v>
                </c:pt>
                <c:pt idx="44">
                  <c:v>12.746153846153845</c:v>
                </c:pt>
                <c:pt idx="45">
                  <c:v>13.478333333333333</c:v>
                </c:pt>
                <c:pt idx="46">
                  <c:v>12.83388888888889</c:v>
                </c:pt>
                <c:pt idx="47">
                  <c:v>11.984999999999999</c:v>
                </c:pt>
                <c:pt idx="48">
                  <c:v>13.492777777777778</c:v>
                </c:pt>
                <c:pt idx="49">
                  <c:v>10.759871794871795</c:v>
                </c:pt>
                <c:pt idx="50">
                  <c:v>4.9118181818181821</c:v>
                </c:pt>
                <c:pt idx="51">
                  <c:v>4.0186363636363636</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0.25</c:v>
                </c:pt>
                <c:pt idx="1">
                  <c:v>0.28000000000000003</c:v>
                </c:pt>
                <c:pt idx="2">
                  <c:v>4.4933333333333332</c:v>
                </c:pt>
                <c:pt idx="3">
                  <c:v>0.28999999999999998</c:v>
                </c:pt>
                <c:pt idx="4">
                  <c:v>0.18</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0.22222222222222221</c:v>
                </c:pt>
                <c:pt idx="18">
                  <c:v>3.1160000000000001</c:v>
                </c:pt>
                <c:pt idx="19">
                  <c:v>2.0859999999999999</c:v>
                </c:pt>
                <c:pt idx="20">
                  <c:v>5.1983333333333333</c:v>
                </c:pt>
                <c:pt idx="21">
                  <c:v>4.5542857142857143</c:v>
                </c:pt>
                <c:pt idx="22">
                  <c:v>6.5049999999999999</c:v>
                </c:pt>
                <c:pt idx="23">
                  <c:v>7.2725</c:v>
                </c:pt>
                <c:pt idx="24">
                  <c:v>6.33</c:v>
                </c:pt>
                <c:pt idx="25">
                  <c:v>8.374545454545455</c:v>
                </c:pt>
                <c:pt idx="26">
                  <c:v>7.9440909090909093</c:v>
                </c:pt>
                <c:pt idx="27">
                  <c:v>7.6883333333333335</c:v>
                </c:pt>
                <c:pt idx="28">
                  <c:v>8.7912499999999998</c:v>
                </c:pt>
                <c:pt idx="29">
                  <c:v>9.6266666666666669</c:v>
                </c:pt>
                <c:pt idx="30">
                  <c:v>8.2949999999999999</c:v>
                </c:pt>
                <c:pt idx="31">
                  <c:v>9.5821367521367531</c:v>
                </c:pt>
                <c:pt idx="32">
                  <c:v>11.082539682539682</c:v>
                </c:pt>
                <c:pt idx="33">
                  <c:v>8.7592857142857135</c:v>
                </c:pt>
                <c:pt idx="34">
                  <c:v>10.168863636363636</c:v>
                </c:pt>
                <c:pt idx="35">
                  <c:v>10.774444444444445</c:v>
                </c:pt>
                <c:pt idx="36">
                  <c:v>10.745714285714284</c:v>
                </c:pt>
                <c:pt idx="37">
                  <c:v>10.545714285714286</c:v>
                </c:pt>
                <c:pt idx="38">
                  <c:v>10.550416666666667</c:v>
                </c:pt>
                <c:pt idx="39">
                  <c:v>8.1994545454545449</c:v>
                </c:pt>
                <c:pt idx="40">
                  <c:v>9.4949999999999992</c:v>
                </c:pt>
                <c:pt idx="41">
                  <c:v>9.26</c:v>
                </c:pt>
                <c:pt idx="42">
                  <c:v>7.4359999999999999</c:v>
                </c:pt>
                <c:pt idx="43">
                  <c:v>7.8862500000000004</c:v>
                </c:pt>
                <c:pt idx="44">
                  <c:v>10.840045454545454</c:v>
                </c:pt>
                <c:pt idx="45">
                  <c:v>11.66</c:v>
                </c:pt>
                <c:pt idx="46">
                  <c:v>7.641346153846154</c:v>
                </c:pt>
                <c:pt idx="47">
                  <c:v>4.0650000000000004</c:v>
                </c:pt>
                <c:pt idx="48">
                  <c:v>1.0900000000000001</c:v>
                </c:pt>
                <c:pt idx="49">
                  <c:v>0.99</c:v>
                </c:pt>
                <c:pt idx="50">
                  <c:v>0.99</c:v>
                </c:pt>
                <c:pt idx="51">
                  <c:v>0.99</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0.82499999999999996</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3.2066206896551726</c:v>
                </c:pt>
                <c:pt idx="18">
                  <c:v>2.9658409570724844</c:v>
                </c:pt>
                <c:pt idx="19">
                  <c:v>2.1623809523809525</c:v>
                </c:pt>
                <c:pt idx="20">
                  <c:v>1.9048051948051949</c:v>
                </c:pt>
                <c:pt idx="21">
                  <c:v>2.3578688524590166</c:v>
                </c:pt>
                <c:pt idx="22">
                  <c:v>5.4625203252032524</c:v>
                </c:pt>
                <c:pt idx="23">
                  <c:v>6.3252459016393443</c:v>
                </c:pt>
                <c:pt idx="24">
                  <c:v>8.2071034482758609</c:v>
                </c:pt>
                <c:pt idx="25">
                  <c:v>8.4202709655172416</c:v>
                </c:pt>
                <c:pt idx="26">
                  <c:v>10.658776689655172</c:v>
                </c:pt>
                <c:pt idx="27">
                  <c:v>11.019931379310345</c:v>
                </c:pt>
                <c:pt idx="28">
                  <c:v>11.609396551724137</c:v>
                </c:pt>
                <c:pt idx="29">
                  <c:v>11.845003749999998</c:v>
                </c:pt>
                <c:pt idx="30">
                  <c:v>11.221735059523809</c:v>
                </c:pt>
                <c:pt idx="31">
                  <c:v>10.654285714285715</c:v>
                </c:pt>
                <c:pt idx="32">
                  <c:v>10.794200714285713</c:v>
                </c:pt>
                <c:pt idx="33">
                  <c:v>11.403251130952381</c:v>
                </c:pt>
                <c:pt idx="34">
                  <c:v>11.194279345238096</c:v>
                </c:pt>
                <c:pt idx="35">
                  <c:v>12.738394285714286</c:v>
                </c:pt>
                <c:pt idx="36">
                  <c:v>14.188574285714285</c:v>
                </c:pt>
                <c:pt idx="37">
                  <c:v>13.831216547619048</c:v>
                </c:pt>
                <c:pt idx="38">
                  <c:v>13.615486344827586</c:v>
                </c:pt>
                <c:pt idx="39">
                  <c:v>11.841282206896551</c:v>
                </c:pt>
                <c:pt idx="40">
                  <c:v>12.067047619047619</c:v>
                </c:pt>
                <c:pt idx="41">
                  <c:v>11.90654761904762</c:v>
                </c:pt>
                <c:pt idx="42">
                  <c:v>13.988054821428571</c:v>
                </c:pt>
                <c:pt idx="43" formatCode="General">
                  <c:v>13.768726413793102</c:v>
                </c:pt>
                <c:pt idx="44">
                  <c:v>12.437954821428573</c:v>
                </c:pt>
                <c:pt idx="45">
                  <c:v>11.888894702380952</c:v>
                </c:pt>
                <c:pt idx="46">
                  <c:v>11.965771700680271</c:v>
                </c:pt>
                <c:pt idx="47">
                  <c:v>4.5906946721311481</c:v>
                </c:pt>
                <c:pt idx="48">
                  <c:v>0.70799999999999996</c:v>
                </c:pt>
                <c:pt idx="49">
                  <c:v>0.72</c:v>
                </c:pt>
                <c:pt idx="50">
                  <c:v>2.1512500000000001</c:v>
                </c:pt>
                <c:pt idx="51">
                  <c:v>6.0862499999999997</c:v>
                </c:pt>
                <c:pt idx="52">
                  <c:v>4.4348989898989899</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_(* #,##0.00_);_(* \(#,##0.00\);_(* "-"??_);_(@_)</c:formatCode>
                <c:ptCount val="53"/>
                <c:pt idx="0">
                  <c:v>3.8852380952380954</c:v>
                </c:pt>
                <c:pt idx="1">
                  <c:v>6.3609090909090913</c:v>
                </c:pt>
                <c:pt idx="2">
                  <c:v>3.7113999999999998</c:v>
                </c:pt>
                <c:pt idx="3">
                  <c:v>1.595</c:v>
                </c:pt>
                <c:pt idx="4">
                  <c:v>0.54896551724137932</c:v>
                </c:pt>
                <c:pt idx="5">
                  <c:v>1.5550649350649353</c:v>
                </c:pt>
                <c:pt idx="6">
                  <c:v>5.5266666666666664</c:v>
                </c:pt>
                <c:pt idx="7">
                  <c:v>10.455265199999999</c:v>
                </c:pt>
                <c:pt idx="8">
                  <c:v>13.217988333333333</c:v>
                </c:pt>
                <c:pt idx="9">
                  <c:v>16.04515620689655</c:v>
                </c:pt>
                <c:pt idx="10">
                  <c:v>15.50047619047619</c:v>
                </c:pt>
                <c:pt idx="11">
                  <c:v>2.8926398989898994</c:v>
                </c:pt>
                <c:pt idx="12">
                  <c:v>14.681637070707072</c:v>
                </c:pt>
                <c:pt idx="13">
                  <c:v>13.591277622950818</c:v>
                </c:pt>
                <c:pt idx="14">
                  <c:v>10.420952540983606</c:v>
                </c:pt>
                <c:pt idx="15">
                  <c:v>2.8239285714285716</c:v>
                </c:pt>
                <c:pt idx="16">
                  <c:v>6.4777976190476192</c:v>
                </c:pt>
                <c:pt idx="17">
                  <c:v>9.3085960689655174</c:v>
                </c:pt>
                <c:pt idx="18">
                  <c:v>5.7902976190476192</c:v>
                </c:pt>
                <c:pt idx="19">
                  <c:v>4.2933333333333339</c:v>
                </c:pt>
                <c:pt idx="20">
                  <c:v>3.1915476190476189</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2022</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pt idx="43" formatCode="General">
                  <c:v>0.72699999999999998</c:v>
                </c:pt>
                <c:pt idx="44">
                  <c:v>0.63600000000000001</c:v>
                </c:pt>
                <c:pt idx="45">
                  <c:v>0.497</c:v>
                </c:pt>
                <c:pt idx="46">
                  <c:v>0.47914285714285715</c:v>
                </c:pt>
                <c:pt idx="47">
                  <c:v>0.372</c:v>
                </c:pt>
                <c:pt idx="48">
                  <c:v>0.372</c:v>
                </c:pt>
                <c:pt idx="49">
                  <c:v>0.372</c:v>
                </c:pt>
                <c:pt idx="50">
                  <c:v>0.372</c:v>
                </c:pt>
                <c:pt idx="51">
                  <c:v>0.372</c:v>
                </c:pt>
                <c:pt idx="52">
                  <c:v>0.372</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_(* #,##0.00_);_(* \(#,##0.00\);_(* "-"??_);_(@_)</c:formatCode>
                <c:ptCount val="53"/>
                <c:pt idx="0">
                  <c:v>0.372</c:v>
                </c:pt>
                <c:pt idx="1">
                  <c:v>0.372</c:v>
                </c:pt>
                <c:pt idx="2">
                  <c:v>0.372</c:v>
                </c:pt>
                <c:pt idx="3">
                  <c:v>0.372</c:v>
                </c:pt>
                <c:pt idx="4">
                  <c:v>0.372</c:v>
                </c:pt>
                <c:pt idx="5">
                  <c:v>0.372</c:v>
                </c:pt>
                <c:pt idx="6">
                  <c:v>0.372</c:v>
                </c:pt>
                <c:pt idx="7">
                  <c:v>0.372</c:v>
                </c:pt>
                <c:pt idx="8">
                  <c:v>1.4655714285714285</c:v>
                </c:pt>
                <c:pt idx="9">
                  <c:v>2.8362857142857143</c:v>
                </c:pt>
                <c:pt idx="10">
                  <c:v>2.713714285714286</c:v>
                </c:pt>
                <c:pt idx="11">
                  <c:v>1.8175714285714286</c:v>
                </c:pt>
                <c:pt idx="12">
                  <c:v>1.113</c:v>
                </c:pt>
                <c:pt idx="13">
                  <c:v>1.113</c:v>
                </c:pt>
                <c:pt idx="14">
                  <c:v>1.113</c:v>
                </c:pt>
                <c:pt idx="15">
                  <c:v>1.0272857142857141</c:v>
                </c:pt>
                <c:pt idx="16">
                  <c:v>1.113</c:v>
                </c:pt>
                <c:pt idx="17">
                  <c:v>1.0701428571428573</c:v>
                </c:pt>
                <c:pt idx="18">
                  <c:v>0.81299999999999994</c:v>
                </c:pt>
                <c:pt idx="19">
                  <c:v>1.381</c:v>
                </c:pt>
                <c:pt idx="20">
                  <c:v>1.7807142857142857</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2025</c:v>
                </c:pt>
              </c:strCache>
            </c:strRef>
          </c:tx>
          <c:spPr>
            <a:solidFill>
              <a:srgbClr val="0077A5"/>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Recurso'!$G$6:$G$16</c:f>
              <c:numCache>
                <c:formatCode>_(* #,##0.00_);_(* \(#,##0.00\);_(* "-"??_);_(@_)</c:formatCode>
                <c:ptCount val="11"/>
                <c:pt idx="0">
                  <c:v>15904.9683447475</c:v>
                </c:pt>
                <c:pt idx="1">
                  <c:v>6986.8618428725013</c:v>
                </c:pt>
                <c:pt idx="2">
                  <c:v>119.93497995</c:v>
                </c:pt>
                <c:pt idx="3">
                  <c:v>31.538097270000002</c:v>
                </c:pt>
                <c:pt idx="4">
                  <c:v>2.62654729</c:v>
                </c:pt>
                <c:pt idx="5">
                  <c:v>151.19396210500003</c:v>
                </c:pt>
                <c:pt idx="6">
                  <c:v>41.01420083</c:v>
                </c:pt>
                <c:pt idx="7">
                  <c:v>96.055783787499976</c:v>
                </c:pt>
                <c:pt idx="8">
                  <c:v>33.495499799999997</c:v>
                </c:pt>
                <c:pt idx="9">
                  <c:v>619.75595271250006</c:v>
                </c:pt>
                <c:pt idx="10">
                  <c:v>1552.8294570825001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2024</c:v>
                </c:pt>
              </c:strCache>
            </c:strRef>
          </c:tx>
          <c:spPr>
            <a:solidFill>
              <a:srgbClr val="FF6600"/>
            </a:solidFill>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Recurso'!$H$6:$H$16</c:f>
              <c:numCache>
                <c:formatCode>_(* #,##0.00_);_(* \(#,##0.00\);_(* "-"??_);_(@_)</c:formatCode>
                <c:ptCount val="11"/>
                <c:pt idx="0">
                  <c:v>15326.785117079999</c:v>
                </c:pt>
                <c:pt idx="1">
                  <c:v>7383.8394947100005</c:v>
                </c:pt>
                <c:pt idx="2">
                  <c:v>144.65176624999998</c:v>
                </c:pt>
                <c:pt idx="3">
                  <c:v>33.528832070000007</c:v>
                </c:pt>
                <c:pt idx="4">
                  <c:v>1.3806114575000001</c:v>
                </c:pt>
                <c:pt idx="5">
                  <c:v>52.5739620425</c:v>
                </c:pt>
                <c:pt idx="6">
                  <c:v>21.738446009999997</c:v>
                </c:pt>
                <c:pt idx="7">
                  <c:v>88.803794957499974</c:v>
                </c:pt>
                <c:pt idx="8">
                  <c:v>30.491459419999998</c:v>
                </c:pt>
                <c:pt idx="9">
                  <c:v>460.44591376249997</c:v>
                </c:pt>
                <c:pt idx="10">
                  <c:v>1428.3066700475001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2023</c:v>
                </c:pt>
              </c:strCache>
            </c:strRef>
          </c:tx>
          <c:spPr>
            <a:solidFill>
              <a:schemeClr val="accent6">
                <a:lumMod val="75000"/>
              </a:schemeClr>
            </a:solidFill>
            <a:ln>
              <a:solidFill>
                <a:schemeClr val="accent3"/>
              </a:solidFill>
            </a:ln>
          </c:spPr>
          <c:invertIfNegative val="0"/>
          <c:cat>
            <c:strRef>
              <c:f>'4. Tipo Recurso'!$A$6:$A$16</c:f>
              <c:strCache>
                <c:ptCount val="11"/>
                <c:pt idx="0">
                  <c:v>Agua</c:v>
                </c:pt>
                <c:pt idx="1">
                  <c:v>G.N. de Camisea</c:v>
                </c:pt>
                <c:pt idx="2">
                  <c:v>G.N. de Malacas</c:v>
                </c:pt>
                <c:pt idx="3">
                  <c:v>G.N. de Aguaytía</c:v>
                </c:pt>
                <c:pt idx="4">
                  <c:v>Residual 500</c:v>
                </c:pt>
                <c:pt idx="5">
                  <c:v>Nafta; Gas Refinería &amp; Flexigas</c:v>
                </c:pt>
                <c:pt idx="6">
                  <c:v>Diesel 2</c:v>
                </c:pt>
                <c:pt idx="7">
                  <c:v>Bagazo</c:v>
                </c:pt>
                <c:pt idx="8">
                  <c:v>Biogás</c:v>
                </c:pt>
                <c:pt idx="9">
                  <c:v>Solar</c:v>
                </c:pt>
                <c:pt idx="10">
                  <c:v>Eólico</c:v>
                </c:pt>
              </c:strCache>
            </c:strRef>
          </c:cat>
          <c:val>
            <c:numRef>
              <c:f>'4. Tipo Recurso'!$J$6:$J$16</c:f>
              <c:numCache>
                <c:formatCode>_(* #,##0.00_);_(* \(#,##0.00\);_(* "-"??_);_(@_)</c:formatCode>
                <c:ptCount val="11"/>
                <c:pt idx="0">
                  <c:v>13899.929987617501</c:v>
                </c:pt>
                <c:pt idx="1">
                  <c:v>8718.4971428824992</c:v>
                </c:pt>
                <c:pt idx="2">
                  <c:v>292.68943375000003</c:v>
                </c:pt>
                <c:pt idx="3">
                  <c:v>88.791737174999994</c:v>
                </c:pt>
                <c:pt idx="4">
                  <c:v>4.1587273124999999</c:v>
                </c:pt>
                <c:pt idx="5">
                  <c:v>0</c:v>
                </c:pt>
                <c:pt idx="6">
                  <c:v>42.21193702499999</c:v>
                </c:pt>
                <c:pt idx="7">
                  <c:v>75.795192377500001</c:v>
                </c:pt>
                <c:pt idx="8">
                  <c:v>26.284521250000001</c:v>
                </c:pt>
                <c:pt idx="9">
                  <c:v>307.86532708750002</c:v>
                </c:pt>
                <c:pt idx="10">
                  <c:v>789.94336493499998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2022</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pt idx="43" formatCode="General">
                  <c:v>24.565857142857144</c:v>
                </c:pt>
                <c:pt idx="44">
                  <c:v>19.891999999999999</c:v>
                </c:pt>
                <c:pt idx="45">
                  <c:v>17.86</c:v>
                </c:pt>
                <c:pt idx="46">
                  <c:v>15.105714285714285</c:v>
                </c:pt>
                <c:pt idx="47">
                  <c:v>6.37</c:v>
                </c:pt>
                <c:pt idx="48">
                  <c:v>3.7757142857142862</c:v>
                </c:pt>
                <c:pt idx="49">
                  <c:v>5.1242857142857146</c:v>
                </c:pt>
                <c:pt idx="50">
                  <c:v>6.0968228571428575</c:v>
                </c:pt>
                <c:pt idx="51">
                  <c:v>6.0872857142857146</c:v>
                </c:pt>
                <c:pt idx="52">
                  <c:v>9.6088571428571417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_(* #,##0.00_);_(* \(#,##0.00\);_(* "-"??_);_(@_)</c:formatCode>
                <c:ptCount val="53"/>
                <c:pt idx="0">
                  <c:v>10.486857142857144</c:v>
                </c:pt>
                <c:pt idx="1">
                  <c:v>10.226892857142856</c:v>
                </c:pt>
                <c:pt idx="2">
                  <c:v>7.394571428571429</c:v>
                </c:pt>
                <c:pt idx="3">
                  <c:v>4.8791428571428579</c:v>
                </c:pt>
                <c:pt idx="4">
                  <c:v>6.7685714285714287</c:v>
                </c:pt>
                <c:pt idx="5">
                  <c:v>10.744142857142856</c:v>
                </c:pt>
                <c:pt idx="6">
                  <c:v>17.193857142857144</c:v>
                </c:pt>
                <c:pt idx="7">
                  <c:v>23.831714285714284</c:v>
                </c:pt>
                <c:pt idx="8">
                  <c:v>23.114714285714289</c:v>
                </c:pt>
                <c:pt idx="9">
                  <c:v>22.83409</c:v>
                </c:pt>
                <c:pt idx="10">
                  <c:v>18.229857142857142</c:v>
                </c:pt>
                <c:pt idx="11">
                  <c:v>22.468</c:v>
                </c:pt>
                <c:pt idx="12">
                  <c:v>24.378285714285717</c:v>
                </c:pt>
                <c:pt idx="13">
                  <c:v>35.052571428571426</c:v>
                </c:pt>
                <c:pt idx="14">
                  <c:v>27.180857142857143</c:v>
                </c:pt>
                <c:pt idx="15">
                  <c:v>18.975285714285715</c:v>
                </c:pt>
                <c:pt idx="16">
                  <c:v>16.252328571428571</c:v>
                </c:pt>
                <c:pt idx="17">
                  <c:v>22.20514285714286</c:v>
                </c:pt>
                <c:pt idx="18">
                  <c:v>21.034857142857145</c:v>
                </c:pt>
                <c:pt idx="19">
                  <c:v>15.413857142857141</c:v>
                </c:pt>
                <c:pt idx="20">
                  <c:v>13.516428571428571</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411433643734"/>
          <c:y val="0.16699707823035179"/>
          <c:w val="0.86876573210959507"/>
          <c:h val="7.137987947768317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2022</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2023</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2024</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pt idx="43" formatCode="General">
                  <c:v>5.6071428571428577</c:v>
                </c:pt>
                <c:pt idx="44">
                  <c:v>0.25</c:v>
                </c:pt>
                <c:pt idx="45">
                  <c:v>0.25</c:v>
                </c:pt>
                <c:pt idx="46">
                  <c:v>0.25</c:v>
                </c:pt>
                <c:pt idx="47">
                  <c:v>0.25</c:v>
                </c:pt>
                <c:pt idx="48">
                  <c:v>0.25</c:v>
                </c:pt>
                <c:pt idx="49">
                  <c:v>0.25</c:v>
                </c:pt>
                <c:pt idx="50">
                  <c:v>0.25</c:v>
                </c:pt>
                <c:pt idx="51">
                  <c:v>0.25</c:v>
                </c:pt>
                <c:pt idx="52">
                  <c:v>0.25</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2025</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50083419462478"/>
          <c:y val="0.16669752096035015"/>
          <c:w val="0.79663491461469638"/>
          <c:h val="7.190778268703872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37.787208971422594</c:v>
                </c:pt>
                <c:pt idx="1">
                  <c:v>30.26591777927533</c:v>
                </c:pt>
                <c:pt idx="2">
                  <c:v>29.747820173539562</c:v>
                </c:pt>
                <c:pt idx="3">
                  <c:v>29.395338503457069</c:v>
                </c:pt>
                <c:pt idx="4">
                  <c:v>29.452258650518498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23.888079006501439</c:v>
                </c:pt>
                <c:pt idx="1">
                  <c:v>23.897339015723389</c:v>
                </c:pt>
                <c:pt idx="2">
                  <c:v>23.762432512412122</c:v>
                </c:pt>
                <c:pt idx="3">
                  <c:v>23.807918408205492</c:v>
                </c:pt>
                <c:pt idx="4">
                  <c:v>24.233826271793252</c:v>
                </c:pt>
                <c:pt idx="5">
                  <c:v>23.652675757103157</c:v>
                </c:pt>
                <c:pt idx="6">
                  <c:v>23.507252488705522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25.416150964785025</c:v>
                </c:pt>
                <c:pt idx="1">
                  <c:v>24.799721681214095</c:v>
                </c:pt>
                <c:pt idx="2">
                  <c:v>24.896347676881305</c:v>
                </c:pt>
                <c:pt idx="3">
                  <c:v>24.999054993453516</c:v>
                </c:pt>
                <c:pt idx="4">
                  <c:v>24.035957466819667</c:v>
                </c:pt>
                <c:pt idx="5">
                  <c:v>23.864047663521841</c:v>
                </c:pt>
                <c:pt idx="6">
                  <c:v>22.458811426063519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MAYO
 2025</c:v>
                </c:pt>
              </c:strCache>
            </c:strRef>
          </c:tx>
          <c:spPr>
            <a:solidFill>
              <a:schemeClr val="accent1"/>
            </a:solidFill>
            <a:ln>
              <a:noFill/>
            </a:ln>
            <a:effectLst/>
          </c:spPr>
          <c:invertIfNegative val="0"/>
          <c:cat>
            <c:strRef>
              <c:f>'16. Congestiones'!$C$7:$C$22</c:f>
              <c:strCache>
                <c:ptCount val="16"/>
                <c:pt idx="0">
                  <c:v>CARHUAQUERO - CHICLAYO OESTE</c:v>
                </c:pt>
                <c:pt idx="1">
                  <c:v>LA NIÑA - PIURA OESTE</c:v>
                </c:pt>
                <c:pt idx="2">
                  <c:v>CHILCA - ASIA</c:v>
                </c:pt>
                <c:pt idx="3">
                  <c:v>HUACHO - PARAMONGA NUEVA</c:v>
                </c:pt>
                <c:pt idx="4">
                  <c:v>ICA - MARCONA</c:v>
                </c:pt>
                <c:pt idx="5">
                  <c:v>ISHCAYUCRO - PARAGSHA II</c:v>
                </c:pt>
                <c:pt idx="6">
                  <c:v>LOMERA - ZAPALLAL</c:v>
                </c:pt>
                <c:pt idx="7">
                  <c:v>MARCONA - SAN NICOLÁS</c:v>
                </c:pt>
                <c:pt idx="8">
                  <c:v>SAN JUAN - LOS INDUSTRIALES</c:v>
                </c:pt>
                <c:pt idx="9">
                  <c:v>SAN JUAN - SANTA ROSA N.</c:v>
                </c:pt>
                <c:pt idx="10">
                  <c:v>SANTA ROSA N. - CHAVARRÍA</c:v>
                </c:pt>
                <c:pt idx="11">
                  <c:v>SANTA ROSA N. - LOS INDUSTRIALES</c:v>
                </c:pt>
                <c:pt idx="12">
                  <c:v>TINGO MARÍA - AUCAYACU</c:v>
                </c:pt>
                <c:pt idx="13">
                  <c:v>CHILCA-CTM</c:v>
                </c:pt>
                <c:pt idx="14">
                  <c:v>INDEPENDENCIA</c:v>
                </c:pt>
                <c:pt idx="15">
                  <c:v>MARCONA</c:v>
                </c:pt>
              </c:strCache>
            </c:strRef>
          </c:cat>
          <c:val>
            <c:numRef>
              <c:f>'16. Congestiones'!$D$7:$D$22</c:f>
              <c:numCache>
                <c:formatCode>#,##0.00</c:formatCode>
                <c:ptCount val="16"/>
                <c:pt idx="0">
                  <c:v>7.3666666666666698</c:v>
                </c:pt>
                <c:pt idx="1">
                  <c:v>30.733333333333299</c:v>
                </c:pt>
                <c:pt idx="3">
                  <c:v>22.4</c:v>
                </c:pt>
                <c:pt idx="4">
                  <c:v>73.3</c:v>
                </c:pt>
                <c:pt idx="5">
                  <c:v>12.55</c:v>
                </c:pt>
                <c:pt idx="6">
                  <c:v>7.55</c:v>
                </c:pt>
                <c:pt idx="12">
                  <c:v>9.6</c:v>
                </c:pt>
                <c:pt idx="14">
                  <c:v>5.9666666666666703</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MAYO
 2024</c:v>
                </c:pt>
              </c:strCache>
            </c:strRef>
          </c:tx>
          <c:spPr>
            <a:solidFill>
              <a:schemeClr val="accent2"/>
            </a:solidFill>
            <a:ln>
              <a:noFill/>
            </a:ln>
            <a:effectLst/>
          </c:spPr>
          <c:invertIfNegative val="0"/>
          <c:cat>
            <c:strRef>
              <c:f>'16. Congestiones'!$C$7:$C$22</c:f>
              <c:strCache>
                <c:ptCount val="16"/>
                <c:pt idx="0">
                  <c:v>CARHUAQUERO - CHICLAYO OESTE</c:v>
                </c:pt>
                <c:pt idx="1">
                  <c:v>LA NIÑA - PIURA OESTE</c:v>
                </c:pt>
                <c:pt idx="2">
                  <c:v>CHILCA - ASIA</c:v>
                </c:pt>
                <c:pt idx="3">
                  <c:v>HUACHO - PARAMONGA NUEVA</c:v>
                </c:pt>
                <c:pt idx="4">
                  <c:v>ICA - MARCONA</c:v>
                </c:pt>
                <c:pt idx="5">
                  <c:v>ISHCAYUCRO - PARAGSHA II</c:v>
                </c:pt>
                <c:pt idx="6">
                  <c:v>LOMERA - ZAPALLAL</c:v>
                </c:pt>
                <c:pt idx="7">
                  <c:v>MARCONA - SAN NICOLÁS</c:v>
                </c:pt>
                <c:pt idx="8">
                  <c:v>SAN JUAN - LOS INDUSTRIALES</c:v>
                </c:pt>
                <c:pt idx="9">
                  <c:v>SAN JUAN - SANTA ROSA N.</c:v>
                </c:pt>
                <c:pt idx="10">
                  <c:v>SANTA ROSA N. - CHAVARRÍA</c:v>
                </c:pt>
                <c:pt idx="11">
                  <c:v>SANTA ROSA N. - LOS INDUSTRIALES</c:v>
                </c:pt>
                <c:pt idx="12">
                  <c:v>TINGO MARÍA - AUCAYACU</c:v>
                </c:pt>
                <c:pt idx="13">
                  <c:v>CHILCA-CTM</c:v>
                </c:pt>
                <c:pt idx="14">
                  <c:v>INDEPENDENCIA</c:v>
                </c:pt>
                <c:pt idx="15">
                  <c:v>MARCONA</c:v>
                </c:pt>
              </c:strCache>
            </c:strRef>
          </c:cat>
          <c:val>
            <c:numRef>
              <c:f>'16. Congestiones'!$E$7:$E$22</c:f>
              <c:numCache>
                <c:formatCode>#,##0.00</c:formatCode>
                <c:ptCount val="16"/>
                <c:pt idx="1">
                  <c:v>13.6</c:v>
                </c:pt>
                <c:pt idx="7">
                  <c:v>7.6166666666666698</c:v>
                </c:pt>
                <c:pt idx="8">
                  <c:v>30.866666666666699</c:v>
                </c:pt>
                <c:pt idx="9">
                  <c:v>30.866666666666699</c:v>
                </c:pt>
                <c:pt idx="11">
                  <c:v>30.866666666666699</c:v>
                </c:pt>
                <c:pt idx="14">
                  <c:v>0.31666666666666698</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MAYO
 2023</c:v>
                </c:pt>
              </c:strCache>
            </c:strRef>
          </c:tx>
          <c:spPr>
            <a:solidFill>
              <a:schemeClr val="accent6"/>
            </a:solidFill>
            <a:ln>
              <a:noFill/>
            </a:ln>
            <a:effectLst/>
          </c:spPr>
          <c:invertIfNegative val="0"/>
          <c:val>
            <c:numRef>
              <c:f>'16. Congestiones'!$F$7:$F$22</c:f>
              <c:numCache>
                <c:formatCode>#,##0.00</c:formatCode>
                <c:ptCount val="16"/>
                <c:pt idx="0">
                  <c:v>3.25</c:v>
                </c:pt>
                <c:pt idx="2">
                  <c:v>9.18333333333333</c:v>
                </c:pt>
                <c:pt idx="8">
                  <c:v>1.35</c:v>
                </c:pt>
                <c:pt idx="9">
                  <c:v>4.8</c:v>
                </c:pt>
                <c:pt idx="10">
                  <c:v>1.5</c:v>
                </c:pt>
                <c:pt idx="11">
                  <c:v>1.35</c:v>
                </c:pt>
                <c:pt idx="13">
                  <c:v>4.8833333333333302</c:v>
                </c:pt>
                <c:pt idx="15">
                  <c:v>17.8333333333333</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5.6145186107060707E-2"/>
                  <c:y val="-6.1563348980506187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1551720952837036E-2"/>
                  <c:y val="-1.8719432664779993E-2"/>
                </c:manualLayout>
              </c:layout>
              <c:tx>
                <c:rich>
                  <a:bodyPr/>
                  <a:lstStyle/>
                  <a:p>
                    <a:fld id="{B1A18F45-0ABE-4F38-9B5E-FCE74A91B532}" type="PERCENTAGE">
                      <a:rPr lang="en-US" baseline="0"/>
                      <a:pPr/>
                      <a:t>[PORCENTAJE]</a:t>
                    </a:fld>
                    <a:endParaRPr lang="es-MX"/>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56310296585662545"/>
                  <c:y val="-0.14451384669184569"/>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D8FAC4B7-893D-4DF8-B22B-AA996724105F}" type="PERCENTAGE">
                      <a:rPr lang="en-US" sz="700" baseline="0">
                        <a:solidFill>
                          <a:schemeClr val="bg1"/>
                        </a:solidFill>
                      </a:rPr>
                      <a:pPr>
                        <a:defRPr sz="700">
                          <a:solidFill>
                            <a:schemeClr val="bg1"/>
                          </a:solidFill>
                        </a:defRPr>
                      </a:pPr>
                      <a:t>[PORCENTAJE]</a:t>
                    </a:fld>
                    <a:endParaRPr lang="es-MX"/>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MX"/>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778136744636036E-2"/>
                  <c:y val="-9.0681076938484914E-3"/>
                </c:manualLayout>
              </c:layout>
              <c:tx>
                <c:rich>
                  <a:bodyPr/>
                  <a:lstStyle/>
                  <a:p>
                    <a:fld id="{CFB78BC4-28D5-47C7-B7DB-8191FAC6D7D2}" type="PERCENTAGE">
                      <a:rPr lang="en-US" baseline="0">
                        <a:solidFill>
                          <a:schemeClr val="tx1"/>
                        </a:solidFill>
                      </a:rPr>
                      <a:pPr/>
                      <a:t>[PORCENTAJE]</a:t>
                    </a:fld>
                    <a:endParaRPr lang="es-MX"/>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1.9970945441824369E-2"/>
                  <c:y val="-5.725538558236147E-2"/>
                </c:manualLayout>
              </c:layout>
              <c:tx>
                <c:rich>
                  <a:bodyPr/>
                  <a:lstStyle/>
                  <a:p>
                    <a:fld id="{0D9E0A43-E7C1-443C-96AE-C5031A9BD6F6}" type="PERCENTAGE">
                      <a:rPr lang="en-US" baseline="0"/>
                      <a:pPr/>
                      <a:t>[PORCENTAJE]</a:t>
                    </a:fld>
                    <a:endParaRPr lang="es-MX"/>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8.6053469958080955E-2"/>
                  <c:y val="0.75140113667828989"/>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MX"/>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MX"/>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4094904517931998"/>
                  <c:y val="0.66543737709841977"/>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MX"/>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MX"/>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Eventos'!$B$10:$H$10</c:f>
              <c:numCache>
                <c:formatCode>General</c:formatCode>
                <c:ptCount val="7"/>
                <c:pt idx="0">
                  <c:v>3</c:v>
                </c:pt>
                <c:pt idx="1">
                  <c:v>10</c:v>
                </c:pt>
                <c:pt idx="2">
                  <c:v>0</c:v>
                </c:pt>
                <c:pt idx="3">
                  <c:v>6</c:v>
                </c:pt>
                <c:pt idx="4">
                  <c:v>10</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77127714308358475"/>
        </c:manualLayout>
      </c:layout>
      <c:barChart>
        <c:barDir val="col"/>
        <c:grouping val="clustered"/>
        <c:varyColors val="0"/>
        <c:ser>
          <c:idx val="0"/>
          <c:order val="0"/>
          <c:invertIfNegative val="0"/>
          <c:cat>
            <c:strRef>
              <c:f>'17. Eventos'!$A$7:$A$9</c:f>
              <c:strCache>
                <c:ptCount val="3"/>
                <c:pt idx="0">
                  <c:v>BARRA</c:v>
                </c:pt>
                <c:pt idx="1">
                  <c:v>CLIENTE</c:v>
                </c:pt>
                <c:pt idx="2">
                  <c:v>LINEA DE TRANSMISION</c:v>
                </c:pt>
              </c:strCache>
            </c:strRef>
          </c:cat>
          <c:val>
            <c:numRef>
              <c:f>'17. Eventos'!$J$7:$J$9</c:f>
              <c:numCache>
                <c:formatCode>#,##0.00</c:formatCode>
                <c:ptCount val="3"/>
                <c:pt idx="0">
                  <c:v>1.17</c:v>
                </c:pt>
                <c:pt idx="1">
                  <c:v>1.5</c:v>
                </c:pt>
                <c:pt idx="2">
                  <c:v>862.19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Eventos'!$A$7:$A$9</c:f>
              <c:strCache>
                <c:ptCount val="3"/>
                <c:pt idx="0">
                  <c:v>BARRA</c:v>
                </c:pt>
                <c:pt idx="1">
                  <c:v>CLIENTE</c:v>
                </c:pt>
                <c:pt idx="2">
                  <c:v>LINEA DE TRANSMISION</c:v>
                </c:pt>
              </c:strCache>
            </c:strRef>
          </c:cat>
          <c:val>
            <c:numRef>
              <c:f>'17. Eventos'!$B$7:$B$9</c:f>
              <c:numCache>
                <c:formatCode>General</c:formatCode>
                <c:ptCount val="3"/>
                <c:pt idx="2">
                  <c:v>3</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Eventos'!$A$7:$A$9</c:f>
              <c:strCache>
                <c:ptCount val="3"/>
                <c:pt idx="0">
                  <c:v>BARRA</c:v>
                </c:pt>
                <c:pt idx="1">
                  <c:v>CLIENTE</c:v>
                </c:pt>
                <c:pt idx="2">
                  <c:v>LINEA DE TRANSMISION</c:v>
                </c:pt>
              </c:strCache>
            </c:strRef>
          </c:cat>
          <c:val>
            <c:numRef>
              <c:f>'17. Eventos'!$C$7:$C$9</c:f>
              <c:numCache>
                <c:formatCode>General</c:formatCode>
                <c:ptCount val="3"/>
                <c:pt idx="2">
                  <c:v>10</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Eventos'!$A$7:$A$9</c:f>
              <c:strCache>
                <c:ptCount val="3"/>
                <c:pt idx="0">
                  <c:v>BARRA</c:v>
                </c:pt>
                <c:pt idx="1">
                  <c:v>CLIENTE</c:v>
                </c:pt>
                <c:pt idx="2">
                  <c:v>LINEA DE TRANSMISION</c:v>
                </c:pt>
              </c:strCache>
            </c:strRef>
          </c:cat>
          <c:val>
            <c:numRef>
              <c:f>'17. Eventos'!$D$7:$D$9</c:f>
              <c:numCache>
                <c:formatCode>General</c:formatCode>
                <c:ptCount val="3"/>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Eventos'!$A$7:$A$9</c:f>
              <c:strCache>
                <c:ptCount val="3"/>
                <c:pt idx="0">
                  <c:v>BARRA</c:v>
                </c:pt>
                <c:pt idx="1">
                  <c:v>CLIENTE</c:v>
                </c:pt>
                <c:pt idx="2">
                  <c:v>LINEA DE TRANSMISION</c:v>
                </c:pt>
              </c:strCache>
            </c:strRef>
          </c:cat>
          <c:val>
            <c:numRef>
              <c:f>'17. Eventos'!$E$7:$E$9</c:f>
              <c:numCache>
                <c:formatCode>General</c:formatCode>
                <c:ptCount val="3"/>
                <c:pt idx="1">
                  <c:v>1</c:v>
                </c:pt>
                <c:pt idx="2">
                  <c:v>5</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Eventos'!$A$7:$A$9</c:f>
              <c:strCache>
                <c:ptCount val="3"/>
                <c:pt idx="0">
                  <c:v>BARRA</c:v>
                </c:pt>
                <c:pt idx="1">
                  <c:v>CLIENTE</c:v>
                </c:pt>
                <c:pt idx="2">
                  <c:v>LINEA DE TRANSMISION</c:v>
                </c:pt>
              </c:strCache>
            </c:strRef>
          </c:cat>
          <c:val>
            <c:numRef>
              <c:f>'17. Eventos'!$F$7:$F$9</c:f>
              <c:numCache>
                <c:formatCode>General</c:formatCode>
                <c:ptCount val="3"/>
                <c:pt idx="0">
                  <c:v>1</c:v>
                </c:pt>
                <c:pt idx="2">
                  <c:v>9</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Eventos'!$A$7:$A$9</c:f>
              <c:strCache>
                <c:ptCount val="3"/>
                <c:pt idx="0">
                  <c:v>BARRA</c:v>
                </c:pt>
                <c:pt idx="1">
                  <c:v>CLIENTE</c:v>
                </c:pt>
                <c:pt idx="2">
                  <c:v>LINEA DE TRANSMISION</c:v>
                </c:pt>
              </c:strCache>
            </c:strRef>
          </c:cat>
          <c:val>
            <c:numRef>
              <c:f>'17. Eventos'!$G$7:$G$9</c:f>
              <c:numCache>
                <c:formatCode>General</c:formatCode>
                <c:ptCount val="3"/>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Eventos'!$A$7:$A$9</c:f>
              <c:strCache>
                <c:ptCount val="3"/>
                <c:pt idx="0">
                  <c:v>BARRA</c:v>
                </c:pt>
                <c:pt idx="1">
                  <c:v>CLIENTE</c:v>
                </c:pt>
                <c:pt idx="2">
                  <c:v>LINEA DE TRANSMISION</c:v>
                </c:pt>
              </c:strCache>
            </c:strRef>
          </c:cat>
          <c:val>
            <c:numRef>
              <c:f>'17. Eventos'!$H$7:$H$9</c:f>
              <c:numCache>
                <c:formatCode>General</c:formatCode>
                <c:ptCount val="3"/>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2023</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1119.7193371650003</c:v>
                </c:pt>
                <c:pt idx="1">
                  <c:v>789.94336493499998</c:v>
                </c:pt>
                <c:pt idx="2">
                  <c:v>307.86532708750002</c:v>
                </c:pt>
                <c:pt idx="3">
                  <c:v>75.795192377500001</c:v>
                </c:pt>
                <c:pt idx="4">
                  <c:v>26.284521250000001</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2024</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1174.9843080449998</c:v>
                </c:pt>
                <c:pt idx="1">
                  <c:v>1428.3066700475001</c:v>
                </c:pt>
                <c:pt idx="2">
                  <c:v>460.44591376249997</c:v>
                </c:pt>
                <c:pt idx="3">
                  <c:v>88.803794957499974</c:v>
                </c:pt>
                <c:pt idx="4">
                  <c:v>30.491459419999998</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2025</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1190.641203705</c:v>
                </c:pt>
                <c:pt idx="1">
                  <c:v>1552.8294570825001</c:v>
                </c:pt>
                <c:pt idx="2">
                  <c:v>619.75595271250006</c:v>
                </c:pt>
                <c:pt idx="3">
                  <c:v>96.055783787499976</c:v>
                </c:pt>
                <c:pt idx="4">
                  <c:v>33.495499799999997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Pt>
            <c:idx val="6"/>
            <c:bubble3D val="0"/>
            <c:explosion val="3"/>
            <c:extLst>
              <c:ext xmlns:c16="http://schemas.microsoft.com/office/drawing/2014/chart" uri="{C3380CC4-5D6E-409C-BE32-E72D297353CC}">
                <c16:uniqueId val="{00000006-2F1D-4EB5-A827-BDF01424F97A}"/>
              </c:ext>
            </c:extLst>
          </c:dPt>
          <c:dLbls>
            <c:dLbl>
              <c:idx val="0"/>
              <c:layout>
                <c:manualLayout>
                  <c:x val="7.6323097616613433E-2"/>
                  <c:y val="-6.0038077636033272E-3"/>
                </c:manualLayout>
              </c:layout>
              <c:numFmt formatCode="0.000%" sourceLinked="0"/>
              <c:spPr>
                <a:noFill/>
                <a:ln>
                  <a:noFill/>
                </a:ln>
                <a:effectLst/>
              </c:spPr>
              <c:txPr>
                <a:bodyPr wrap="square" lIns="38100" tIns="19050" rIns="38100" bIns="19050" anchor="ctr">
                  <a:spAutoFit/>
                </a:bodyPr>
                <a:lstStyle/>
                <a:p>
                  <a:pPr>
                    <a:defRPr sz="8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1964490276320403"/>
                      <c:h val="0.13197083138531615"/>
                    </c:manualLayout>
                  </c15:layout>
                </c:ext>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448801887104628"/>
                  <c:y val="0.1094000021236471"/>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14,601</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4336.1018878024997</c:v>
                </c:pt>
                <c:pt idx="1">
                  <c:v>232.2332244625</c:v>
                </c:pt>
                <c:pt idx="2">
                  <c:v>331.98247399249999</c:v>
                </c:pt>
                <c:pt idx="3">
                  <c:v>153.69746294000001</c:v>
                </c:pt>
                <c:pt idx="4">
                  <c:v>18.796244587499999</c:v>
                </c:pt>
                <c:pt idx="5">
                  <c:v>4.6755127749999996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RER'!$M$6:$M$35</c:f>
              <c:strCache>
                <c:ptCount val="30"/>
                <c:pt idx="0">
                  <c:v>C.H. 8 DE AGOSTO</c:v>
                </c:pt>
                <c:pt idx="1">
                  <c:v>C.H. ÁNGEL I</c:v>
                </c:pt>
                <c:pt idx="2">
                  <c:v>C.H. ÁNGEL II</c:v>
                </c:pt>
                <c:pt idx="3">
                  <c:v>C.H. ÁNGEL III</c:v>
                </c:pt>
                <c:pt idx="4">
                  <c:v>C.H. CAÑA BRAVA</c:v>
                </c:pt>
                <c:pt idx="5">
                  <c:v>C.H. CANCHAYLLO</c:v>
                </c:pt>
                <c:pt idx="6">
                  <c:v>C.H. CARHUAQUERO IV</c:v>
                </c:pt>
                <c:pt idx="7">
                  <c:v>C.H. CHANCAY</c:v>
                </c:pt>
                <c:pt idx="8">
                  <c:v>C.H. EL CARMEN</c:v>
                </c:pt>
                <c:pt idx="9">
                  <c:v>C.H. HER 1</c:v>
                </c:pt>
                <c:pt idx="10">
                  <c:v>C.H. HUALLIN</c:v>
                </c:pt>
                <c:pt idx="11">
                  <c:v>C.H. HUASAHUASI I</c:v>
                </c:pt>
                <c:pt idx="12">
                  <c:v>C.H. HUASAHUASI II</c:v>
                </c:pt>
                <c:pt idx="13">
                  <c:v>C.H. IMPERIAL</c:v>
                </c:pt>
                <c:pt idx="14">
                  <c:v>C.H. LA JOYA</c:v>
                </c:pt>
                <c:pt idx="15">
                  <c:v>C.H. LAS PIZARRAS</c:v>
                </c:pt>
                <c:pt idx="16">
                  <c:v>C.H. MANTA I</c:v>
                </c:pt>
                <c:pt idx="17">
                  <c:v>C.H. POECHOS II</c:v>
                </c:pt>
                <c:pt idx="18">
                  <c:v>C.H. POTRERO</c:v>
                </c:pt>
                <c:pt idx="19">
                  <c:v>C.H. PURMACANA</c:v>
                </c:pt>
                <c:pt idx="20">
                  <c:v>C.H. RENOVANDES H1</c:v>
                </c:pt>
                <c:pt idx="21">
                  <c:v>C.H. RONCADOR</c:v>
                </c:pt>
                <c:pt idx="22">
                  <c:v>C.H. RUCUY</c:v>
                </c:pt>
                <c:pt idx="23">
                  <c:v>C.H. RUNATULLO II</c:v>
                </c:pt>
                <c:pt idx="24">
                  <c:v>C.H. RUNATULLO III</c:v>
                </c:pt>
                <c:pt idx="25">
                  <c:v>C.H. SANTA CRUZ I</c:v>
                </c:pt>
                <c:pt idx="26">
                  <c:v>C.H. SANTA CRUZ II</c:v>
                </c:pt>
                <c:pt idx="27">
                  <c:v>C.H. YANAPAMPA</c:v>
                </c:pt>
                <c:pt idx="28">
                  <c:v>C.H. YARUCAYA</c:v>
                </c:pt>
                <c:pt idx="29">
                  <c:v>C.H.CARHUAC</c:v>
                </c:pt>
              </c:strCache>
            </c:strRef>
          </c:cat>
          <c:val>
            <c:numRef>
              <c:f>'6. FP RER'!$P$6:$P$35</c:f>
              <c:numCache>
                <c:formatCode>_(* #,##0.00_);_(* \(#,##0.00\);_(* "-"??_);_(@_)</c:formatCode>
                <c:ptCount val="30"/>
                <c:pt idx="0">
                  <c:v>10.15989725</c:v>
                </c:pt>
                <c:pt idx="1">
                  <c:v>12.053036375</c:v>
                </c:pt>
                <c:pt idx="2">
                  <c:v>12.470293215</c:v>
                </c:pt>
                <c:pt idx="3">
                  <c:v>12.275521865</c:v>
                </c:pt>
                <c:pt idx="4">
                  <c:v>3.94800058</c:v>
                </c:pt>
                <c:pt idx="5">
                  <c:v>3.6122713174999999</c:v>
                </c:pt>
                <c:pt idx="6">
                  <c:v>7.1725458199999998</c:v>
                </c:pt>
                <c:pt idx="7">
                  <c:v>14.772994027499999</c:v>
                </c:pt>
                <c:pt idx="8">
                  <c:v>3.9714627500000002</c:v>
                </c:pt>
                <c:pt idx="9">
                  <c:v>0.46663199999999999</c:v>
                </c:pt>
                <c:pt idx="10">
                  <c:v>1.6491182775</c:v>
                </c:pt>
                <c:pt idx="11">
                  <c:v>5.6842515699999998</c:v>
                </c:pt>
                <c:pt idx="12">
                  <c:v>6.0887139899999996</c:v>
                </c:pt>
                <c:pt idx="13">
                  <c:v>2.1709999999999998</c:v>
                </c:pt>
                <c:pt idx="14">
                  <c:v>4.4527914075000004</c:v>
                </c:pt>
                <c:pt idx="15">
                  <c:v>13.54643302</c:v>
                </c:pt>
                <c:pt idx="16">
                  <c:v>14.209103365000001</c:v>
                </c:pt>
                <c:pt idx="17">
                  <c:v>6.9931794150000002</c:v>
                </c:pt>
                <c:pt idx="18">
                  <c:v>12.65921825</c:v>
                </c:pt>
                <c:pt idx="19">
                  <c:v>9.8411609999999997E-2</c:v>
                </c:pt>
                <c:pt idx="20">
                  <c:v>13.15633635</c:v>
                </c:pt>
                <c:pt idx="21">
                  <c:v>1.3898524999999999</c:v>
                </c:pt>
                <c:pt idx="22">
                  <c:v>14.7451232575</c:v>
                </c:pt>
                <c:pt idx="23">
                  <c:v>8.4007358925000002</c:v>
                </c:pt>
                <c:pt idx="24">
                  <c:v>11.383726879999999</c:v>
                </c:pt>
                <c:pt idx="25">
                  <c:v>3.0243585149999999</c:v>
                </c:pt>
                <c:pt idx="26">
                  <c:v>3.4057953725000001</c:v>
                </c:pt>
                <c:pt idx="27">
                  <c:v>2.0292712750000002</c:v>
                </c:pt>
                <c:pt idx="28">
                  <c:v>13.563985750000001</c:v>
                </c:pt>
                <c:pt idx="29">
                  <c:v>11.90539777</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RER'!$M$6:$M$35</c:f>
              <c:strCache>
                <c:ptCount val="30"/>
                <c:pt idx="0">
                  <c:v>C.H. 8 DE AGOSTO</c:v>
                </c:pt>
                <c:pt idx="1">
                  <c:v>C.H. ÁNGEL I</c:v>
                </c:pt>
                <c:pt idx="2">
                  <c:v>C.H. ÁNGEL II</c:v>
                </c:pt>
                <c:pt idx="3">
                  <c:v>C.H. ÁNGEL III</c:v>
                </c:pt>
                <c:pt idx="4">
                  <c:v>C.H. CAÑA BRAVA</c:v>
                </c:pt>
                <c:pt idx="5">
                  <c:v>C.H. CANCHAYLLO</c:v>
                </c:pt>
                <c:pt idx="6">
                  <c:v>C.H. CARHUAQUERO IV</c:v>
                </c:pt>
                <c:pt idx="7">
                  <c:v>C.H. CHANCAY</c:v>
                </c:pt>
                <c:pt idx="8">
                  <c:v>C.H. EL CARMEN</c:v>
                </c:pt>
                <c:pt idx="9">
                  <c:v>C.H. HER 1</c:v>
                </c:pt>
                <c:pt idx="10">
                  <c:v>C.H. HUALLIN</c:v>
                </c:pt>
                <c:pt idx="11">
                  <c:v>C.H. HUASAHUASI I</c:v>
                </c:pt>
                <c:pt idx="12">
                  <c:v>C.H. HUASAHUASI II</c:v>
                </c:pt>
                <c:pt idx="13">
                  <c:v>C.H. IMPERIAL</c:v>
                </c:pt>
                <c:pt idx="14">
                  <c:v>C.H. LA JOYA</c:v>
                </c:pt>
                <c:pt idx="15">
                  <c:v>C.H. LAS PIZARRAS</c:v>
                </c:pt>
                <c:pt idx="16">
                  <c:v>C.H. MANTA I</c:v>
                </c:pt>
                <c:pt idx="17">
                  <c:v>C.H. POECHOS II</c:v>
                </c:pt>
                <c:pt idx="18">
                  <c:v>C.H. POTRERO</c:v>
                </c:pt>
                <c:pt idx="19">
                  <c:v>C.H. PURMACANA</c:v>
                </c:pt>
                <c:pt idx="20">
                  <c:v>C.H. RENOVANDES H1</c:v>
                </c:pt>
                <c:pt idx="21">
                  <c:v>C.H. RONCADOR</c:v>
                </c:pt>
                <c:pt idx="22">
                  <c:v>C.H. RUCUY</c:v>
                </c:pt>
                <c:pt idx="23">
                  <c:v>C.H. RUNATULLO II</c:v>
                </c:pt>
                <c:pt idx="24">
                  <c:v>C.H. RUNATULLO III</c:v>
                </c:pt>
                <c:pt idx="25">
                  <c:v>C.H. SANTA CRUZ I</c:v>
                </c:pt>
                <c:pt idx="26">
                  <c:v>C.H. SANTA CRUZ II</c:v>
                </c:pt>
                <c:pt idx="27">
                  <c:v>C.H. YANAPAMPA</c:v>
                </c:pt>
                <c:pt idx="28">
                  <c:v>C.H. YARUCAYA</c:v>
                </c:pt>
                <c:pt idx="29">
                  <c:v>C.H.CARHUAC</c:v>
                </c:pt>
              </c:strCache>
            </c:strRef>
          </c:cat>
          <c:val>
            <c:numRef>
              <c:f>'6. FP RER'!$Q$6:$Q$35</c:f>
              <c:numCache>
                <c:formatCode>_(* #,##0.00_);_(* \(#,##0.00\);_(* "-"??_);_(@_)</c:formatCode>
                <c:ptCount val="30"/>
                <c:pt idx="0">
                  <c:v>0.66352261823519487</c:v>
                </c:pt>
                <c:pt idx="1">
                  <c:v>0.80796003111748826</c:v>
                </c:pt>
                <c:pt idx="2">
                  <c:v>0.83859529860179494</c:v>
                </c:pt>
                <c:pt idx="3">
                  <c:v>0.82151503956023375</c:v>
                </c:pt>
                <c:pt idx="4">
                  <c:v>0.9358822561680985</c:v>
                </c:pt>
                <c:pt idx="5">
                  <c:v>0.93567226512556545</c:v>
                </c:pt>
                <c:pt idx="6">
                  <c:v>0.96569353653899803</c:v>
                </c:pt>
                <c:pt idx="7">
                  <c:v>0.97832946236426699</c:v>
                </c:pt>
                <c:pt idx="8">
                  <c:v>0.62210689229196359</c:v>
                </c:pt>
                <c:pt idx="9">
                  <c:v>0.92418775171496181</c:v>
                </c:pt>
                <c:pt idx="10">
                  <c:v>0.71942772625666151</c:v>
                </c:pt>
                <c:pt idx="11">
                  <c:v>0.77564701299055727</c:v>
                </c:pt>
                <c:pt idx="12">
                  <c:v>0.82130513169507902</c:v>
                </c:pt>
                <c:pt idx="13">
                  <c:v>0.7344602951644027</c:v>
                </c:pt>
                <c:pt idx="14">
                  <c:v>0.65914321322882374</c:v>
                </c:pt>
                <c:pt idx="15">
                  <c:v>0.94833569954638708</c:v>
                </c:pt>
                <c:pt idx="16">
                  <c:v>0.91980571598342009</c:v>
                </c:pt>
                <c:pt idx="17">
                  <c:v>0.98258777938329978</c:v>
                </c:pt>
                <c:pt idx="18">
                  <c:v>0.84224721775125011</c:v>
                </c:pt>
                <c:pt idx="19">
                  <c:v>7.4756988233653746E-2</c:v>
                </c:pt>
                <c:pt idx="20">
                  <c:v>0.84762955528032147</c:v>
                </c:pt>
                <c:pt idx="21">
                  <c:v>0.50695852163552169</c:v>
                </c:pt>
                <c:pt idx="22">
                  <c:v>0.97773626323530194</c:v>
                </c:pt>
                <c:pt idx="23">
                  <c:v>0.56549865695736679</c:v>
                </c:pt>
                <c:pt idx="24">
                  <c:v>0.76633818351412464</c:v>
                </c:pt>
                <c:pt idx="25">
                  <c:v>0.61256751115615704</c:v>
                </c:pt>
                <c:pt idx="26">
                  <c:v>0.70404213354120981</c:v>
                </c:pt>
                <c:pt idx="27">
                  <c:v>0.69646805318659954</c:v>
                </c:pt>
                <c:pt idx="28">
                  <c:v>1</c:v>
                </c:pt>
                <c:pt idx="29">
                  <c:v>0.78571650273069638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RER'!$M$36:$M$46</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RER'!$P$36:$P$46</c:f>
              <c:numCache>
                <c:formatCode>_(* #,##0.00_);_(* \(#,##0.00\);_(* "-"??_);_(@_)</c:formatCode>
                <c:ptCount val="11"/>
                <c:pt idx="0">
                  <c:v>28.930266265</c:v>
                </c:pt>
                <c:pt idx="1">
                  <c:v>7.1759983099999998</c:v>
                </c:pt>
                <c:pt idx="2">
                  <c:v>5.6270887724999996</c:v>
                </c:pt>
                <c:pt idx="3">
                  <c:v>14.185688845</c:v>
                </c:pt>
                <c:pt idx="4">
                  <c:v>79.671679417500002</c:v>
                </c:pt>
                <c:pt idx="5">
                  <c:v>7.7506251424999997</c:v>
                </c:pt>
                <c:pt idx="6">
                  <c:v>54.581911249999997</c:v>
                </c:pt>
                <c:pt idx="7">
                  <c:v>11.69824511</c:v>
                </c:pt>
                <c:pt idx="8">
                  <c:v>39.594794880000002</c:v>
                </c:pt>
                <c:pt idx="9">
                  <c:v>38.481503250000003</c:v>
                </c:pt>
                <c:pt idx="10">
                  <c:v>44.284672749999999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RER'!$M$36:$M$46</c:f>
              <c:strCache>
                <c:ptCount val="11"/>
                <c:pt idx="0">
                  <c:v>C.E. CUPISNIQUE</c:v>
                </c:pt>
                <c:pt idx="1">
                  <c:v>C.E. DUNA</c:v>
                </c:pt>
                <c:pt idx="2">
                  <c:v>C.E. HUAMBOS</c:v>
                </c:pt>
                <c:pt idx="3">
                  <c:v>C.E. MARCONA</c:v>
                </c:pt>
                <c:pt idx="4">
                  <c:v>C.E. PUNTA LOMITAS</c:v>
                </c:pt>
                <c:pt idx="5">
                  <c:v>C.E. PUNTA LOMITAS_EXP</c:v>
                </c:pt>
                <c:pt idx="6">
                  <c:v>C.E. SAN JUAN</c:v>
                </c:pt>
                <c:pt idx="7">
                  <c:v>C.E. TALARA</c:v>
                </c:pt>
                <c:pt idx="8">
                  <c:v>C.E. TRES HERMANAS</c:v>
                </c:pt>
                <c:pt idx="9">
                  <c:v>C.E. WAYRA EXTENSION</c:v>
                </c:pt>
                <c:pt idx="10">
                  <c:v>C.E. WAYRA I</c:v>
                </c:pt>
              </c:strCache>
            </c:strRef>
          </c:cat>
          <c:val>
            <c:numRef>
              <c:f>'6. FP RER'!$Q$36:$Q$46</c:f>
              <c:numCache>
                <c:formatCode>_(* #,##0.00_);_(* \(#,##0.00\);_(* "-"??_);_(@_)</c:formatCode>
                <c:ptCount val="11"/>
                <c:pt idx="0">
                  <c:v>0.46764601906452263</c:v>
                </c:pt>
                <c:pt idx="1">
                  <c:v>0.52504948387682115</c:v>
                </c:pt>
                <c:pt idx="2">
                  <c:v>0.41171972568792037</c:v>
                </c:pt>
                <c:pt idx="3">
                  <c:v>0.59583706506216405</c:v>
                </c:pt>
                <c:pt idx="4">
                  <c:v>0.41186765621122828</c:v>
                </c:pt>
                <c:pt idx="5">
                  <c:v>0.28619524483413089</c:v>
                </c:pt>
                <c:pt idx="6">
                  <c:v>0.54062478952227</c:v>
                </c:pt>
                <c:pt idx="7">
                  <c:v>0.50950899962717511</c:v>
                </c:pt>
                <c:pt idx="8">
                  <c:v>0.5478004150548702</c:v>
                </c:pt>
                <c:pt idx="9">
                  <c:v>0.29221723505558594</c:v>
                </c:pt>
                <c:pt idx="10">
                  <c:v>0.44990483454433144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65547</xdr:colOff>
      <xdr:row>2</xdr:row>
      <xdr:rowOff>68911</xdr:rowOff>
    </xdr:from>
    <xdr:to>
      <xdr:col>9</xdr:col>
      <xdr:colOff>210524</xdr:colOff>
      <xdr:row>63</xdr:row>
      <xdr:rowOff>2649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547" y="327991"/>
          <a:ext cx="5669477" cy="7835678"/>
        </a:xfrm>
        <a:prstGeom prst="rect">
          <a:avLst/>
        </a:prstGeom>
      </xdr:spPr>
    </xdr:pic>
    <xdr:clientData/>
  </xdr:twoCellAnchor>
  <xdr:twoCellAnchor>
    <xdr:from>
      <xdr:col>2</xdr:col>
      <xdr:colOff>167640</xdr:colOff>
      <xdr:row>45</xdr:row>
      <xdr:rowOff>6626</xdr:rowOff>
    </xdr:from>
    <xdr:to>
      <xdr:col>10</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11 de junio de 2025</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9</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mayo 2025</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INF-SGI-MES-05-2025</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76</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xdr:colOff>
      <xdr:row>81</xdr:row>
      <xdr:rowOff>6134</xdr:rowOff>
    </xdr:from>
    <xdr:to>
      <xdr:col>5</xdr:col>
      <xdr:colOff>52244</xdr:colOff>
      <xdr:row>94</xdr:row>
      <xdr:rowOff>11673</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113362</xdr:colOff>
      <xdr:row>81</xdr:row>
      <xdr:rowOff>33081</xdr:rowOff>
    </xdr:from>
    <xdr:to>
      <xdr:col>9</xdr:col>
      <xdr:colOff>677601</xdr:colOff>
      <xdr:row>94</xdr:row>
      <xdr:rowOff>38620</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129541</xdr:rowOff>
    </xdr:from>
    <xdr:to>
      <xdr:col>10</xdr:col>
      <xdr:colOff>534712</xdr:colOff>
      <xdr:row>200</xdr:row>
      <xdr:rowOff>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Q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(29,45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Q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(30,27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Q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Q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(37,79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Q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(23,86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Q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(24,04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Q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(29,75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Q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Q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(23,76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Q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Q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(22,46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Q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(23,89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Q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(24,23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Q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(23,51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Q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(25,42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Q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(23,65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Q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(23,81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Q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(23,9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Q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(24,9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25</xdr:row>
      <xdr:rowOff>19877</xdr:rowOff>
    </xdr:from>
    <xdr:to>
      <xdr:col>7</xdr:col>
      <xdr:colOff>557419</xdr:colOff>
      <xdr:row>53</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14</xdr:row>
      <xdr:rowOff>72815</xdr:rowOff>
    </xdr:from>
    <xdr:to>
      <xdr:col>3</xdr:col>
      <xdr:colOff>286381</xdr:colOff>
      <xdr:row>30</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34</xdr:row>
      <xdr:rowOff>5953</xdr:rowOff>
    </xdr:from>
    <xdr:to>
      <xdr:col>9</xdr:col>
      <xdr:colOff>246184</xdr:colOff>
      <xdr:row>48</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14</xdr:row>
      <xdr:rowOff>38663</xdr:rowOff>
    </xdr:from>
    <xdr:to>
      <xdr:col>10</xdr:col>
      <xdr:colOff>164123</xdr:colOff>
      <xdr:row>30</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68580</xdr:rowOff>
    </xdr:from>
    <xdr:to>
      <xdr:col>5</xdr:col>
      <xdr:colOff>464130</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842760"/>
          <a:ext cx="1043250" cy="1074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32</xdr:row>
      <xdr:rowOff>66261</xdr:rowOff>
    </xdr:from>
    <xdr:to>
      <xdr:col>9</xdr:col>
      <xdr:colOff>581525</xdr:colOff>
      <xdr:row>58</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24</xdr:row>
      <xdr:rowOff>45027</xdr:rowOff>
    </xdr:from>
    <xdr:to>
      <xdr:col>10</xdr:col>
      <xdr:colOff>379614</xdr:colOff>
      <xdr:row>57</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76</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dimension ref="A1"/>
  <sheetViews>
    <sheetView showGridLines="0" tabSelected="1" view="pageBreakPreview" zoomScaleNormal="100" zoomScaleSheetLayoutView="100" workbookViewId="0">
      <selection activeCell="D22" sqref="D22"/>
    </sheetView>
  </sheetViews>
  <sheetFormatPr baseColWidth="10" defaultColWidth="11.42578125" defaultRowHeight="10.199999999999999"/>
  <cols>
    <col min="10" max="10" width="17.28515625" customWidth="1"/>
  </cols>
  <sheetData/>
  <pageMargins left="0.35186274509803922" right="0.32333333333333331" top="0.97950980392156861" bottom="0.52303921568627454" header="0.31496062992125984" footer="0.31496062992125984"/>
  <pageSetup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P61"/>
  <sheetViews>
    <sheetView showGridLines="0" view="pageBreakPreview" zoomScale="115" zoomScaleNormal="100" zoomScaleSheetLayoutView="115" zoomScalePageLayoutView="115" workbookViewId="0">
      <selection activeCell="D22" sqref="D22"/>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6" ht="11.25" customHeight="1"/>
    <row r="2" spans="1:16" ht="18.75" customHeight="1">
      <c r="A2" s="851" t="s">
        <v>187</v>
      </c>
      <c r="B2" s="851"/>
      <c r="C2" s="851"/>
      <c r="D2" s="851"/>
      <c r="E2" s="851"/>
      <c r="F2" s="851"/>
      <c r="G2" s="851"/>
      <c r="H2" s="851"/>
      <c r="I2" s="851"/>
      <c r="J2" s="851"/>
      <c r="K2" s="851"/>
    </row>
    <row r="3" spans="1:16" ht="11.25" customHeight="1">
      <c r="A3" s="13"/>
      <c r="B3" s="13"/>
      <c r="C3" s="13"/>
      <c r="D3" s="13"/>
      <c r="E3" s="13"/>
      <c r="F3" s="13"/>
      <c r="G3" s="13"/>
      <c r="H3" s="13"/>
      <c r="I3" s="13"/>
      <c r="J3" s="13"/>
      <c r="K3" s="13"/>
      <c r="L3" s="30"/>
    </row>
    <row r="4" spans="1:16" ht="11.25" customHeight="1">
      <c r="A4" s="852" t="s">
        <v>283</v>
      </c>
      <c r="B4" s="852"/>
      <c r="C4" s="852"/>
      <c r="D4" s="852"/>
      <c r="E4" s="852"/>
      <c r="F4" s="852"/>
      <c r="G4" s="852"/>
      <c r="H4" s="852"/>
      <c r="I4" s="852"/>
      <c r="J4" s="852"/>
      <c r="K4" s="852"/>
      <c r="L4" s="30"/>
    </row>
    <row r="5" spans="1:16" ht="11.25" customHeight="1">
      <c r="A5" s="13"/>
      <c r="B5" s="60"/>
      <c r="C5" s="61"/>
      <c r="D5" s="62"/>
      <c r="E5" s="62"/>
      <c r="F5" s="62"/>
      <c r="G5" s="62"/>
      <c r="H5" s="63"/>
      <c r="I5" s="59"/>
      <c r="J5" s="59"/>
      <c r="K5" s="64"/>
      <c r="L5" s="5"/>
    </row>
    <row r="6" spans="1:16" ht="12.75" customHeight="1">
      <c r="A6" s="858" t="s">
        <v>161</v>
      </c>
      <c r="B6" s="853" t="s">
        <v>190</v>
      </c>
      <c r="C6" s="854"/>
      <c r="D6" s="854"/>
      <c r="E6" s="854" t="s">
        <v>31</v>
      </c>
      <c r="F6" s="854"/>
      <c r="G6" s="855" t="s">
        <v>189</v>
      </c>
      <c r="H6" s="855"/>
      <c r="I6" s="855"/>
      <c r="J6" s="855"/>
      <c r="K6" s="855"/>
      <c r="L6" s="11"/>
    </row>
    <row r="7" spans="1:16" ht="12.75" customHeight="1">
      <c r="A7" s="858"/>
      <c r="B7" s="357">
        <v>45742.791666666664</v>
      </c>
      <c r="C7" s="357">
        <v>45748.822916666664</v>
      </c>
      <c r="D7" s="357">
        <v>45779.791666666664</v>
      </c>
      <c r="E7" s="357">
        <v>45428.78125</v>
      </c>
      <c r="F7" s="856" t="s">
        <v>111</v>
      </c>
      <c r="G7" s="476">
        <v>2025</v>
      </c>
      <c r="H7" s="476">
        <v>2024</v>
      </c>
      <c r="I7" s="856" t="s">
        <v>581</v>
      </c>
      <c r="J7" s="476">
        <v>2023</v>
      </c>
      <c r="K7" s="856" t="s">
        <v>387</v>
      </c>
      <c r="L7" s="9"/>
    </row>
    <row r="8" spans="1:16" ht="12.75" customHeight="1">
      <c r="A8" s="858"/>
      <c r="B8" s="358">
        <v>45742.791666666664</v>
      </c>
      <c r="C8" s="358">
        <v>45748.822916666664</v>
      </c>
      <c r="D8" s="358">
        <v>45779.791666666664</v>
      </c>
      <c r="E8" s="358">
        <v>45428.78125</v>
      </c>
      <c r="F8" s="857"/>
      <c r="G8" s="359">
        <v>45742.791666666664</v>
      </c>
      <c r="H8" s="359">
        <v>45329.854166666664</v>
      </c>
      <c r="I8" s="857"/>
      <c r="J8" s="359">
        <v>45027.791666666664</v>
      </c>
      <c r="K8" s="857"/>
      <c r="L8" s="10"/>
    </row>
    <row r="9" spans="1:16" ht="12.75" customHeight="1">
      <c r="A9" s="858"/>
      <c r="B9" s="360">
        <v>45742.791666666664</v>
      </c>
      <c r="C9" s="360">
        <v>45748.822916666664</v>
      </c>
      <c r="D9" s="360">
        <v>45779.791666666664</v>
      </c>
      <c r="E9" s="360">
        <v>45428.78125</v>
      </c>
      <c r="F9" s="857"/>
      <c r="G9" s="360">
        <v>45742.791666666664</v>
      </c>
      <c r="H9" s="360">
        <v>45329.854166666664</v>
      </c>
      <c r="I9" s="857"/>
      <c r="J9" s="361">
        <v>45027.791666666664</v>
      </c>
      <c r="K9" s="857"/>
      <c r="L9" s="10"/>
    </row>
    <row r="10" spans="1:16" ht="12.75" customHeight="1">
      <c r="A10" s="362" t="s">
        <v>33</v>
      </c>
      <c r="B10" s="363">
        <v>4833.021270000002</v>
      </c>
      <c r="C10" s="364">
        <v>4662.1752299999989</v>
      </c>
      <c r="D10" s="757">
        <v>4434.8677200000002</v>
      </c>
      <c r="E10" s="363">
        <v>4050.1186200000011</v>
      </c>
      <c r="F10" s="365">
        <f t="shared" ref="F10:F15" si="0">+IF(E10=0,"",D10/E10-1)</f>
        <v>9.4996995421333885E-2</v>
      </c>
      <c r="G10" s="363">
        <v>4833.021270000002</v>
      </c>
      <c r="H10" s="364">
        <v>4475.6376299999984</v>
      </c>
      <c r="I10" s="365">
        <f>+IF(H10=0,"",G10/H10-1)</f>
        <v>7.9850888196237646E-2</v>
      </c>
      <c r="J10" s="363">
        <v>4362.1793299999999</v>
      </c>
      <c r="K10" s="365">
        <f>+IF(J10=0,"",H10/J10-1)</f>
        <v>2.600954509589104E-2</v>
      </c>
      <c r="L10" s="10"/>
      <c r="O10" s="266"/>
    </row>
    <row r="11" spans="1:16" ht="12.75" customHeight="1">
      <c r="A11" s="366" t="s">
        <v>34</v>
      </c>
      <c r="B11" s="367">
        <v>2624.9114799999998</v>
      </c>
      <c r="C11" s="368">
        <v>2403.74908</v>
      </c>
      <c r="D11" s="758">
        <v>2458.5883899999999</v>
      </c>
      <c r="E11" s="367">
        <v>2850.1951400000007</v>
      </c>
      <c r="F11" s="369">
        <f t="shared" si="0"/>
        <v>-0.13739646963260232</v>
      </c>
      <c r="G11" s="367">
        <v>2624.9114799999998</v>
      </c>
      <c r="H11" s="368">
        <v>3005.9687099999996</v>
      </c>
      <c r="I11" s="369">
        <f>+IF(H11=0,"",G11/H11-1)</f>
        <v>-0.12676686511484014</v>
      </c>
      <c r="J11" s="367">
        <v>2953.9779799999992</v>
      </c>
      <c r="K11" s="369">
        <f>+IF(J11=0,"",H11/J11-1)</f>
        <v>1.7600242910409403E-2</v>
      </c>
      <c r="L11" s="10"/>
      <c r="O11" s="266"/>
    </row>
    <row r="12" spans="1:16" ht="12.75" customHeight="1">
      <c r="A12" s="370" t="s">
        <v>35</v>
      </c>
      <c r="B12" s="371">
        <v>486.20463999999993</v>
      </c>
      <c r="C12" s="372">
        <v>761.54530999999997</v>
      </c>
      <c r="D12" s="759">
        <v>694.92436999999995</v>
      </c>
      <c r="E12" s="371">
        <v>531.05701999999997</v>
      </c>
      <c r="F12" s="373">
        <f t="shared" si="0"/>
        <v>0.30856827765877193</v>
      </c>
      <c r="G12" s="371">
        <v>486.20463999999993</v>
      </c>
      <c r="H12" s="372">
        <v>280.52343999999999</v>
      </c>
      <c r="I12" s="373">
        <f>+IF(H12=0,"",G12/H12-1)</f>
        <v>0.73320503983553009</v>
      </c>
      <c r="J12" s="371">
        <v>289.34881000000001</v>
      </c>
      <c r="K12" s="373">
        <f>+IF(J12=0,"",H12/J12-1)</f>
        <v>-3.050079936392347E-2</v>
      </c>
      <c r="L12" s="9"/>
    </row>
    <row r="13" spans="1:16" ht="12.75" customHeight="1">
      <c r="A13" s="366" t="s">
        <v>27</v>
      </c>
      <c r="B13" s="367">
        <v>0</v>
      </c>
      <c r="C13" s="588">
        <v>0</v>
      </c>
      <c r="D13" s="758">
        <v>0</v>
      </c>
      <c r="E13" s="367">
        <v>0</v>
      </c>
      <c r="F13" s="369" t="str">
        <f t="shared" si="0"/>
        <v/>
      </c>
      <c r="G13" s="367">
        <v>0</v>
      </c>
      <c r="H13" s="588">
        <v>0</v>
      </c>
      <c r="I13" s="369" t="str">
        <f>+IF(H13=0,"",G13/H13-1)</f>
        <v/>
      </c>
      <c r="J13" s="367">
        <v>0</v>
      </c>
      <c r="K13" s="369" t="str">
        <f>+IF(J13=0,"",H13/J13-1)</f>
        <v/>
      </c>
      <c r="L13" s="10"/>
    </row>
    <row r="14" spans="1:16" ht="12.75" customHeight="1">
      <c r="A14" s="589" t="s">
        <v>375</v>
      </c>
      <c r="B14" s="590">
        <v>-2.3584200000000006</v>
      </c>
      <c r="C14" s="591">
        <v>0.2688800000014453</v>
      </c>
      <c r="D14" s="760">
        <v>-0.37383</v>
      </c>
      <c r="E14" s="590">
        <v>-6.0100000001511944E-2</v>
      </c>
      <c r="F14" s="592">
        <f t="shared" si="0"/>
        <v>5.2201331113243841</v>
      </c>
      <c r="G14" s="590">
        <v>-2.3584200000000006</v>
      </c>
      <c r="H14" s="591">
        <v>-0.14118</v>
      </c>
      <c r="I14" s="592"/>
      <c r="J14" s="590"/>
      <c r="K14" s="592"/>
      <c r="L14" s="10"/>
    </row>
    <row r="15" spans="1:16" ht="12.75" customHeight="1">
      <c r="A15" s="374" t="s">
        <v>39</v>
      </c>
      <c r="B15" s="355">
        <f>+SUM(B10:B14)</f>
        <v>7941.7789700000021</v>
      </c>
      <c r="C15" s="355">
        <f t="shared" ref="C15:E15" si="1">+SUM(C10:C14)</f>
        <v>7827.7384999999995</v>
      </c>
      <c r="D15" s="355">
        <f>+SUM(D10:D14)</f>
        <v>7588.0066499999994</v>
      </c>
      <c r="E15" s="355">
        <f t="shared" si="1"/>
        <v>7431.3106800000005</v>
      </c>
      <c r="F15" s="399">
        <f t="shared" si="0"/>
        <v>2.1085912936154916E-2</v>
      </c>
      <c r="G15" s="396">
        <f>+SUM(G10:G14)</f>
        <v>7941.7789700000021</v>
      </c>
      <c r="H15" s="396">
        <f>+SUM(H10:H14)</f>
        <v>7761.9885999999988</v>
      </c>
      <c r="I15" s="399">
        <f>+IF(H15=0,"",G15/H15-1)</f>
        <v>2.316292631504302E-2</v>
      </c>
      <c r="J15" s="354">
        <f t="shared" ref="J15" si="2">+SUM(J10:J13)</f>
        <v>7605.5061199999991</v>
      </c>
      <c r="K15" s="399">
        <f>+IF(J15=0,"",H15/J15-1)</f>
        <v>2.0574893706087671E-2</v>
      </c>
      <c r="L15" s="10"/>
    </row>
    <row r="16" spans="1:16" ht="6.75" customHeight="1">
      <c r="A16" s="375"/>
      <c r="B16" s="375"/>
      <c r="C16" s="375"/>
      <c r="D16" s="375"/>
      <c r="E16" s="375"/>
      <c r="F16" s="376"/>
      <c r="G16" s="375"/>
      <c r="H16" s="375"/>
      <c r="I16" s="376"/>
      <c r="J16" s="375"/>
      <c r="K16" s="376"/>
      <c r="L16" s="10"/>
      <c r="O16" s="728"/>
      <c r="P16" s="728"/>
    </row>
    <row r="17" spans="1:12" ht="12.75" customHeight="1">
      <c r="A17" s="377" t="s">
        <v>36</v>
      </c>
      <c r="B17" s="378">
        <v>0</v>
      </c>
      <c r="C17" s="379">
        <v>0</v>
      </c>
      <c r="D17" s="380">
        <v>0</v>
      </c>
      <c r="E17" s="378">
        <v>0</v>
      </c>
      <c r="F17" s="653">
        <f>+IF(E17=0,0,D17/E17-1)</f>
        <v>0</v>
      </c>
      <c r="G17" s="378">
        <v>0</v>
      </c>
      <c r="H17" s="379">
        <v>0</v>
      </c>
      <c r="I17" s="380">
        <f>+IF(H17=0,0,G17/H17-1)</f>
        <v>0</v>
      </c>
      <c r="J17" s="378">
        <v>0</v>
      </c>
      <c r="K17" s="381">
        <f>+IF(J17=0,0,H17/J17-1)</f>
        <v>0</v>
      </c>
      <c r="L17" s="11"/>
    </row>
    <row r="18" spans="1:12" ht="12.75" customHeight="1">
      <c r="A18" s="382" t="s">
        <v>37</v>
      </c>
      <c r="B18" s="383">
        <v>0</v>
      </c>
      <c r="C18" s="384">
        <v>0</v>
      </c>
      <c r="D18" s="385">
        <v>0</v>
      </c>
      <c r="E18" s="383">
        <v>0</v>
      </c>
      <c r="F18" s="654">
        <f>+IF(E18=0,0,D18/E18-1)</f>
        <v>0</v>
      </c>
      <c r="G18" s="383">
        <v>0</v>
      </c>
      <c r="H18" s="384">
        <v>0</v>
      </c>
      <c r="I18" s="385">
        <f>+IF(H18=0,0,G18/H18-1)</f>
        <v>0</v>
      </c>
      <c r="J18" s="383">
        <v>0</v>
      </c>
      <c r="K18" s="386">
        <f>+IF(J18=0,0,H18/J18-1)</f>
        <v>0</v>
      </c>
      <c r="L18" s="11"/>
    </row>
    <row r="19" spans="1:12" ht="24" customHeight="1">
      <c r="A19" s="387" t="s">
        <v>38</v>
      </c>
      <c r="B19" s="388">
        <f t="shared" ref="B19:I19" si="3">+B18-B17</f>
        <v>0</v>
      </c>
      <c r="C19" s="389">
        <f t="shared" si="3"/>
        <v>0</v>
      </c>
      <c r="D19" s="390">
        <f t="shared" si="3"/>
        <v>0</v>
      </c>
      <c r="E19" s="388">
        <f t="shared" si="3"/>
        <v>0</v>
      </c>
      <c r="F19" s="391">
        <f t="shared" si="3"/>
        <v>0</v>
      </c>
      <c r="G19" s="388">
        <f t="shared" si="3"/>
        <v>0</v>
      </c>
      <c r="H19" s="389">
        <f t="shared" si="3"/>
        <v>0</v>
      </c>
      <c r="I19" s="390">
        <f t="shared" si="3"/>
        <v>0</v>
      </c>
      <c r="J19" s="388">
        <v>0</v>
      </c>
      <c r="K19" s="391">
        <f>+IF(J19=0,0,H19/J19-1)</f>
        <v>0</v>
      </c>
      <c r="L19" s="11"/>
    </row>
    <row r="20" spans="1:12" ht="6" customHeight="1">
      <c r="A20" s="392"/>
      <c r="B20" s="392"/>
      <c r="C20" s="392"/>
      <c r="D20" s="392"/>
      <c r="E20" s="392"/>
      <c r="F20" s="393"/>
      <c r="G20" s="392"/>
      <c r="H20" s="392"/>
      <c r="I20" s="393"/>
      <c r="J20" s="392"/>
      <c r="K20" s="393"/>
      <c r="L20" s="11"/>
    </row>
    <row r="21" spans="1:12" ht="24" customHeight="1">
      <c r="A21" s="394" t="s">
        <v>188</v>
      </c>
      <c r="B21" s="612">
        <f>+B15-B19</f>
        <v>7941.7789700000021</v>
      </c>
      <c r="C21" s="611">
        <f t="shared" ref="C21" si="4">+C15-C19</f>
        <v>7827.7384999999995</v>
      </c>
      <c r="D21" s="611">
        <f>+D15-D19</f>
        <v>7588.0066499999994</v>
      </c>
      <c r="E21" s="395">
        <f>+E15-E19</f>
        <v>7431.3106800000005</v>
      </c>
      <c r="F21" s="356">
        <f>+IF(E21=0,"",D21/E21-1)</f>
        <v>2.1085912936154916E-2</v>
      </c>
      <c r="G21" s="395">
        <f>+G15-G19</f>
        <v>7941.7789700000021</v>
      </c>
      <c r="H21" s="395">
        <f>+H15-H19</f>
        <v>7761.9885999999988</v>
      </c>
      <c r="I21" s="356">
        <f>+IF(H21=0,"",G21/H21-1)</f>
        <v>2.316292631504302E-2</v>
      </c>
      <c r="J21" s="395">
        <f>+J15-J19</f>
        <v>7605.5061199999991</v>
      </c>
      <c r="K21" s="356">
        <f>+IF(J21=0,"",H21/J21-1)</f>
        <v>2.0574893706087671E-2</v>
      </c>
      <c r="L21" s="11"/>
    </row>
    <row r="22" spans="1:12" ht="11.25" customHeight="1">
      <c r="A22" s="224" t="s">
        <v>602</v>
      </c>
      <c r="B22" s="126"/>
      <c r="C22" s="126"/>
      <c r="D22" s="126"/>
      <c r="E22" s="126"/>
      <c r="F22" s="126"/>
      <c r="G22" s="126"/>
      <c r="H22" s="126"/>
      <c r="I22" s="126"/>
      <c r="J22" s="126"/>
      <c r="K22" s="126"/>
      <c r="L22" s="12"/>
    </row>
    <row r="23" spans="1:12" ht="40.200000000000003" customHeight="1">
      <c r="A23" s="849" t="s">
        <v>526</v>
      </c>
      <c r="B23" s="849"/>
      <c r="C23" s="849"/>
      <c r="D23" s="849"/>
      <c r="E23" s="849"/>
      <c r="F23" s="849"/>
      <c r="G23" s="849"/>
      <c r="H23" s="849"/>
      <c r="I23" s="849"/>
      <c r="J23" s="849"/>
      <c r="K23" s="849"/>
      <c r="L23" s="11"/>
    </row>
    <row r="24" spans="1:12" ht="11.25" customHeight="1">
      <c r="A24" s="137"/>
      <c r="B24" s="137"/>
      <c r="C24" s="137"/>
      <c r="D24" s="137"/>
      <c r="E24" s="137"/>
      <c r="F24" s="137"/>
      <c r="G24" s="137"/>
      <c r="H24" s="137"/>
      <c r="I24" s="137"/>
      <c r="J24" s="137"/>
      <c r="K24" s="137"/>
      <c r="L24" s="11"/>
    </row>
    <row r="25" spans="1:12" ht="11.25" customHeight="1">
      <c r="A25" s="125"/>
      <c r="B25" s="125"/>
      <c r="C25" s="125"/>
      <c r="D25" s="125"/>
      <c r="E25" s="125"/>
      <c r="F25" s="125"/>
      <c r="G25" s="125"/>
      <c r="H25" s="125"/>
      <c r="I25" s="125"/>
      <c r="J25" s="125"/>
      <c r="K25" s="126"/>
      <c r="L25" s="11"/>
    </row>
    <row r="26" spans="1:12" ht="11.25" customHeight="1">
      <c r="A26" s="124"/>
      <c r="B26" s="126"/>
      <c r="C26" s="126"/>
      <c r="D26" s="126"/>
      <c r="E26" s="126"/>
      <c r="F26" s="126"/>
      <c r="G26" s="126"/>
      <c r="H26" s="126"/>
      <c r="I26" s="126"/>
      <c r="J26" s="126"/>
      <c r="K26" s="126"/>
      <c r="L26" s="12"/>
    </row>
    <row r="27" spans="1:12" ht="11.25" customHeight="1">
      <c r="A27" s="124"/>
      <c r="B27" s="126"/>
      <c r="C27" s="126"/>
      <c r="D27" s="126"/>
      <c r="E27" s="126"/>
      <c r="F27" s="126"/>
      <c r="G27" s="126"/>
      <c r="H27" s="126"/>
      <c r="I27" s="126"/>
      <c r="J27" s="126"/>
      <c r="K27" s="126"/>
      <c r="L27" s="11"/>
    </row>
    <row r="28" spans="1:12" ht="11.25" customHeight="1">
      <c r="A28" s="124"/>
      <c r="B28" s="126"/>
      <c r="C28" s="126"/>
      <c r="D28" s="126"/>
      <c r="E28" s="126"/>
      <c r="F28" s="126"/>
      <c r="G28" s="126"/>
      <c r="H28" s="126"/>
      <c r="I28" s="126"/>
      <c r="J28" s="126"/>
      <c r="K28" s="126"/>
      <c r="L28" s="11"/>
    </row>
    <row r="29" spans="1:12" ht="11.25" customHeight="1">
      <c r="A29" s="124"/>
      <c r="B29" s="126"/>
      <c r="C29" s="126"/>
      <c r="D29" s="126"/>
      <c r="E29" s="126"/>
      <c r="F29" s="126"/>
      <c r="G29" s="126"/>
      <c r="H29" s="126"/>
      <c r="I29" s="126"/>
      <c r="J29" s="126"/>
      <c r="K29" s="126"/>
      <c r="L29" s="11"/>
    </row>
    <row r="30" spans="1:12" ht="11.25" customHeight="1">
      <c r="A30" s="124"/>
      <c r="B30" s="126"/>
      <c r="C30" s="126"/>
      <c r="D30" s="126"/>
      <c r="E30" s="126"/>
      <c r="F30" s="126"/>
      <c r="G30" s="126"/>
      <c r="H30" s="126"/>
      <c r="I30" s="126"/>
      <c r="J30" s="126"/>
      <c r="K30" s="126"/>
      <c r="L30" s="11"/>
    </row>
    <row r="31" spans="1:12" ht="11.25" customHeight="1">
      <c r="A31" s="124"/>
      <c r="B31" s="126"/>
      <c r="C31" s="126"/>
      <c r="D31" s="126"/>
      <c r="E31" s="126"/>
      <c r="F31" s="126"/>
      <c r="G31" s="126"/>
      <c r="H31" s="126"/>
      <c r="I31" s="126"/>
      <c r="J31" s="126"/>
      <c r="K31" s="126"/>
      <c r="L31" s="11"/>
    </row>
    <row r="32" spans="1:12" ht="11.25" customHeight="1">
      <c r="A32" s="124"/>
      <c r="B32" s="126"/>
      <c r="C32" s="126"/>
      <c r="D32" s="126"/>
      <c r="E32" s="126"/>
      <c r="F32" s="126"/>
      <c r="G32" s="126"/>
      <c r="H32" s="126"/>
      <c r="I32" s="126"/>
      <c r="J32" s="126"/>
      <c r="K32" s="126"/>
      <c r="L32" s="11"/>
    </row>
    <row r="33" spans="1:12" ht="11.25" customHeight="1">
      <c r="A33" s="124"/>
      <c r="B33" s="126"/>
      <c r="C33" s="126"/>
      <c r="D33" s="126"/>
      <c r="E33" s="126"/>
      <c r="F33" s="126"/>
      <c r="G33" s="126"/>
      <c r="H33" s="126"/>
      <c r="I33" s="126"/>
      <c r="J33" s="126"/>
      <c r="K33" s="126"/>
      <c r="L33" s="11"/>
    </row>
    <row r="34" spans="1:12" ht="11.25" customHeight="1">
      <c r="A34" s="124"/>
      <c r="B34" s="126"/>
      <c r="C34" s="126"/>
      <c r="D34" s="126"/>
      <c r="E34" s="126"/>
      <c r="F34" s="126"/>
      <c r="G34" s="126"/>
      <c r="H34" s="126"/>
      <c r="I34" s="126"/>
      <c r="J34" s="126"/>
      <c r="K34" s="126"/>
      <c r="L34" s="11"/>
    </row>
    <row r="35" spans="1:12" ht="11.25" customHeight="1">
      <c r="A35" s="124"/>
      <c r="B35" s="126"/>
      <c r="C35" s="126"/>
      <c r="D35" s="126"/>
      <c r="E35" s="126"/>
      <c r="F35" s="126"/>
      <c r="G35" s="126"/>
      <c r="H35" s="126"/>
      <c r="I35" s="126"/>
      <c r="J35" s="126"/>
      <c r="K35" s="126"/>
      <c r="L35" s="11"/>
    </row>
    <row r="36" spans="1:12" ht="11.25" customHeight="1">
      <c r="A36" s="124"/>
      <c r="B36" s="126"/>
      <c r="C36" s="126"/>
      <c r="D36" s="126"/>
      <c r="E36" s="126"/>
      <c r="F36" s="126"/>
      <c r="G36" s="126"/>
      <c r="H36" s="126"/>
      <c r="I36" s="126"/>
      <c r="J36" s="126"/>
      <c r="K36" s="126"/>
      <c r="L36" s="11"/>
    </row>
    <row r="37" spans="1:12" ht="11.25" customHeight="1">
      <c r="A37" s="124"/>
      <c r="B37" s="126"/>
      <c r="C37" s="126"/>
      <c r="D37" s="126"/>
      <c r="E37" s="126"/>
      <c r="F37" s="126"/>
      <c r="G37" s="126"/>
      <c r="H37" s="126"/>
      <c r="I37" s="126"/>
      <c r="J37" s="126"/>
      <c r="K37" s="126"/>
      <c r="L37" s="11"/>
    </row>
    <row r="38" spans="1:12" ht="11.25" customHeight="1">
      <c r="A38" s="124"/>
      <c r="B38" s="126"/>
      <c r="C38" s="126"/>
      <c r="D38" s="126"/>
      <c r="E38" s="126"/>
      <c r="F38" s="126"/>
      <c r="G38" s="126"/>
      <c r="H38" s="126"/>
      <c r="I38" s="126"/>
      <c r="J38" s="126"/>
      <c r="K38" s="126"/>
      <c r="L38" s="11"/>
    </row>
    <row r="39" spans="1:12" ht="11.25" customHeight="1">
      <c r="A39" s="124"/>
      <c r="B39" s="126"/>
      <c r="C39" s="126"/>
      <c r="D39" s="126"/>
      <c r="E39" s="126"/>
      <c r="F39" s="126"/>
      <c r="G39" s="126"/>
      <c r="H39" s="126"/>
      <c r="I39" s="126"/>
      <c r="J39" s="126"/>
      <c r="K39" s="126"/>
      <c r="L39" s="11"/>
    </row>
    <row r="40" spans="1:12" ht="11.25" customHeight="1">
      <c r="A40" s="124"/>
      <c r="B40" s="126"/>
      <c r="C40" s="126"/>
      <c r="D40" s="126"/>
      <c r="E40" s="126"/>
      <c r="F40" s="126"/>
      <c r="G40" s="126"/>
      <c r="H40" s="126"/>
      <c r="I40" s="126"/>
      <c r="J40" s="126"/>
      <c r="K40" s="126"/>
      <c r="L40" s="11"/>
    </row>
    <row r="41" spans="1:12" ht="11.25" customHeight="1">
      <c r="A41" s="124"/>
      <c r="B41" s="126"/>
      <c r="C41" s="126"/>
      <c r="D41" s="126"/>
      <c r="E41" s="126"/>
      <c r="F41" s="126"/>
      <c r="G41" s="126"/>
      <c r="H41" s="126"/>
      <c r="I41" s="126"/>
      <c r="J41" s="126"/>
      <c r="K41" s="126"/>
      <c r="L41" s="11"/>
    </row>
    <row r="42" spans="1:12" ht="11.25" customHeight="1">
      <c r="A42" s="124"/>
      <c r="B42" s="126"/>
      <c r="C42" s="126"/>
      <c r="D42" s="126"/>
      <c r="E42" s="126"/>
      <c r="F42" s="126"/>
      <c r="G42" s="126"/>
      <c r="H42" s="126"/>
      <c r="I42" s="126"/>
      <c r="J42" s="126"/>
      <c r="K42" s="126"/>
      <c r="L42" s="11"/>
    </row>
    <row r="43" spans="1:12" ht="11.25" customHeight="1">
      <c r="A43" s="124"/>
      <c r="B43" s="126"/>
      <c r="C43" s="126"/>
      <c r="D43" s="126"/>
      <c r="E43" s="126"/>
      <c r="F43" s="126"/>
      <c r="G43" s="126"/>
      <c r="H43" s="126"/>
      <c r="I43" s="126"/>
      <c r="J43" s="126"/>
      <c r="K43" s="126"/>
      <c r="L43" s="11"/>
    </row>
    <row r="44" spans="1:12" ht="11.25" customHeight="1">
      <c r="A44" s="124"/>
      <c r="B44" s="126"/>
      <c r="C44" s="126"/>
      <c r="D44" s="126"/>
      <c r="E44" s="126"/>
      <c r="F44" s="126"/>
      <c r="G44" s="126"/>
      <c r="H44" s="126"/>
      <c r="I44" s="126"/>
      <c r="J44" s="126"/>
      <c r="K44" s="126"/>
      <c r="L44" s="11"/>
    </row>
    <row r="45" spans="1:12" ht="11.25" customHeight="1">
      <c r="A45" s="124"/>
      <c r="B45" s="126"/>
      <c r="C45" s="126"/>
      <c r="D45" s="126"/>
      <c r="E45" s="126"/>
      <c r="F45" s="126"/>
      <c r="G45" s="126"/>
      <c r="H45" s="126"/>
      <c r="I45" s="126"/>
      <c r="J45" s="126"/>
      <c r="K45" s="126"/>
      <c r="L45" s="11"/>
    </row>
    <row r="46" spans="1:12" ht="11.25" customHeight="1">
      <c r="A46" s="124"/>
      <c r="B46" s="126"/>
      <c r="C46" s="126"/>
      <c r="D46" s="126"/>
      <c r="E46" s="126"/>
      <c r="F46" s="126"/>
      <c r="G46" s="126"/>
      <c r="H46" s="126"/>
      <c r="I46" s="126"/>
      <c r="J46" s="126"/>
      <c r="K46" s="126"/>
      <c r="L46" s="11"/>
    </row>
    <row r="47" spans="1:12" ht="11.25" customHeight="1">
      <c r="A47" s="124"/>
      <c r="B47" s="126"/>
      <c r="C47" s="126"/>
      <c r="D47" s="126"/>
      <c r="E47" s="126"/>
      <c r="F47" s="126"/>
      <c r="G47" s="126"/>
      <c r="H47" s="126"/>
      <c r="I47" s="126"/>
      <c r="J47" s="126"/>
      <c r="K47" s="126"/>
      <c r="L47" s="32"/>
    </row>
    <row r="48" spans="1:12" ht="11.25" customHeight="1">
      <c r="A48" s="124"/>
      <c r="B48" s="126"/>
      <c r="C48" s="126"/>
      <c r="D48" s="126"/>
      <c r="E48" s="126"/>
      <c r="F48" s="126"/>
      <c r="G48" s="126"/>
      <c r="H48" s="126"/>
      <c r="I48" s="126"/>
      <c r="J48" s="126"/>
      <c r="K48" s="126"/>
      <c r="L48" s="11"/>
    </row>
    <row r="49" spans="1:12" ht="11.25" customHeight="1">
      <c r="A49" s="124"/>
      <c r="B49" s="126"/>
      <c r="C49" s="126"/>
      <c r="D49" s="126"/>
      <c r="E49" s="126"/>
      <c r="F49" s="126"/>
      <c r="G49" s="126"/>
      <c r="H49" s="126"/>
      <c r="I49" s="126"/>
      <c r="J49" s="126"/>
      <c r="K49" s="126"/>
      <c r="L49" s="11"/>
    </row>
    <row r="50" spans="1:12" ht="11.25" customHeight="1">
      <c r="A50" s="124"/>
      <c r="B50" s="126"/>
      <c r="C50" s="126"/>
      <c r="D50" s="126"/>
      <c r="E50" s="126"/>
      <c r="F50" s="126"/>
      <c r="G50" s="126"/>
      <c r="H50" s="126"/>
      <c r="I50" s="126"/>
      <c r="J50" s="126"/>
      <c r="K50" s="126"/>
      <c r="L50" s="11"/>
    </row>
    <row r="51" spans="1:12" ht="11.25" customHeight="1">
      <c r="A51" s="124"/>
      <c r="B51" s="126"/>
      <c r="C51" s="126"/>
      <c r="D51" s="126"/>
      <c r="E51" s="126"/>
      <c r="F51" s="126"/>
      <c r="G51" s="126"/>
      <c r="H51" s="126"/>
      <c r="I51" s="126"/>
      <c r="J51" s="126"/>
      <c r="K51" s="126"/>
      <c r="L51" s="11"/>
    </row>
    <row r="52" spans="1:12" ht="11.25" customHeight="1">
      <c r="A52" s="124"/>
      <c r="B52" s="126"/>
      <c r="C52" s="126"/>
      <c r="D52" s="126"/>
      <c r="E52" s="126"/>
      <c r="F52" s="126"/>
      <c r="G52" s="126"/>
      <c r="H52" s="126"/>
      <c r="I52" s="126"/>
      <c r="J52" s="126"/>
      <c r="K52" s="126"/>
      <c r="L52" s="11"/>
    </row>
    <row r="53" spans="1:12" ht="11.25" customHeight="1">
      <c r="A53" s="138"/>
      <c r="B53" s="138"/>
      <c r="C53" s="138"/>
      <c r="D53" s="138"/>
      <c r="E53" s="138"/>
      <c r="F53" s="138"/>
      <c r="G53" s="138"/>
      <c r="H53" s="138"/>
      <c r="I53" s="138"/>
      <c r="J53" s="138"/>
      <c r="K53" s="138"/>
      <c r="L53" s="11"/>
    </row>
    <row r="54" spans="1:12" ht="11.25" customHeight="1">
      <c r="L54" s="7"/>
    </row>
    <row r="55" spans="1:12" ht="11.25" customHeight="1">
      <c r="A55" s="139"/>
      <c r="B55" s="126"/>
      <c r="C55" s="126"/>
      <c r="D55" s="126"/>
      <c r="E55" s="126"/>
      <c r="F55" s="126"/>
      <c r="G55" s="126"/>
      <c r="H55" s="126"/>
      <c r="I55" s="126"/>
      <c r="J55" s="126"/>
      <c r="K55" s="126"/>
      <c r="L55" s="7"/>
    </row>
    <row r="56" spans="1:12" ht="11.25" customHeight="1">
      <c r="A56" s="139"/>
      <c r="B56" s="140"/>
      <c r="C56" s="140"/>
      <c r="D56" s="140"/>
      <c r="E56" s="140"/>
      <c r="F56" s="140"/>
      <c r="G56" s="126"/>
      <c r="H56" s="126"/>
      <c r="I56" s="126"/>
      <c r="J56" s="126"/>
      <c r="K56" s="126"/>
      <c r="L56" s="7"/>
    </row>
    <row r="57" spans="1:12" ht="11.25" customHeight="1">
      <c r="A57" s="120"/>
      <c r="B57" s="141"/>
      <c r="C57" s="141"/>
      <c r="D57" s="142"/>
      <c r="E57" s="142"/>
      <c r="F57" s="142"/>
      <c r="G57" s="126"/>
      <c r="H57" s="126"/>
      <c r="I57" s="126"/>
      <c r="J57" s="126"/>
      <c r="K57" s="126"/>
      <c r="L57" s="7"/>
    </row>
    <row r="58" spans="1:12" ht="11.25" customHeight="1">
      <c r="L58" s="7"/>
    </row>
    <row r="59" spans="1:12" ht="11.4">
      <c r="A59" s="850" t="str">
        <f>"Gráfico N° 11: Comparación de la máxima potencia coincidente (MW) anual por tipo de generación en el SEIN."</f>
        <v>Gráfico N° 11: Comparación de la máxima potencia coincidente (MW) anual por tipo de generación en el SEIN.</v>
      </c>
      <c r="B59" s="850"/>
      <c r="C59" s="850"/>
      <c r="D59" s="850"/>
      <c r="E59" s="850"/>
      <c r="F59" s="850"/>
      <c r="G59" s="850"/>
      <c r="H59" s="850"/>
      <c r="I59" s="850"/>
      <c r="J59" s="850"/>
      <c r="K59" s="850"/>
      <c r="L59" s="7"/>
    </row>
    <row r="60" spans="1:12" ht="11.4">
      <c r="A60" s="120"/>
      <c r="B60" s="141"/>
      <c r="C60" s="141"/>
      <c r="D60" s="142"/>
      <c r="E60" s="142"/>
      <c r="F60" s="142"/>
      <c r="G60" s="126"/>
      <c r="H60" s="126"/>
      <c r="I60" s="126"/>
      <c r="J60" s="126"/>
      <c r="K60" s="126"/>
      <c r="L60" s="7"/>
    </row>
    <row r="61" spans="1:12" ht="11.4">
      <c r="A61" s="120"/>
      <c r="B61" s="141"/>
      <c r="C61" s="141"/>
      <c r="D61" s="142"/>
      <c r="E61" s="142"/>
      <c r="F61" s="142"/>
      <c r="G61" s="126"/>
      <c r="H61" s="126"/>
      <c r="I61" s="126"/>
      <c r="J61" s="126"/>
      <c r="K61" s="126"/>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ignoredErrors>
    <ignoredError sqref="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P80"/>
  <sheetViews>
    <sheetView showGridLines="0" view="pageBreakPreview" zoomScale="115" zoomScaleNormal="100" zoomScaleSheetLayoutView="115" zoomScalePageLayoutView="120" workbookViewId="0">
      <selection activeCell="D22" sqref="D22"/>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449" customWidth="1"/>
    <col min="14" max="15" width="9.28515625" style="237"/>
    <col min="16" max="16" width="9.28515625" style="447"/>
  </cols>
  <sheetData>
    <row r="1" spans="1:16" ht="25.5" customHeight="1">
      <c r="A1" s="861" t="s">
        <v>192</v>
      </c>
      <c r="B1" s="861"/>
      <c r="C1" s="861"/>
      <c r="D1" s="861"/>
      <c r="E1" s="861"/>
      <c r="F1" s="861"/>
      <c r="G1" s="861"/>
      <c r="H1" s="861"/>
      <c r="I1" s="861"/>
      <c r="J1" s="861"/>
      <c r="K1" s="861"/>
    </row>
    <row r="2" spans="1:16" ht="11.25" customHeight="1">
      <c r="A2" s="862" t="s">
        <v>112</v>
      </c>
      <c r="B2" s="864" t="str">
        <f>+'1. Resumen'!Q4</f>
        <v>mayo</v>
      </c>
      <c r="C2" s="865"/>
      <c r="D2" s="866"/>
      <c r="E2" s="126"/>
      <c r="F2" s="126"/>
      <c r="G2" s="126"/>
      <c r="H2" s="867" t="s">
        <v>579</v>
      </c>
      <c r="I2" s="867"/>
      <c r="J2" s="867"/>
      <c r="K2" s="126"/>
      <c r="L2" s="548"/>
      <c r="M2" s="736"/>
    </row>
    <row r="3" spans="1:16" ht="11.25" customHeight="1">
      <c r="A3" s="862"/>
      <c r="B3" s="720">
        <v>2025</v>
      </c>
      <c r="C3" s="719">
        <v>2024</v>
      </c>
      <c r="D3" s="866" t="s">
        <v>32</v>
      </c>
      <c r="E3" s="126"/>
      <c r="F3" s="126"/>
      <c r="G3" s="126"/>
      <c r="H3" s="126"/>
      <c r="I3" s="126"/>
      <c r="J3" s="126"/>
      <c r="K3" s="126"/>
      <c r="L3" s="420"/>
      <c r="M3" s="737"/>
    </row>
    <row r="4" spans="1:16" ht="11.25" customHeight="1">
      <c r="A4" s="862"/>
      <c r="B4" s="721">
        <f>+'8. Max Potencia'!D8</f>
        <v>45779.791666666664</v>
      </c>
      <c r="C4" s="721">
        <f>+'8. Max Potencia'!E8</f>
        <v>45428.78125</v>
      </c>
      <c r="D4" s="866"/>
      <c r="E4" s="126"/>
      <c r="F4" s="126"/>
      <c r="G4" s="126"/>
      <c r="H4" s="126"/>
      <c r="I4" s="126"/>
      <c r="J4" s="126"/>
      <c r="K4" s="126"/>
      <c r="L4" s="420"/>
      <c r="M4" s="738"/>
    </row>
    <row r="5" spans="1:16" ht="11.25" customHeight="1" thickBot="1">
      <c r="A5" s="863"/>
      <c r="B5" s="722">
        <f>+'8. Max Potencia'!D9</f>
        <v>45779.791666666664</v>
      </c>
      <c r="C5" s="722">
        <f>+'8. Max Potencia'!E9</f>
        <v>45428.78125</v>
      </c>
      <c r="D5" s="868"/>
      <c r="E5" s="126"/>
      <c r="F5" s="126"/>
      <c r="G5" s="126"/>
      <c r="H5" s="126"/>
      <c r="I5" s="126"/>
      <c r="J5" s="126"/>
      <c r="K5" s="126"/>
      <c r="M5" s="737" t="s">
        <v>191</v>
      </c>
      <c r="N5" s="449">
        <v>2025</v>
      </c>
      <c r="O5" s="449">
        <v>2024</v>
      </c>
    </row>
    <row r="6" spans="1:16" ht="9" customHeight="1">
      <c r="A6" s="496" t="s">
        <v>777</v>
      </c>
      <c r="B6" s="575">
        <v>1640.6095399999999</v>
      </c>
      <c r="C6" s="575">
        <v>1441.3578299999999</v>
      </c>
      <c r="D6" s="497">
        <f>IF(C6=0,"",B6/C6-1)</f>
        <v>0.13823889241993426</v>
      </c>
      <c r="E6" s="126"/>
      <c r="F6" s="126"/>
      <c r="G6" s="126"/>
      <c r="H6" s="126"/>
      <c r="I6" s="126"/>
      <c r="J6" s="126"/>
      <c r="K6" s="126"/>
      <c r="L6" s="544"/>
      <c r="M6" s="734" t="s">
        <v>82</v>
      </c>
      <c r="N6" s="739"/>
      <c r="O6" s="739">
        <v>1030.0839999999998</v>
      </c>
      <c r="P6" s="735"/>
    </row>
    <row r="7" spans="1:16" ht="9" customHeight="1">
      <c r="A7" s="498" t="s">
        <v>540</v>
      </c>
      <c r="B7" s="576">
        <v>1043.0579999999998</v>
      </c>
      <c r="C7" s="576"/>
      <c r="D7" s="499" t="str">
        <f t="shared" ref="D7:D70" si="0">IF(C7=0,"",B7/C7-1)</f>
        <v/>
      </c>
      <c r="E7" s="126"/>
      <c r="F7" s="126"/>
      <c r="G7" s="126"/>
      <c r="H7" s="126"/>
      <c r="I7" s="126"/>
      <c r="J7" s="126"/>
      <c r="K7" s="126"/>
      <c r="L7" s="545"/>
      <c r="M7" s="734" t="s">
        <v>563</v>
      </c>
      <c r="N7" s="738"/>
      <c r="O7" s="738">
        <v>0</v>
      </c>
      <c r="P7" s="735"/>
    </row>
    <row r="8" spans="1:16" ht="9" customHeight="1">
      <c r="A8" s="500" t="s">
        <v>83</v>
      </c>
      <c r="B8" s="577">
        <v>862.10669999999993</v>
      </c>
      <c r="C8" s="577">
        <v>878.73013999999989</v>
      </c>
      <c r="D8" s="501">
        <f t="shared" si="0"/>
        <v>-1.8917571212477058E-2</v>
      </c>
      <c r="E8" s="269"/>
      <c r="F8" s="126"/>
      <c r="G8" s="126"/>
      <c r="H8" s="126"/>
      <c r="I8" s="126"/>
      <c r="J8" s="126"/>
      <c r="K8" s="126"/>
      <c r="M8" s="734" t="s">
        <v>364</v>
      </c>
      <c r="N8" s="739"/>
      <c r="O8" s="739">
        <v>2.6834100000000003</v>
      </c>
      <c r="P8" s="735"/>
    </row>
    <row r="9" spans="1:16" ht="9" customHeight="1">
      <c r="A9" s="498" t="s">
        <v>81</v>
      </c>
      <c r="B9" s="576">
        <v>800.44747000000018</v>
      </c>
      <c r="C9" s="576">
        <v>1087.2421099999999</v>
      </c>
      <c r="D9" s="499">
        <f t="shared" si="0"/>
        <v>-0.26378176246319207</v>
      </c>
      <c r="E9" s="126"/>
      <c r="F9" s="126"/>
      <c r="G9" s="126"/>
      <c r="H9" s="126"/>
      <c r="I9" s="126"/>
      <c r="J9" s="126"/>
      <c r="K9" s="126"/>
      <c r="M9" s="734" t="s">
        <v>97</v>
      </c>
      <c r="N9" s="738">
        <v>0</v>
      </c>
      <c r="O9" s="738">
        <v>0</v>
      </c>
      <c r="P9" s="735"/>
    </row>
    <row r="10" spans="1:16" ht="9" customHeight="1">
      <c r="A10" s="500" t="s">
        <v>182</v>
      </c>
      <c r="B10" s="577">
        <v>434.95931000000002</v>
      </c>
      <c r="C10" s="577">
        <v>546.87748999999997</v>
      </c>
      <c r="D10" s="501">
        <f t="shared" si="0"/>
        <v>-0.20464945448751226</v>
      </c>
      <c r="E10" s="126"/>
      <c r="F10" s="126"/>
      <c r="G10" s="126"/>
      <c r="H10" s="126"/>
      <c r="I10" s="126"/>
      <c r="J10" s="126"/>
      <c r="K10" s="126"/>
      <c r="M10" s="734" t="s">
        <v>93</v>
      </c>
      <c r="N10" s="738">
        <v>0</v>
      </c>
      <c r="O10" s="738">
        <v>0</v>
      </c>
      <c r="P10" s="735"/>
    </row>
    <row r="11" spans="1:16" ht="9" customHeight="1">
      <c r="A11" s="498" t="s">
        <v>84</v>
      </c>
      <c r="B11" s="576">
        <v>404.74414999999999</v>
      </c>
      <c r="C11" s="576">
        <v>284.83311000000003</v>
      </c>
      <c r="D11" s="499">
        <f t="shared" si="0"/>
        <v>0.42098701235962332</v>
      </c>
      <c r="E11" s="126"/>
      <c r="F11" s="126"/>
      <c r="G11" s="126"/>
      <c r="H11" s="126"/>
      <c r="I11" s="126"/>
      <c r="J11" s="126"/>
      <c r="K11" s="126"/>
      <c r="L11" s="544"/>
      <c r="M11" s="734" t="s">
        <v>100</v>
      </c>
      <c r="N11" s="738">
        <v>0</v>
      </c>
      <c r="O11" s="738">
        <v>0</v>
      </c>
      <c r="P11" s="735"/>
    </row>
    <row r="12" spans="1:16" ht="9" customHeight="1">
      <c r="A12" s="500" t="s">
        <v>183</v>
      </c>
      <c r="B12" s="577">
        <v>343.27731999999997</v>
      </c>
      <c r="C12" s="577">
        <v>330.43694999999997</v>
      </c>
      <c r="D12" s="501">
        <f t="shared" si="0"/>
        <v>3.885875959089935E-2</v>
      </c>
      <c r="E12" s="126"/>
      <c r="F12" s="126"/>
      <c r="G12" s="126"/>
      <c r="H12" s="126"/>
      <c r="I12" s="126"/>
      <c r="J12" s="126"/>
      <c r="K12" s="126"/>
      <c r="L12" s="545"/>
      <c r="M12" s="734" t="s">
        <v>108</v>
      </c>
      <c r="N12" s="738">
        <v>0</v>
      </c>
      <c r="O12" s="738">
        <v>0</v>
      </c>
      <c r="P12" s="735"/>
    </row>
    <row r="13" spans="1:16" ht="9" customHeight="1">
      <c r="A13" s="498" t="s">
        <v>180</v>
      </c>
      <c r="B13" s="576">
        <v>236.33807000000002</v>
      </c>
      <c r="C13" s="576">
        <v>229.54671999999999</v>
      </c>
      <c r="D13" s="499">
        <f t="shared" si="0"/>
        <v>2.9585916104573506E-2</v>
      </c>
      <c r="E13" s="126"/>
      <c r="F13" s="126"/>
      <c r="G13" s="126"/>
      <c r="H13" s="126"/>
      <c r="I13" s="126"/>
      <c r="J13" s="126"/>
      <c r="K13" s="126"/>
      <c r="L13" s="545"/>
      <c r="M13" s="734" t="s">
        <v>185</v>
      </c>
      <c r="N13" s="739">
        <v>0</v>
      </c>
      <c r="O13" s="739">
        <v>0</v>
      </c>
      <c r="P13" s="735"/>
    </row>
    <row r="14" spans="1:16" ht="9" customHeight="1">
      <c r="A14" s="500" t="s">
        <v>88</v>
      </c>
      <c r="B14" s="577">
        <v>222.75839999999999</v>
      </c>
      <c r="C14" s="577">
        <v>219.83161000000001</v>
      </c>
      <c r="D14" s="501">
        <f t="shared" si="0"/>
        <v>1.3313781398407443E-2</v>
      </c>
      <c r="E14" s="126"/>
      <c r="F14" s="126"/>
      <c r="G14" s="126"/>
      <c r="H14" s="126"/>
      <c r="I14" s="126"/>
      <c r="J14" s="126"/>
      <c r="K14" s="126"/>
      <c r="L14" s="545"/>
      <c r="M14" s="734" t="s">
        <v>781</v>
      </c>
      <c r="N14" s="738">
        <v>0</v>
      </c>
      <c r="O14" s="738">
        <v>0</v>
      </c>
      <c r="P14" s="735"/>
    </row>
    <row r="15" spans="1:16" ht="9" customHeight="1">
      <c r="A15" s="498" t="s">
        <v>87</v>
      </c>
      <c r="B15" s="576">
        <v>176.58278999999999</v>
      </c>
      <c r="C15" s="576">
        <v>99.490000000000009</v>
      </c>
      <c r="D15" s="499">
        <f t="shared" si="0"/>
        <v>0.77487978691325732</v>
      </c>
      <c r="E15" s="126"/>
      <c r="F15" s="126"/>
      <c r="G15" s="126"/>
      <c r="H15" s="126"/>
      <c r="I15" s="126"/>
      <c r="J15" s="126"/>
      <c r="K15" s="126"/>
      <c r="L15" s="545"/>
      <c r="M15" s="734" t="s">
        <v>782</v>
      </c>
      <c r="N15" s="738">
        <v>0</v>
      </c>
      <c r="O15" s="738">
        <v>0</v>
      </c>
      <c r="P15" s="735"/>
    </row>
    <row r="16" spans="1:16" ht="9" customHeight="1">
      <c r="A16" s="500" t="s">
        <v>86</v>
      </c>
      <c r="B16" s="577">
        <v>166.98700000000002</v>
      </c>
      <c r="C16" s="577">
        <v>166.655</v>
      </c>
      <c r="D16" s="501">
        <f t="shared" si="0"/>
        <v>1.9921394497615097E-3</v>
      </c>
      <c r="E16" s="126"/>
      <c r="F16" s="126"/>
      <c r="G16" s="126"/>
      <c r="H16" s="126"/>
      <c r="I16" s="126"/>
      <c r="J16" s="126"/>
      <c r="K16" s="126"/>
      <c r="L16" s="545"/>
      <c r="M16" s="734" t="s">
        <v>308</v>
      </c>
      <c r="N16" s="738">
        <v>0</v>
      </c>
      <c r="O16" s="738">
        <v>7.536900000000001</v>
      </c>
      <c r="P16" s="735"/>
    </row>
    <row r="17" spans="1:16" ht="9" customHeight="1">
      <c r="A17" s="498" t="s">
        <v>85</v>
      </c>
      <c r="B17" s="576">
        <v>126.93666999999998</v>
      </c>
      <c r="C17" s="576">
        <v>156.59586999999999</v>
      </c>
      <c r="D17" s="499">
        <f t="shared" si="0"/>
        <v>-0.18939963103752366</v>
      </c>
      <c r="E17" s="126"/>
      <c r="F17" s="126"/>
      <c r="G17" s="126"/>
      <c r="H17" s="126"/>
      <c r="I17" s="126"/>
      <c r="J17" s="126"/>
      <c r="K17" s="126"/>
      <c r="L17" s="545"/>
      <c r="M17" s="734" t="s">
        <v>98</v>
      </c>
      <c r="N17" s="739">
        <v>0</v>
      </c>
      <c r="O17" s="739">
        <v>0</v>
      </c>
      <c r="P17" s="735"/>
    </row>
    <row r="18" spans="1:16" ht="9" customHeight="1">
      <c r="A18" s="500" t="s">
        <v>376</v>
      </c>
      <c r="B18" s="577">
        <v>125.494</v>
      </c>
      <c r="C18" s="577">
        <v>101.444</v>
      </c>
      <c r="D18" s="501">
        <f t="shared" si="0"/>
        <v>0.23707661369819788</v>
      </c>
      <c r="E18" s="126"/>
      <c r="F18" s="126"/>
      <c r="G18" s="126"/>
      <c r="H18" s="126"/>
      <c r="I18" s="126"/>
      <c r="J18" s="126"/>
      <c r="K18" s="126"/>
      <c r="L18" s="545"/>
      <c r="M18" s="734" t="s">
        <v>101</v>
      </c>
      <c r="N18" s="739">
        <v>0</v>
      </c>
      <c r="O18" s="739">
        <v>0</v>
      </c>
      <c r="P18" s="735"/>
    </row>
    <row r="19" spans="1:16" ht="9" customHeight="1">
      <c r="A19" s="498" t="s">
        <v>89</v>
      </c>
      <c r="B19" s="576">
        <v>111.80582</v>
      </c>
      <c r="C19" s="576">
        <v>103.10871</v>
      </c>
      <c r="D19" s="499">
        <f t="shared" si="0"/>
        <v>8.434893618589534E-2</v>
      </c>
      <c r="E19" s="126"/>
      <c r="F19" s="126"/>
      <c r="G19" s="126"/>
      <c r="H19" s="126"/>
      <c r="I19" s="126"/>
      <c r="J19" s="126"/>
      <c r="K19" s="126"/>
      <c r="L19" s="546"/>
      <c r="M19" s="734" t="s">
        <v>780</v>
      </c>
      <c r="N19" s="738">
        <v>0</v>
      </c>
      <c r="O19" s="738">
        <v>0</v>
      </c>
      <c r="P19" s="735"/>
    </row>
    <row r="20" spans="1:16" ht="9" customHeight="1">
      <c r="A20" s="500" t="s">
        <v>778</v>
      </c>
      <c r="B20" s="577">
        <v>89.873620000000003</v>
      </c>
      <c r="C20" s="577">
        <v>89.461379999999991</v>
      </c>
      <c r="D20" s="501">
        <f t="shared" si="0"/>
        <v>4.6080219196262817E-3</v>
      </c>
      <c r="E20" s="126"/>
      <c r="F20" s="126"/>
      <c r="G20" s="126"/>
      <c r="H20" s="126"/>
      <c r="I20" s="126"/>
      <c r="J20" s="126"/>
      <c r="K20" s="126"/>
      <c r="L20" s="545"/>
      <c r="M20" s="734" t="s">
        <v>380</v>
      </c>
      <c r="N20" s="738">
        <v>0</v>
      </c>
      <c r="O20" s="738">
        <v>0</v>
      </c>
      <c r="P20" s="735"/>
    </row>
    <row r="21" spans="1:16" ht="9" customHeight="1">
      <c r="A21" s="498" t="s">
        <v>92</v>
      </c>
      <c r="B21" s="576">
        <v>89.719229999999996</v>
      </c>
      <c r="C21" s="576">
        <v>47.28839</v>
      </c>
      <c r="D21" s="499">
        <f t="shared" si="0"/>
        <v>0.89727816912354164</v>
      </c>
      <c r="E21" s="126"/>
      <c r="F21" s="126"/>
      <c r="G21" s="126"/>
      <c r="H21" s="126"/>
      <c r="I21" s="126"/>
      <c r="J21" s="126"/>
      <c r="K21" s="126"/>
      <c r="L21" s="545"/>
      <c r="M21" s="734" t="s">
        <v>620</v>
      </c>
      <c r="N21" s="739">
        <v>0</v>
      </c>
      <c r="O21" s="739"/>
      <c r="P21" s="735"/>
    </row>
    <row r="22" spans="1:16" ht="9" customHeight="1">
      <c r="A22" s="500" t="s">
        <v>351</v>
      </c>
      <c r="B22" s="577">
        <v>76.948000000000008</v>
      </c>
      <c r="C22" s="577">
        <v>40.548000000000002</v>
      </c>
      <c r="D22" s="501">
        <f t="shared" si="0"/>
        <v>0.89770148959258167</v>
      </c>
      <c r="E22" s="126"/>
      <c r="F22" s="126"/>
      <c r="G22" s="126"/>
      <c r="H22" s="126"/>
      <c r="I22" s="126"/>
      <c r="J22" s="126"/>
      <c r="K22" s="126"/>
      <c r="L22" s="545"/>
      <c r="M22" s="734" t="s">
        <v>107</v>
      </c>
      <c r="N22" s="738">
        <v>0</v>
      </c>
      <c r="O22" s="738">
        <v>0</v>
      </c>
      <c r="P22" s="735"/>
    </row>
    <row r="23" spans="1:16" ht="9" customHeight="1">
      <c r="A23" s="498" t="s">
        <v>547</v>
      </c>
      <c r="B23" s="576">
        <v>68.900719999999993</v>
      </c>
      <c r="C23" s="576">
        <v>43.411630000000002</v>
      </c>
      <c r="D23" s="499">
        <f t="shared" si="0"/>
        <v>0.58714888153243705</v>
      </c>
      <c r="E23" s="126"/>
      <c r="F23" s="126"/>
      <c r="G23" s="126"/>
      <c r="H23" s="126"/>
      <c r="I23" s="126"/>
      <c r="J23" s="126"/>
      <c r="K23" s="126"/>
      <c r="L23" s="546"/>
      <c r="M23" s="734" t="s">
        <v>621</v>
      </c>
      <c r="N23" s="738">
        <v>0</v>
      </c>
      <c r="O23" s="738"/>
      <c r="P23" s="735"/>
    </row>
    <row r="24" spans="1:16" ht="9" customHeight="1">
      <c r="A24" s="500" t="s">
        <v>99</v>
      </c>
      <c r="B24" s="577">
        <v>68.448980000000006</v>
      </c>
      <c r="C24" s="577">
        <v>32.447519999999997</v>
      </c>
      <c r="D24" s="501">
        <f t="shared" si="0"/>
        <v>1.1095288638392091</v>
      </c>
      <c r="E24" s="126"/>
      <c r="F24" s="126"/>
      <c r="G24" s="126"/>
      <c r="H24" s="126"/>
      <c r="I24" s="126"/>
      <c r="J24" s="126"/>
      <c r="K24" s="126"/>
      <c r="L24" s="545"/>
      <c r="M24" s="734" t="s">
        <v>347</v>
      </c>
      <c r="N24" s="738">
        <v>0</v>
      </c>
      <c r="O24" s="738">
        <v>6.0000000000000002E-5</v>
      </c>
      <c r="P24" s="735"/>
    </row>
    <row r="25" spans="1:16" ht="9" customHeight="1">
      <c r="A25" s="498" t="s">
        <v>91</v>
      </c>
      <c r="B25" s="576">
        <v>62.114310000000003</v>
      </c>
      <c r="C25" s="576">
        <v>90.83</v>
      </c>
      <c r="D25" s="499">
        <f t="shared" si="0"/>
        <v>-0.31614763844544747</v>
      </c>
      <c r="E25" s="126"/>
      <c r="F25" s="126"/>
      <c r="G25" s="126"/>
      <c r="H25" s="126"/>
      <c r="I25" s="126"/>
      <c r="J25" s="126"/>
      <c r="K25" s="126"/>
      <c r="L25" s="545"/>
      <c r="M25" s="734" t="s">
        <v>538</v>
      </c>
      <c r="N25" s="738">
        <v>0</v>
      </c>
      <c r="O25" s="738"/>
      <c r="P25" s="735"/>
    </row>
    <row r="26" spans="1:16" ht="9" customHeight="1">
      <c r="A26" s="500" t="s">
        <v>181</v>
      </c>
      <c r="B26" s="577">
        <v>47.61741</v>
      </c>
      <c r="C26" s="577">
        <v>26.144580000000001</v>
      </c>
      <c r="D26" s="501">
        <f t="shared" si="0"/>
        <v>0.82131095622878614</v>
      </c>
      <c r="E26" s="126"/>
      <c r="F26" s="126"/>
      <c r="G26" s="126"/>
      <c r="H26" s="126"/>
      <c r="I26" s="126"/>
      <c r="J26" s="126"/>
      <c r="K26" s="126"/>
      <c r="L26" s="545"/>
      <c r="M26" s="734" t="s">
        <v>532</v>
      </c>
      <c r="N26" s="738">
        <v>0</v>
      </c>
      <c r="O26" s="738">
        <v>49.917929999999998</v>
      </c>
      <c r="P26" s="735"/>
    </row>
    <row r="27" spans="1:16" ht="9" customHeight="1">
      <c r="A27" s="498" t="s">
        <v>90</v>
      </c>
      <c r="B27" s="576">
        <v>46.61</v>
      </c>
      <c r="C27" s="576">
        <v>35.156999999999996</v>
      </c>
      <c r="D27" s="499">
        <f t="shared" si="0"/>
        <v>0.3257672725204086</v>
      </c>
      <c r="E27" s="126"/>
      <c r="F27" s="126"/>
      <c r="G27" s="126"/>
      <c r="H27" s="126"/>
      <c r="I27" s="126"/>
      <c r="J27" s="126"/>
      <c r="K27" s="126"/>
      <c r="L27" s="545"/>
      <c r="M27" s="734" t="s">
        <v>365</v>
      </c>
      <c r="N27" s="738">
        <v>0</v>
      </c>
      <c r="O27" s="738">
        <v>0</v>
      </c>
      <c r="P27" s="735"/>
    </row>
    <row r="28" spans="1:16" ht="9" customHeight="1">
      <c r="A28" s="502" t="s">
        <v>94</v>
      </c>
      <c r="B28" s="578">
        <v>33.149850000000001</v>
      </c>
      <c r="C28" s="578">
        <v>6.8137299999999996</v>
      </c>
      <c r="D28" s="503">
        <f t="shared" si="0"/>
        <v>3.8651546216242796</v>
      </c>
      <c r="E28" s="126"/>
      <c r="F28" s="126"/>
      <c r="G28" s="126"/>
      <c r="H28" s="126"/>
      <c r="I28" s="126"/>
      <c r="J28" s="126"/>
      <c r="K28" s="126"/>
      <c r="L28" s="545"/>
      <c r="M28" s="734" t="s">
        <v>179</v>
      </c>
      <c r="N28" s="738">
        <v>0</v>
      </c>
      <c r="O28" s="738">
        <v>0</v>
      </c>
      <c r="P28" s="735"/>
    </row>
    <row r="29" spans="1:16" ht="9" customHeight="1">
      <c r="A29" s="504" t="s">
        <v>184</v>
      </c>
      <c r="B29" s="579">
        <v>31.887250000000002</v>
      </c>
      <c r="C29" s="579">
        <v>23.12276</v>
      </c>
      <c r="D29" s="505">
        <f t="shared" si="0"/>
        <v>0.37904168879493638</v>
      </c>
      <c r="E29" s="126"/>
      <c r="F29" s="126"/>
      <c r="G29" s="126"/>
      <c r="H29" s="126"/>
      <c r="I29" s="126"/>
      <c r="J29" s="126"/>
      <c r="K29" s="126"/>
      <c r="L29" s="545"/>
      <c r="M29" s="734" t="s">
        <v>783</v>
      </c>
      <c r="N29" s="738">
        <v>0</v>
      </c>
      <c r="O29" s="738">
        <v>0</v>
      </c>
      <c r="P29" s="735"/>
    </row>
    <row r="30" spans="1:16" ht="9" customHeight="1">
      <c r="A30" s="506" t="s">
        <v>102</v>
      </c>
      <c r="B30" s="580">
        <v>29.419290000000004</v>
      </c>
      <c r="C30" s="580">
        <v>25.756100000000004</v>
      </c>
      <c r="D30" s="507">
        <f t="shared" si="0"/>
        <v>0.14222611342555735</v>
      </c>
      <c r="E30" s="126"/>
      <c r="F30" s="126"/>
      <c r="G30" s="126"/>
      <c r="H30" s="126"/>
      <c r="I30" s="126"/>
      <c r="J30" s="126"/>
      <c r="K30" s="126"/>
      <c r="L30" s="545"/>
      <c r="M30" s="734" t="s">
        <v>784</v>
      </c>
      <c r="N30" s="738">
        <v>0</v>
      </c>
      <c r="O30" s="738">
        <v>0</v>
      </c>
      <c r="P30" s="735"/>
    </row>
    <row r="31" spans="1:16" ht="9" customHeight="1">
      <c r="A31" s="504" t="s">
        <v>334</v>
      </c>
      <c r="B31" s="579">
        <v>28.91281</v>
      </c>
      <c r="C31" s="579">
        <v>24.002470000000002</v>
      </c>
      <c r="D31" s="505">
        <f t="shared" si="0"/>
        <v>0.20457644567413258</v>
      </c>
      <c r="E31" s="126"/>
      <c r="F31" s="126"/>
      <c r="G31" s="126"/>
      <c r="H31" s="126"/>
      <c r="I31" s="126"/>
      <c r="J31" s="126"/>
      <c r="K31" s="126"/>
      <c r="L31" s="545"/>
      <c r="M31" s="734" t="s">
        <v>110</v>
      </c>
      <c r="N31" s="738">
        <v>0</v>
      </c>
      <c r="O31" s="738">
        <v>0</v>
      </c>
      <c r="P31" s="735"/>
    </row>
    <row r="32" spans="1:16" ht="9" customHeight="1">
      <c r="A32" s="508" t="s">
        <v>313</v>
      </c>
      <c r="B32" s="580">
        <v>20.274450000000002</v>
      </c>
      <c r="C32" s="580">
        <v>12.174569999999999</v>
      </c>
      <c r="D32" s="507">
        <f t="shared" si="0"/>
        <v>0.66531138266074308</v>
      </c>
      <c r="E32" s="126"/>
      <c r="F32" s="126"/>
      <c r="G32" s="126"/>
      <c r="H32" s="126"/>
      <c r="I32" s="126"/>
      <c r="J32" s="126"/>
      <c r="K32" s="126"/>
      <c r="L32" s="545"/>
      <c r="M32" s="734" t="s">
        <v>346</v>
      </c>
      <c r="N32" s="738">
        <v>8.2900000000000005E-3</v>
      </c>
      <c r="O32" s="738">
        <v>0</v>
      </c>
      <c r="P32" s="735"/>
    </row>
    <row r="33" spans="1:16" ht="9" customHeight="1">
      <c r="A33" s="504" t="s">
        <v>302</v>
      </c>
      <c r="B33" s="579">
        <v>20.177289999999999</v>
      </c>
      <c r="C33" s="579">
        <v>20.088930000000001</v>
      </c>
      <c r="D33" s="505">
        <f t="shared" si="0"/>
        <v>4.3984423261964611E-3</v>
      </c>
      <c r="E33" s="126"/>
      <c r="F33" s="126"/>
      <c r="G33" s="126"/>
      <c r="H33" s="126"/>
      <c r="I33" s="126"/>
      <c r="J33" s="126"/>
      <c r="K33" s="126"/>
      <c r="L33" s="545"/>
      <c r="M33" s="734" t="s">
        <v>533</v>
      </c>
      <c r="N33" s="738">
        <v>3.0644</v>
      </c>
      <c r="O33" s="738">
        <v>1.996</v>
      </c>
      <c r="P33" s="735"/>
    </row>
    <row r="34" spans="1:16" ht="9" customHeight="1">
      <c r="A34" s="508" t="s">
        <v>328</v>
      </c>
      <c r="B34" s="580">
        <v>19.969580000000001</v>
      </c>
      <c r="C34" s="580">
        <v>19.919699999999999</v>
      </c>
      <c r="D34" s="507">
        <f t="shared" si="0"/>
        <v>2.5040537759104531E-3</v>
      </c>
      <c r="E34" s="126"/>
      <c r="F34" s="126"/>
      <c r="G34" s="126"/>
      <c r="H34" s="126"/>
      <c r="I34" s="126"/>
      <c r="J34" s="126"/>
      <c r="K34" s="126"/>
      <c r="L34" s="545"/>
      <c r="M34" s="734" t="s">
        <v>104</v>
      </c>
      <c r="N34" s="738">
        <v>3.327</v>
      </c>
      <c r="O34" s="738">
        <v>2.54</v>
      </c>
      <c r="P34" s="735"/>
    </row>
    <row r="35" spans="1:16" ht="9" customHeight="1">
      <c r="A35" s="509" t="s">
        <v>557</v>
      </c>
      <c r="B35" s="579">
        <v>19.862760000000002</v>
      </c>
      <c r="C35" s="579">
        <v>19.713660000000001</v>
      </c>
      <c r="D35" s="505">
        <f t="shared" si="0"/>
        <v>7.563283530303444E-3</v>
      </c>
      <c r="E35" s="126"/>
      <c r="F35" s="126"/>
      <c r="G35" s="126"/>
      <c r="H35" s="126"/>
      <c r="I35" s="126"/>
      <c r="J35" s="126"/>
      <c r="K35" s="126"/>
      <c r="L35" s="545"/>
      <c r="M35" s="734" t="s">
        <v>106</v>
      </c>
      <c r="N35" s="739">
        <v>3.44</v>
      </c>
      <c r="O35" s="739">
        <v>3.5990000000000002</v>
      </c>
      <c r="P35" s="735"/>
    </row>
    <row r="36" spans="1:16" ht="9" customHeight="1">
      <c r="A36" s="508" t="s">
        <v>348</v>
      </c>
      <c r="B36" s="580">
        <v>19.718809999999998</v>
      </c>
      <c r="C36" s="580">
        <v>19.64612</v>
      </c>
      <c r="D36" s="507">
        <f t="shared" si="0"/>
        <v>3.699967219990441E-3</v>
      </c>
      <c r="E36" s="126"/>
      <c r="F36" s="126"/>
      <c r="G36" s="126"/>
      <c r="H36" s="126"/>
      <c r="I36" s="126"/>
      <c r="J36" s="126"/>
      <c r="K36" s="126"/>
      <c r="L36" s="545"/>
      <c r="M36" s="734" t="s">
        <v>588</v>
      </c>
      <c r="N36" s="738">
        <v>3.4798399999999998</v>
      </c>
      <c r="O36" s="738"/>
      <c r="P36" s="735"/>
    </row>
    <row r="37" spans="1:16" ht="9" customHeight="1">
      <c r="A37" s="504" t="s">
        <v>109</v>
      </c>
      <c r="B37" s="579">
        <v>18.942999999999998</v>
      </c>
      <c r="C37" s="579">
        <v>19.97</v>
      </c>
      <c r="D37" s="505">
        <f t="shared" si="0"/>
        <v>-5.1427140711066688E-2</v>
      </c>
      <c r="E37" s="126"/>
      <c r="F37" s="126"/>
      <c r="G37" s="126"/>
      <c r="H37" s="126"/>
      <c r="I37" s="126"/>
      <c r="J37" s="126"/>
      <c r="K37" s="126"/>
      <c r="L37" s="547"/>
      <c r="M37" s="734" t="s">
        <v>105</v>
      </c>
      <c r="N37" s="738">
        <v>3.6</v>
      </c>
      <c r="O37" s="738">
        <v>2.8</v>
      </c>
      <c r="P37" s="735"/>
    </row>
    <row r="38" spans="1:16" ht="9" customHeight="1">
      <c r="A38" s="508" t="s">
        <v>95</v>
      </c>
      <c r="B38" s="580">
        <v>18.634999999999998</v>
      </c>
      <c r="C38" s="580">
        <v>18.049859999999999</v>
      </c>
      <c r="D38" s="507">
        <f t="shared" si="0"/>
        <v>3.2417979973251798E-2</v>
      </c>
      <c r="E38" s="126"/>
      <c r="F38" s="126"/>
      <c r="G38" s="126"/>
      <c r="H38" s="126"/>
      <c r="I38" s="126"/>
      <c r="J38" s="126"/>
      <c r="K38" s="126"/>
      <c r="L38" s="547"/>
      <c r="M38" s="734" t="s">
        <v>103</v>
      </c>
      <c r="N38" s="738">
        <v>5.173</v>
      </c>
      <c r="O38" s="738">
        <v>4.4079999999999995</v>
      </c>
      <c r="P38" s="735"/>
    </row>
    <row r="39" spans="1:16" ht="9" customHeight="1">
      <c r="A39" s="509" t="s">
        <v>96</v>
      </c>
      <c r="B39" s="579">
        <v>18.62726</v>
      </c>
      <c r="C39" s="579">
        <v>18.407959999999999</v>
      </c>
      <c r="D39" s="505">
        <f t="shared" si="0"/>
        <v>1.1913324453117102E-2</v>
      </c>
      <c r="E39" s="126"/>
      <c r="F39" s="126"/>
      <c r="G39" s="126"/>
      <c r="H39" s="126"/>
      <c r="I39" s="126"/>
      <c r="J39" s="126"/>
      <c r="K39" s="126"/>
      <c r="L39" s="546"/>
      <c r="M39" s="734" t="s">
        <v>333</v>
      </c>
      <c r="N39" s="738">
        <v>8.9</v>
      </c>
      <c r="O39" s="738">
        <v>9.8000000000000007</v>
      </c>
      <c r="P39" s="735"/>
    </row>
    <row r="40" spans="1:16" ht="9" customHeight="1">
      <c r="A40" s="508" t="s">
        <v>779</v>
      </c>
      <c r="B40" s="580">
        <v>18.496449999999999</v>
      </c>
      <c r="C40" s="580">
        <v>18.441119999999998</v>
      </c>
      <c r="D40" s="507">
        <f t="shared" si="0"/>
        <v>3.0003600648984552E-3</v>
      </c>
      <c r="E40" s="126"/>
      <c r="F40" s="126"/>
      <c r="G40" s="126"/>
      <c r="H40" s="126"/>
      <c r="I40" s="126"/>
      <c r="J40" s="126"/>
      <c r="K40" s="126"/>
      <c r="L40" s="546"/>
      <c r="M40" s="734" t="s">
        <v>543</v>
      </c>
      <c r="N40" s="738">
        <v>12.60281</v>
      </c>
      <c r="O40" s="738">
        <v>18.400359999999999</v>
      </c>
      <c r="P40" s="735"/>
    </row>
    <row r="41" spans="1:16" ht="9" customHeight="1">
      <c r="A41" s="510" t="s">
        <v>543</v>
      </c>
      <c r="B41" s="579">
        <v>12.60281</v>
      </c>
      <c r="C41" s="579">
        <v>18.400359999999999</v>
      </c>
      <c r="D41" s="505">
        <f t="shared" si="0"/>
        <v>-0.31507807455941073</v>
      </c>
      <c r="E41" s="126"/>
      <c r="F41" s="126"/>
      <c r="G41" s="126"/>
      <c r="H41" s="126"/>
      <c r="I41" s="126"/>
      <c r="J41" s="126"/>
      <c r="K41" s="126"/>
      <c r="L41" s="546"/>
      <c r="M41" s="734" t="s">
        <v>779</v>
      </c>
      <c r="N41" s="738">
        <v>18.496449999999999</v>
      </c>
      <c r="O41" s="738">
        <v>18.441119999999998</v>
      </c>
      <c r="P41" s="735"/>
    </row>
    <row r="42" spans="1:16" ht="9" customHeight="1">
      <c r="A42" s="506" t="s">
        <v>333</v>
      </c>
      <c r="B42" s="580">
        <v>8.9</v>
      </c>
      <c r="C42" s="580">
        <v>9.8000000000000007</v>
      </c>
      <c r="D42" s="507">
        <f t="shared" si="0"/>
        <v>-9.1836734693877542E-2</v>
      </c>
      <c r="E42" s="126"/>
      <c r="F42" s="126"/>
      <c r="G42" s="126"/>
      <c r="H42" s="126"/>
      <c r="I42" s="126"/>
      <c r="J42" s="126"/>
      <c r="K42" s="126"/>
      <c r="L42" s="547"/>
      <c r="M42" s="734" t="s">
        <v>96</v>
      </c>
      <c r="N42" s="738">
        <v>18.62726</v>
      </c>
      <c r="O42" s="738">
        <v>18.407959999999999</v>
      </c>
      <c r="P42" s="735"/>
    </row>
    <row r="43" spans="1:16" ht="9" customHeight="1">
      <c r="A43" s="504" t="s">
        <v>103</v>
      </c>
      <c r="B43" s="579">
        <v>5.173</v>
      </c>
      <c r="C43" s="579">
        <v>4.4079999999999995</v>
      </c>
      <c r="D43" s="505">
        <f t="shared" si="0"/>
        <v>0.17354809437386587</v>
      </c>
      <c r="E43" s="126"/>
      <c r="F43" s="126"/>
      <c r="G43" s="126"/>
      <c r="H43" s="126"/>
      <c r="I43" s="126"/>
      <c r="J43" s="126"/>
      <c r="K43" s="126"/>
      <c r="L43" s="547"/>
      <c r="M43" s="734" t="s">
        <v>95</v>
      </c>
      <c r="N43" s="738">
        <v>18.634999999999998</v>
      </c>
      <c r="O43" s="738">
        <v>18.049859999999999</v>
      </c>
      <c r="P43" s="735"/>
    </row>
    <row r="44" spans="1:16" ht="9" customHeight="1">
      <c r="A44" s="506" t="s">
        <v>105</v>
      </c>
      <c r="B44" s="580">
        <v>3.6</v>
      </c>
      <c r="C44" s="580">
        <v>2.8</v>
      </c>
      <c r="D44" s="507">
        <f t="shared" si="0"/>
        <v>0.28571428571428581</v>
      </c>
      <c r="E44" s="126"/>
      <c r="F44" s="126"/>
      <c r="G44" s="126"/>
      <c r="H44" s="126"/>
      <c r="I44" s="126"/>
      <c r="J44" s="126"/>
      <c r="K44" s="126"/>
      <c r="L44" s="547"/>
      <c r="M44" s="734" t="s">
        <v>109</v>
      </c>
      <c r="N44" s="738">
        <v>18.942999999999998</v>
      </c>
      <c r="O44" s="738">
        <v>19.97</v>
      </c>
      <c r="P44" s="735"/>
    </row>
    <row r="45" spans="1:16" ht="9" customHeight="1">
      <c r="A45" s="504" t="s">
        <v>588</v>
      </c>
      <c r="B45" s="579">
        <v>3.4798399999999998</v>
      </c>
      <c r="C45" s="579"/>
      <c r="D45" s="505" t="str">
        <f t="shared" si="0"/>
        <v/>
      </c>
      <c r="E45" s="126"/>
      <c r="F45" s="126"/>
      <c r="G45" s="126"/>
      <c r="H45" s="126"/>
      <c r="I45" s="126"/>
      <c r="J45" s="126"/>
      <c r="K45" s="126"/>
      <c r="M45" s="734" t="s">
        <v>348</v>
      </c>
      <c r="N45" s="738">
        <v>19.718809999999998</v>
      </c>
      <c r="O45" s="738">
        <v>19.64612</v>
      </c>
      <c r="P45" s="735"/>
    </row>
    <row r="46" spans="1:16" ht="9" customHeight="1">
      <c r="A46" s="506" t="s">
        <v>106</v>
      </c>
      <c r="B46" s="580">
        <v>3.44</v>
      </c>
      <c r="C46" s="580">
        <v>3.5990000000000002</v>
      </c>
      <c r="D46" s="507">
        <f t="shared" si="0"/>
        <v>-4.4178938594053974E-2</v>
      </c>
      <c r="E46" s="126"/>
      <c r="F46" s="126"/>
      <c r="G46" s="126"/>
      <c r="H46" s="126"/>
      <c r="I46" s="126"/>
      <c r="J46" s="126"/>
      <c r="K46" s="126"/>
      <c r="M46" s="734" t="s">
        <v>557</v>
      </c>
      <c r="N46" s="738">
        <v>19.862760000000002</v>
      </c>
      <c r="O46" s="738">
        <v>19.713660000000001</v>
      </c>
      <c r="P46" s="735"/>
    </row>
    <row r="47" spans="1:16" ht="9" customHeight="1">
      <c r="A47" s="509" t="s">
        <v>104</v>
      </c>
      <c r="B47" s="579">
        <v>3.327</v>
      </c>
      <c r="C47" s="579">
        <v>2.54</v>
      </c>
      <c r="D47" s="505">
        <f t="shared" si="0"/>
        <v>0.3098425196850394</v>
      </c>
      <c r="E47" s="126"/>
      <c r="F47" s="126"/>
      <c r="G47" s="126"/>
      <c r="H47" s="126"/>
      <c r="I47" s="126"/>
      <c r="J47" s="126"/>
      <c r="K47" s="126"/>
      <c r="M47" s="734" t="s">
        <v>328</v>
      </c>
      <c r="N47" s="738">
        <v>19.969580000000001</v>
      </c>
      <c r="O47" s="738">
        <v>19.919699999999999</v>
      </c>
      <c r="P47" s="735"/>
    </row>
    <row r="48" spans="1:16" ht="9" customHeight="1">
      <c r="A48" s="506" t="s">
        <v>533</v>
      </c>
      <c r="B48" s="580">
        <v>3.0644</v>
      </c>
      <c r="C48" s="580">
        <v>1.996</v>
      </c>
      <c r="D48" s="507">
        <f t="shared" si="0"/>
        <v>0.53527054108216432</v>
      </c>
      <c r="E48" s="126"/>
      <c r="F48" s="126"/>
      <c r="G48" s="126"/>
      <c r="H48" s="126"/>
      <c r="I48" s="126"/>
      <c r="J48" s="126"/>
      <c r="K48" s="126"/>
      <c r="M48" s="734" t="s">
        <v>302</v>
      </c>
      <c r="N48" s="738">
        <v>20.177289999999999</v>
      </c>
      <c r="O48" s="738">
        <v>20.088930000000001</v>
      </c>
      <c r="P48" s="735"/>
    </row>
    <row r="49" spans="1:16" ht="9" customHeight="1">
      <c r="A49" s="509" t="s">
        <v>346</v>
      </c>
      <c r="B49" s="579">
        <v>8.2900000000000005E-3</v>
      </c>
      <c r="C49" s="579">
        <v>0</v>
      </c>
      <c r="D49" s="505" t="str">
        <f t="shared" si="0"/>
        <v/>
      </c>
      <c r="E49" s="126"/>
      <c r="F49" s="126"/>
      <c r="G49" s="126"/>
      <c r="H49" s="126"/>
      <c r="I49" s="126"/>
      <c r="J49" s="126"/>
      <c r="K49" s="126"/>
      <c r="M49" s="734" t="s">
        <v>313</v>
      </c>
      <c r="N49" s="738">
        <v>20.274450000000002</v>
      </c>
      <c r="O49" s="738">
        <v>12.174569999999999</v>
      </c>
      <c r="P49" s="735"/>
    </row>
    <row r="50" spans="1:16" ht="9" customHeight="1">
      <c r="A50" s="508" t="s">
        <v>110</v>
      </c>
      <c r="B50" s="580">
        <v>0</v>
      </c>
      <c r="C50" s="580">
        <v>0</v>
      </c>
      <c r="D50" s="507" t="str">
        <f t="shared" si="0"/>
        <v/>
      </c>
      <c r="E50" s="126"/>
      <c r="F50" s="126"/>
      <c r="G50" s="126"/>
      <c r="H50" s="126"/>
      <c r="I50" s="126"/>
      <c r="J50" s="126"/>
      <c r="K50" s="126"/>
      <c r="M50" s="734" t="s">
        <v>334</v>
      </c>
      <c r="N50" s="738">
        <v>28.91281</v>
      </c>
      <c r="O50" s="738">
        <v>24.002470000000002</v>
      </c>
      <c r="P50" s="735"/>
    </row>
    <row r="51" spans="1:16" ht="9" customHeight="1">
      <c r="A51" s="509" t="s">
        <v>784</v>
      </c>
      <c r="B51" s="579">
        <v>0</v>
      </c>
      <c r="C51" s="579">
        <v>0</v>
      </c>
      <c r="D51" s="505" t="str">
        <f t="shared" si="0"/>
        <v/>
      </c>
      <c r="E51" s="126"/>
      <c r="F51" s="126"/>
      <c r="G51" s="126"/>
      <c r="H51" s="126"/>
      <c r="I51" s="126"/>
      <c r="J51" s="126"/>
      <c r="K51" s="126"/>
      <c r="M51" s="734" t="s">
        <v>102</v>
      </c>
      <c r="N51" s="738">
        <v>29.419290000000004</v>
      </c>
      <c r="O51" s="738">
        <v>25.756100000000004</v>
      </c>
      <c r="P51" s="735"/>
    </row>
    <row r="52" spans="1:16" ht="9" customHeight="1">
      <c r="A52" s="508" t="s">
        <v>783</v>
      </c>
      <c r="B52" s="580">
        <v>0</v>
      </c>
      <c r="C52" s="580">
        <v>0</v>
      </c>
      <c r="D52" s="507" t="str">
        <f t="shared" si="0"/>
        <v/>
      </c>
      <c r="E52" s="126"/>
      <c r="F52" s="126"/>
      <c r="G52" s="126"/>
      <c r="H52" s="126"/>
      <c r="I52" s="126"/>
      <c r="J52" s="126"/>
      <c r="K52" s="126"/>
      <c r="M52" s="734" t="s">
        <v>184</v>
      </c>
      <c r="N52" s="738">
        <v>31.887250000000002</v>
      </c>
      <c r="O52" s="738">
        <v>23.12276</v>
      </c>
      <c r="P52" s="735"/>
    </row>
    <row r="53" spans="1:16" ht="9" customHeight="1">
      <c r="A53" s="504" t="s">
        <v>179</v>
      </c>
      <c r="B53" s="579">
        <v>0</v>
      </c>
      <c r="C53" s="579">
        <v>0</v>
      </c>
      <c r="D53" s="505" t="str">
        <f t="shared" si="0"/>
        <v/>
      </c>
      <c r="E53" s="126"/>
      <c r="F53" s="126"/>
      <c r="G53" s="126"/>
      <c r="H53" s="126"/>
      <c r="I53" s="126"/>
      <c r="J53" s="126"/>
      <c r="K53" s="126"/>
      <c r="M53" s="734" t="s">
        <v>94</v>
      </c>
      <c r="N53" s="738">
        <v>33.149850000000001</v>
      </c>
      <c r="O53" s="738">
        <v>6.8137299999999996</v>
      </c>
      <c r="P53" s="735"/>
    </row>
    <row r="54" spans="1:16" ht="9" customHeight="1">
      <c r="A54" s="506" t="s">
        <v>365</v>
      </c>
      <c r="B54" s="580">
        <v>0</v>
      </c>
      <c r="C54" s="580">
        <v>0</v>
      </c>
      <c r="D54" s="507" t="str">
        <f t="shared" si="0"/>
        <v/>
      </c>
      <c r="E54" s="126"/>
      <c r="F54" s="126"/>
      <c r="G54" s="126"/>
      <c r="H54" s="126"/>
      <c r="I54" s="126"/>
      <c r="J54" s="126"/>
      <c r="K54" s="126"/>
      <c r="M54" s="734" t="s">
        <v>90</v>
      </c>
      <c r="N54" s="738">
        <v>46.61</v>
      </c>
      <c r="O54" s="738">
        <v>35.156999999999996</v>
      </c>
      <c r="P54" s="735"/>
    </row>
    <row r="55" spans="1:16" ht="9" customHeight="1">
      <c r="A55" s="504" t="s">
        <v>532</v>
      </c>
      <c r="B55" s="579">
        <v>0</v>
      </c>
      <c r="C55" s="579">
        <v>49.917929999999998</v>
      </c>
      <c r="D55" s="505">
        <f t="shared" si="0"/>
        <v>-1</v>
      </c>
      <c r="E55" s="126"/>
      <c r="F55" s="126"/>
      <c r="G55" s="126"/>
      <c r="H55" s="126"/>
      <c r="I55" s="126"/>
      <c r="J55" s="126"/>
      <c r="K55" s="126"/>
      <c r="M55" s="734" t="s">
        <v>181</v>
      </c>
      <c r="N55" s="738">
        <v>47.61741</v>
      </c>
      <c r="O55" s="738">
        <v>26.144580000000001</v>
      </c>
      <c r="P55" s="735"/>
    </row>
    <row r="56" spans="1:16" ht="9" customHeight="1">
      <c r="A56" s="506" t="s">
        <v>538</v>
      </c>
      <c r="B56" s="580">
        <v>0</v>
      </c>
      <c r="C56" s="580"/>
      <c r="D56" s="507" t="str">
        <f t="shared" si="0"/>
        <v/>
      </c>
      <c r="E56" s="126"/>
      <c r="F56" s="126"/>
      <c r="G56" s="126"/>
      <c r="H56" s="126"/>
      <c r="I56" s="126"/>
      <c r="J56" s="126"/>
      <c r="K56" s="126"/>
      <c r="M56" s="734" t="s">
        <v>91</v>
      </c>
      <c r="N56" s="738">
        <v>62.114310000000003</v>
      </c>
      <c r="O56" s="738">
        <v>90.83</v>
      </c>
      <c r="P56" s="735"/>
    </row>
    <row r="57" spans="1:16" ht="9" customHeight="1">
      <c r="A57" s="504" t="s">
        <v>347</v>
      </c>
      <c r="B57" s="579">
        <v>0</v>
      </c>
      <c r="C57" s="579">
        <v>6.0000000000000002E-5</v>
      </c>
      <c r="D57" s="505">
        <f t="shared" si="0"/>
        <v>-1</v>
      </c>
      <c r="E57" s="126"/>
      <c r="F57" s="126"/>
      <c r="G57" s="126"/>
      <c r="H57" s="126"/>
      <c r="I57" s="126"/>
      <c r="J57" s="126"/>
      <c r="K57" s="126"/>
      <c r="M57" s="734" t="s">
        <v>99</v>
      </c>
      <c r="N57" s="738">
        <v>68.448980000000006</v>
      </c>
      <c r="O57" s="738">
        <v>32.447519999999997</v>
      </c>
      <c r="P57" s="735"/>
    </row>
    <row r="58" spans="1:16" ht="9" customHeight="1">
      <c r="A58" s="506" t="s">
        <v>621</v>
      </c>
      <c r="B58" s="580">
        <v>0</v>
      </c>
      <c r="C58" s="580"/>
      <c r="D58" s="507" t="str">
        <f t="shared" si="0"/>
        <v/>
      </c>
      <c r="E58" s="126"/>
      <c r="F58" s="126"/>
      <c r="G58" s="126"/>
      <c r="H58" s="126"/>
      <c r="I58" s="126"/>
      <c r="J58" s="126"/>
      <c r="K58" s="126"/>
      <c r="M58" s="734" t="s">
        <v>547</v>
      </c>
      <c r="N58" s="738">
        <v>68.900719999999993</v>
      </c>
      <c r="O58" s="738">
        <v>43.411630000000002</v>
      </c>
      <c r="P58" s="735"/>
    </row>
    <row r="59" spans="1:16" ht="9" customHeight="1">
      <c r="A59" s="504" t="s">
        <v>107</v>
      </c>
      <c r="B59" s="579">
        <v>0</v>
      </c>
      <c r="C59" s="579">
        <v>0</v>
      </c>
      <c r="D59" s="505" t="str">
        <f t="shared" si="0"/>
        <v/>
      </c>
      <c r="E59" s="126"/>
      <c r="F59" s="126"/>
      <c r="G59" s="126"/>
      <c r="H59" s="126"/>
      <c r="I59" s="126"/>
      <c r="J59" s="126"/>
      <c r="K59" s="126"/>
      <c r="M59" s="734" t="s">
        <v>351</v>
      </c>
      <c r="N59" s="738">
        <v>76.948000000000008</v>
      </c>
      <c r="O59" s="738">
        <v>40.548000000000002</v>
      </c>
      <c r="P59" s="735"/>
    </row>
    <row r="60" spans="1:16" ht="9" customHeight="1">
      <c r="A60" s="511" t="s">
        <v>620</v>
      </c>
      <c r="B60" s="581">
        <v>0</v>
      </c>
      <c r="C60" s="581"/>
      <c r="D60" s="507" t="str">
        <f t="shared" si="0"/>
        <v/>
      </c>
      <c r="E60" s="126"/>
      <c r="F60" s="126"/>
      <c r="G60" s="126"/>
      <c r="H60" s="126"/>
      <c r="I60" s="126"/>
      <c r="J60" s="126"/>
      <c r="K60" s="126"/>
      <c r="M60" s="734" t="s">
        <v>92</v>
      </c>
      <c r="N60" s="738">
        <v>89.719229999999996</v>
      </c>
      <c r="O60" s="738">
        <v>47.28839</v>
      </c>
      <c r="P60" s="735"/>
    </row>
    <row r="61" spans="1:16" ht="9" customHeight="1">
      <c r="A61" s="512" t="s">
        <v>380</v>
      </c>
      <c r="B61" s="582">
        <v>0</v>
      </c>
      <c r="C61" s="582">
        <v>0</v>
      </c>
      <c r="D61" s="513" t="str">
        <f t="shared" si="0"/>
        <v/>
      </c>
      <c r="E61" s="126"/>
      <c r="F61" s="126"/>
      <c r="G61" s="126"/>
      <c r="H61" s="126"/>
      <c r="I61" s="126"/>
      <c r="J61" s="126"/>
      <c r="K61" s="126"/>
      <c r="M61" s="734" t="s">
        <v>778</v>
      </c>
      <c r="N61" s="738">
        <v>89.873620000000003</v>
      </c>
      <c r="O61" s="738">
        <v>89.461379999999991</v>
      </c>
      <c r="P61" s="735"/>
    </row>
    <row r="62" spans="1:16" ht="9" customHeight="1">
      <c r="A62" s="511" t="s">
        <v>780</v>
      </c>
      <c r="B62" s="581">
        <v>0</v>
      </c>
      <c r="C62" s="581">
        <v>0</v>
      </c>
      <c r="D62" s="501" t="str">
        <f t="shared" si="0"/>
        <v/>
      </c>
      <c r="E62" s="126"/>
      <c r="F62" s="126"/>
      <c r="G62" s="126"/>
      <c r="H62" s="126"/>
      <c r="I62" s="126"/>
      <c r="J62" s="126"/>
      <c r="K62" s="126"/>
      <c r="M62" s="734" t="s">
        <v>89</v>
      </c>
      <c r="N62" s="738">
        <v>111.80582</v>
      </c>
      <c r="O62" s="738">
        <v>103.10871</v>
      </c>
      <c r="P62" s="735"/>
    </row>
    <row r="63" spans="1:16" ht="9" customHeight="1">
      <c r="A63" s="512" t="s">
        <v>101</v>
      </c>
      <c r="B63" s="582">
        <v>0</v>
      </c>
      <c r="C63" s="582">
        <v>0</v>
      </c>
      <c r="D63" s="513" t="str">
        <f t="shared" si="0"/>
        <v/>
      </c>
      <c r="E63" s="126"/>
      <c r="F63" s="126"/>
      <c r="G63" s="126"/>
      <c r="H63" s="126"/>
      <c r="I63" s="126"/>
      <c r="J63" s="126"/>
      <c r="K63" s="126"/>
      <c r="M63" s="734" t="s">
        <v>376</v>
      </c>
      <c r="N63" s="738">
        <v>125.494</v>
      </c>
      <c r="O63" s="738">
        <v>101.444</v>
      </c>
      <c r="P63" s="735"/>
    </row>
    <row r="64" spans="1:16" ht="9" customHeight="1">
      <c r="A64" s="511" t="s">
        <v>98</v>
      </c>
      <c r="B64" s="581">
        <v>0</v>
      </c>
      <c r="C64" s="581">
        <v>0</v>
      </c>
      <c r="D64" s="501" t="str">
        <f t="shared" si="0"/>
        <v/>
      </c>
      <c r="E64" s="126"/>
      <c r="F64" s="126"/>
      <c r="G64" s="126"/>
      <c r="H64" s="126"/>
      <c r="I64" s="126"/>
      <c r="J64" s="126"/>
      <c r="K64" s="126"/>
      <c r="M64" s="734" t="s">
        <v>85</v>
      </c>
      <c r="N64" s="738">
        <v>126.93666999999998</v>
      </c>
      <c r="O64" s="738">
        <v>156.59586999999999</v>
      </c>
      <c r="P64" s="735"/>
    </row>
    <row r="65" spans="1:16" ht="9" customHeight="1">
      <c r="A65" s="512" t="s">
        <v>308</v>
      </c>
      <c r="B65" s="582">
        <v>0</v>
      </c>
      <c r="C65" s="582">
        <v>7.536900000000001</v>
      </c>
      <c r="D65" s="513">
        <f t="shared" si="0"/>
        <v>-1</v>
      </c>
      <c r="E65" s="126"/>
      <c r="F65" s="126"/>
      <c r="G65" s="126"/>
      <c r="H65" s="126"/>
      <c r="I65" s="126"/>
      <c r="J65" s="126"/>
      <c r="K65" s="126"/>
      <c r="M65" s="734" t="s">
        <v>86</v>
      </c>
      <c r="N65" s="740">
        <v>166.98700000000002</v>
      </c>
      <c r="O65" s="740">
        <v>166.655</v>
      </c>
      <c r="P65" s="735"/>
    </row>
    <row r="66" spans="1:16" ht="9" customHeight="1">
      <c r="A66" s="511" t="s">
        <v>782</v>
      </c>
      <c r="B66" s="581">
        <v>0</v>
      </c>
      <c r="C66" s="581">
        <v>0</v>
      </c>
      <c r="D66" s="501" t="str">
        <f t="shared" si="0"/>
        <v/>
      </c>
      <c r="E66" s="126"/>
      <c r="F66" s="126"/>
      <c r="G66" s="126"/>
      <c r="H66" s="126"/>
      <c r="I66" s="126"/>
      <c r="J66" s="126"/>
      <c r="K66" s="126"/>
      <c r="M66" s="734" t="s">
        <v>87</v>
      </c>
      <c r="N66" s="740">
        <v>176.58278999999999</v>
      </c>
      <c r="O66" s="740">
        <v>99.490000000000009</v>
      </c>
      <c r="P66" s="735"/>
    </row>
    <row r="67" spans="1:16" ht="9" customHeight="1">
      <c r="A67" s="512" t="s">
        <v>781</v>
      </c>
      <c r="B67" s="582">
        <v>0</v>
      </c>
      <c r="C67" s="582">
        <v>0</v>
      </c>
      <c r="D67" s="513" t="str">
        <f t="shared" si="0"/>
        <v/>
      </c>
      <c r="E67" s="126"/>
      <c r="F67" s="126"/>
      <c r="G67" s="126"/>
      <c r="H67" s="126"/>
      <c r="I67" s="126"/>
      <c r="J67" s="126"/>
      <c r="K67" s="126"/>
      <c r="M67" s="734" t="s">
        <v>88</v>
      </c>
      <c r="N67" s="740">
        <v>222.75839999999999</v>
      </c>
      <c r="O67" s="740">
        <v>219.83161000000001</v>
      </c>
      <c r="P67" s="735"/>
    </row>
    <row r="68" spans="1:16" ht="9" customHeight="1">
      <c r="A68" s="511" t="s">
        <v>185</v>
      </c>
      <c r="B68" s="581">
        <v>0</v>
      </c>
      <c r="C68" s="581">
        <v>0</v>
      </c>
      <c r="D68" s="501" t="str">
        <f t="shared" si="0"/>
        <v/>
      </c>
      <c r="E68" s="126"/>
      <c r="F68" s="126"/>
      <c r="G68" s="126"/>
      <c r="H68" s="126"/>
      <c r="I68" s="126"/>
      <c r="J68" s="126"/>
      <c r="K68" s="126"/>
      <c r="M68" s="734" t="s">
        <v>180</v>
      </c>
      <c r="N68" s="740">
        <v>236.33807000000002</v>
      </c>
      <c r="O68" s="740">
        <v>229.54671999999999</v>
      </c>
      <c r="P68" s="735"/>
    </row>
    <row r="69" spans="1:16" ht="9" customHeight="1">
      <c r="A69" s="512" t="s">
        <v>108</v>
      </c>
      <c r="B69" s="582">
        <v>0</v>
      </c>
      <c r="C69" s="582">
        <v>0</v>
      </c>
      <c r="D69" s="594" t="str">
        <f t="shared" si="0"/>
        <v/>
      </c>
      <c r="E69" s="126"/>
      <c r="F69" s="126"/>
      <c r="G69" s="126"/>
      <c r="H69" s="126"/>
      <c r="I69" s="126"/>
      <c r="J69" s="126"/>
      <c r="K69" s="126"/>
      <c r="M69" s="734" t="s">
        <v>183</v>
      </c>
      <c r="N69" s="740">
        <v>343.27731999999997</v>
      </c>
      <c r="O69" s="740">
        <v>330.43694999999997</v>
      </c>
      <c r="P69" s="735"/>
    </row>
    <row r="70" spans="1:16" ht="9" customHeight="1">
      <c r="A70" s="511" t="s">
        <v>100</v>
      </c>
      <c r="B70" s="581">
        <v>0</v>
      </c>
      <c r="C70" s="581">
        <v>0</v>
      </c>
      <c r="D70" s="501" t="str">
        <f t="shared" si="0"/>
        <v/>
      </c>
      <c r="E70" s="126"/>
      <c r="F70" s="126"/>
      <c r="G70" s="126"/>
      <c r="H70" s="126"/>
      <c r="I70" s="126"/>
      <c r="J70" s="126"/>
      <c r="K70" s="126"/>
      <c r="M70" s="734" t="s">
        <v>84</v>
      </c>
      <c r="N70" s="740">
        <v>404.74414999999999</v>
      </c>
      <c r="O70" s="740">
        <v>284.83311000000003</v>
      </c>
      <c r="P70" s="735"/>
    </row>
    <row r="71" spans="1:16" ht="9" customHeight="1">
      <c r="A71" s="512" t="s">
        <v>93</v>
      </c>
      <c r="B71" s="582">
        <v>0</v>
      </c>
      <c r="C71" s="582">
        <v>0</v>
      </c>
      <c r="D71" s="594" t="str">
        <f t="shared" ref="D71:D74" si="1">IF(C71=0,"",B71/C71-1)</f>
        <v/>
      </c>
      <c r="E71" s="126"/>
      <c r="F71" s="126"/>
      <c r="G71" s="126"/>
      <c r="H71" s="126"/>
      <c r="I71" s="126"/>
      <c r="J71" s="126"/>
      <c r="K71" s="126"/>
      <c r="M71" s="734" t="s">
        <v>182</v>
      </c>
      <c r="N71" s="740">
        <v>434.95931000000002</v>
      </c>
      <c r="O71" s="740">
        <v>546.87748999999997</v>
      </c>
      <c r="P71" s="735"/>
    </row>
    <row r="72" spans="1:16" ht="9" customHeight="1">
      <c r="A72" s="511" t="s">
        <v>97</v>
      </c>
      <c r="B72" s="581">
        <v>0</v>
      </c>
      <c r="C72" s="581">
        <v>0</v>
      </c>
      <c r="D72" s="501" t="str">
        <f t="shared" si="1"/>
        <v/>
      </c>
      <c r="E72" s="126"/>
      <c r="F72" s="126"/>
      <c r="G72" s="126"/>
      <c r="H72" s="126"/>
      <c r="I72" s="126"/>
      <c r="J72" s="126"/>
      <c r="K72" s="126"/>
      <c r="M72" s="734" t="s">
        <v>81</v>
      </c>
      <c r="N72" s="740">
        <v>800.44747000000018</v>
      </c>
      <c r="O72" s="740">
        <v>1087.2421099999999</v>
      </c>
      <c r="P72" s="735"/>
    </row>
    <row r="73" spans="1:16" ht="9" customHeight="1">
      <c r="A73" s="512" t="s">
        <v>364</v>
      </c>
      <c r="B73" s="582"/>
      <c r="C73" s="582">
        <v>2.6834100000000003</v>
      </c>
      <c r="D73" s="594">
        <f t="shared" si="1"/>
        <v>-1</v>
      </c>
      <c r="E73" s="126"/>
      <c r="F73" s="126"/>
      <c r="G73" s="126"/>
      <c r="H73" s="126"/>
      <c r="I73" s="126"/>
      <c r="J73" s="126"/>
      <c r="K73" s="126"/>
      <c r="M73" s="734" t="s">
        <v>83</v>
      </c>
      <c r="N73" s="740">
        <v>862.10669999999993</v>
      </c>
      <c r="O73" s="740">
        <v>878.73013999999989</v>
      </c>
      <c r="P73" s="735"/>
    </row>
    <row r="74" spans="1:16" ht="9" customHeight="1">
      <c r="A74" s="511" t="s">
        <v>563</v>
      </c>
      <c r="B74" s="581"/>
      <c r="C74" s="581">
        <v>0</v>
      </c>
      <c r="D74" s="501" t="str">
        <f t="shared" si="1"/>
        <v/>
      </c>
      <c r="E74" s="126"/>
      <c r="F74" s="126"/>
      <c r="G74" s="126"/>
      <c r="H74" s="126"/>
      <c r="I74" s="126"/>
      <c r="J74" s="126"/>
      <c r="K74" s="126"/>
      <c r="M74" s="734" t="s">
        <v>540</v>
      </c>
      <c r="N74" s="740">
        <v>1043.0579999999998</v>
      </c>
      <c r="O74" s="740"/>
      <c r="P74" s="735"/>
    </row>
    <row r="75" spans="1:16" ht="9" customHeight="1">
      <c r="A75" s="512" t="s">
        <v>82</v>
      </c>
      <c r="B75" s="582"/>
      <c r="C75" s="582">
        <v>1030.0839999999998</v>
      </c>
      <c r="D75" s="594">
        <f t="shared" ref="D75" si="2">IF(C75=0,"",B75/C75-1)</f>
        <v>-1</v>
      </c>
      <c r="E75" s="126"/>
      <c r="F75" s="126"/>
      <c r="G75" s="126"/>
      <c r="H75" s="126"/>
      <c r="I75" s="126"/>
      <c r="J75" s="126"/>
      <c r="K75" s="126"/>
      <c r="M75" s="734" t="s">
        <v>777</v>
      </c>
      <c r="N75" s="740">
        <v>1640.6095399999999</v>
      </c>
      <c r="O75" s="740">
        <v>1441.3578299999999</v>
      </c>
      <c r="P75" s="735"/>
    </row>
    <row r="76" spans="1:16" ht="9" customHeight="1">
      <c r="A76" s="514" t="s">
        <v>39</v>
      </c>
      <c r="B76" s="515">
        <f>+SUM(B6:B75)</f>
        <v>7588.0066499999984</v>
      </c>
      <c r="C76" s="515">
        <f>+SUM(C6:C75)</f>
        <v>7431.3106800000014</v>
      </c>
      <c r="D76" s="516">
        <f>IF(C76=0,"",B76/C76-1)</f>
        <v>2.1085912936154694E-2</v>
      </c>
      <c r="M76" s="734"/>
      <c r="N76" s="735"/>
      <c r="O76" s="735"/>
      <c r="P76" s="735"/>
    </row>
    <row r="77" spans="1:16" ht="9.75" customHeight="1">
      <c r="E77" s="126"/>
      <c r="F77" s="126"/>
      <c r="G77" s="126"/>
      <c r="H77" s="126"/>
      <c r="I77" s="126"/>
      <c r="J77" s="126"/>
      <c r="K77" s="126"/>
      <c r="P77" s="735"/>
    </row>
    <row r="78" spans="1:16" ht="25.2" customHeight="1">
      <c r="A78" s="847" t="str">
        <f>"Cuadro N° 9: Participación de las empresas generadoras del COES en la máxima potencia coincidente (MW) en "&amp;'1. Resumen'!Q4&amp;"."</f>
        <v>Cuadro N° 9: Participación de las empresas generadoras del COES en la máxima potencia coincidente (MW) en mayo.</v>
      </c>
      <c r="B78" s="847"/>
      <c r="C78" s="847"/>
      <c r="D78" s="847"/>
      <c r="E78" s="768"/>
      <c r="F78" s="847" t="str">
        <f>"Gráfico N° 12: Comparación de la máxima potencia coincidente  (MW) de las empresas generadoras del COES en "&amp;'1. Resumen'!Q4&amp;"."</f>
        <v>Gráfico N° 12: Comparación de la máxima potencia coincidente  (MW) de las empresas generadoras del COES en mayo.</v>
      </c>
      <c r="G78" s="847"/>
      <c r="H78" s="847"/>
      <c r="I78" s="847"/>
      <c r="J78" s="847"/>
      <c r="K78" s="847"/>
    </row>
    <row r="79" spans="1:16">
      <c r="A79" s="860"/>
      <c r="B79" s="860"/>
      <c r="C79" s="860"/>
      <c r="D79" s="860"/>
      <c r="E79" s="860"/>
      <c r="F79" s="860"/>
      <c r="G79" s="860"/>
      <c r="H79" s="860"/>
      <c r="I79" s="860"/>
      <c r="J79" s="860"/>
      <c r="K79" s="860"/>
    </row>
    <row r="80" spans="1:16">
      <c r="A80" s="859"/>
      <c r="B80" s="859"/>
      <c r="C80" s="859"/>
      <c r="D80" s="859"/>
      <c r="E80" s="859"/>
      <c r="F80" s="859"/>
      <c r="G80" s="859"/>
      <c r="H80" s="859"/>
      <c r="I80" s="859"/>
      <c r="J80" s="859"/>
      <c r="K80" s="859"/>
    </row>
  </sheetData>
  <mergeCells count="9">
    <mergeCell ref="A80:K80"/>
    <mergeCell ref="A79:K79"/>
    <mergeCell ref="A78:D78"/>
    <mergeCell ref="F78:K78"/>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dimension ref="A1:AD63"/>
  <sheetViews>
    <sheetView showGridLines="0" view="pageBreakPreview" zoomScale="85" zoomScaleNormal="100" zoomScaleSheetLayoutView="85" zoomScalePageLayoutView="85" workbookViewId="0">
      <selection activeCell="D22" sqref="D22"/>
    </sheetView>
  </sheetViews>
  <sheetFormatPr baseColWidth="10" defaultColWidth="11.7109375" defaultRowHeight="14.4"/>
  <cols>
    <col min="1" max="1" width="3" style="614" customWidth="1"/>
    <col min="2" max="2" width="7.7109375" style="614" customWidth="1"/>
    <col min="3" max="3" width="48" style="614" customWidth="1"/>
    <col min="4" max="6" width="16.42578125" style="614" customWidth="1"/>
    <col min="7" max="7" width="15.42578125" style="614" customWidth="1"/>
    <col min="8" max="9" width="11.7109375" style="614"/>
    <col min="10" max="10" width="65.42578125" style="614" customWidth="1"/>
    <col min="11" max="16384" width="11.7109375" style="614"/>
  </cols>
  <sheetData>
    <row r="1" spans="1:30" ht="58.5" customHeight="1">
      <c r="A1" s="869"/>
      <c r="B1" s="869"/>
      <c r="C1" s="613" t="s">
        <v>389</v>
      </c>
    </row>
    <row r="2" spans="1:30" ht="9.75" customHeight="1"/>
    <row r="3" spans="1:30" ht="15.6">
      <c r="A3" s="615" t="s">
        <v>193</v>
      </c>
      <c r="B3" s="666"/>
      <c r="C3" s="666"/>
    </row>
    <row r="4" spans="1:30">
      <c r="A4" s="666"/>
      <c r="B4" s="665" t="s">
        <v>390</v>
      </c>
      <c r="C4" s="666"/>
    </row>
    <row r="5" spans="1:30">
      <c r="A5" s="666"/>
      <c r="B5" s="666"/>
      <c r="C5" s="666"/>
    </row>
    <row r="6" spans="1:30" ht="47.25" customHeight="1">
      <c r="C6" s="657" t="s">
        <v>391</v>
      </c>
      <c r="D6" s="657" t="s">
        <v>650</v>
      </c>
      <c r="E6" s="657" t="s">
        <v>651</v>
      </c>
      <c r="F6" s="657" t="s">
        <v>392</v>
      </c>
    </row>
    <row r="7" spans="1:30" ht="13.8" customHeight="1">
      <c r="C7" s="658" t="s">
        <v>393</v>
      </c>
      <c r="D7" s="659">
        <v>28.48509</v>
      </c>
      <c r="E7" s="659">
        <v>20.62039</v>
      </c>
      <c r="F7" s="660">
        <v>0.30399999999999999</v>
      </c>
    </row>
    <row r="8" spans="1:30" ht="15.6" customHeight="1">
      <c r="C8" s="658" t="s">
        <v>394</v>
      </c>
      <c r="D8" s="659">
        <v>29.07</v>
      </c>
      <c r="E8" s="659">
        <v>30.475999999999999</v>
      </c>
      <c r="F8" s="660">
        <v>0.28000000000000003</v>
      </c>
      <c r="W8" s="616"/>
      <c r="X8" s="647" t="s">
        <v>523</v>
      </c>
      <c r="Y8" s="617"/>
      <c r="Z8" s="617"/>
      <c r="AA8" s="617"/>
      <c r="AB8" s="617"/>
      <c r="AC8" s="616"/>
      <c r="AD8" s="616"/>
    </row>
    <row r="9" spans="1:30" ht="20.399999999999999" customHeight="1">
      <c r="C9" s="658" t="s">
        <v>395</v>
      </c>
      <c r="D9" s="659">
        <v>36.317</v>
      </c>
      <c r="E9" s="659">
        <v>31.673999999999999</v>
      </c>
      <c r="F9" s="660">
        <v>0.36359999999999998</v>
      </c>
      <c r="W9" s="616"/>
      <c r="X9" s="647" t="s">
        <v>524</v>
      </c>
      <c r="Y9" s="617"/>
      <c r="Z9" s="617"/>
      <c r="AA9" s="617"/>
      <c r="AB9" s="617"/>
      <c r="AC9" s="616"/>
      <c r="AD9" s="616"/>
    </row>
    <row r="10" spans="1:30" ht="13.8" customHeight="1">
      <c r="C10" s="658" t="s">
        <v>396</v>
      </c>
      <c r="D10" s="659">
        <v>7.1289999999999996</v>
      </c>
      <c r="E10" s="659">
        <v>7.2510000000000003</v>
      </c>
      <c r="F10" s="660">
        <v>0.08</v>
      </c>
      <c r="W10" s="616"/>
      <c r="X10" s="617"/>
      <c r="Y10" s="618"/>
      <c r="Z10" s="649"/>
      <c r="AA10" s="618"/>
      <c r="AB10" s="618"/>
      <c r="AC10" s="616"/>
      <c r="AD10" s="616"/>
    </row>
    <row r="11" spans="1:30" ht="13.8" customHeight="1">
      <c r="C11" s="658" t="s">
        <v>397</v>
      </c>
      <c r="D11" s="659">
        <v>5.42</v>
      </c>
      <c r="E11" s="659">
        <v>6.5570000000000004</v>
      </c>
      <c r="F11" s="660">
        <v>0.1</v>
      </c>
      <c r="W11" s="616"/>
      <c r="X11" s="619">
        <v>1</v>
      </c>
      <c r="Y11" s="620"/>
      <c r="Z11" s="650"/>
      <c r="AA11" s="621"/>
      <c r="AB11" s="617"/>
      <c r="AC11" s="616"/>
      <c r="AD11" s="616"/>
    </row>
    <row r="12" spans="1:30" ht="13.8" customHeight="1">
      <c r="C12" s="658" t="s">
        <v>398</v>
      </c>
      <c r="D12" s="659">
        <v>10.433999999999999</v>
      </c>
      <c r="E12" s="659">
        <v>10.098000000000001</v>
      </c>
      <c r="F12" s="660">
        <v>0.1</v>
      </c>
      <c r="W12" s="616"/>
      <c r="X12" s="619">
        <v>3</v>
      </c>
      <c r="Y12" s="620"/>
      <c r="Z12" s="650"/>
      <c r="AA12" s="621"/>
      <c r="AB12" s="617"/>
      <c r="AC12" s="616"/>
      <c r="AD12" s="616"/>
    </row>
    <row r="13" spans="1:30" ht="13.8" customHeight="1">
      <c r="C13" s="658" t="s">
        <v>399</v>
      </c>
      <c r="D13" s="659">
        <v>88.301000000000002</v>
      </c>
      <c r="E13" s="659">
        <v>93.891999999999996</v>
      </c>
      <c r="F13" s="660">
        <v>0.98</v>
      </c>
      <c r="W13" s="616"/>
      <c r="X13" s="619">
        <v>4</v>
      </c>
      <c r="Y13" s="620"/>
      <c r="Z13" s="650"/>
      <c r="AA13" s="621"/>
      <c r="AB13" s="617"/>
      <c r="AC13" s="616"/>
      <c r="AD13" s="616"/>
    </row>
    <row r="14" spans="1:30" ht="13.8" customHeight="1">
      <c r="C14" s="658" t="s">
        <v>400</v>
      </c>
      <c r="D14" s="659">
        <v>39.848999999999997</v>
      </c>
      <c r="E14" s="659">
        <v>37.344999999999999</v>
      </c>
      <c r="F14" s="660">
        <v>0.4</v>
      </c>
      <c r="W14" s="616"/>
      <c r="X14" s="619">
        <v>5</v>
      </c>
      <c r="Y14" s="620"/>
      <c r="Z14" s="650"/>
      <c r="AA14" s="621"/>
      <c r="AB14" s="617"/>
      <c r="AC14" s="616"/>
      <c r="AD14" s="616"/>
    </row>
    <row r="15" spans="1:30" ht="13.8" customHeight="1">
      <c r="C15" s="658" t="s">
        <v>401</v>
      </c>
      <c r="D15" s="659">
        <v>8.4550000000000001</v>
      </c>
      <c r="E15" s="659">
        <v>3.4769999999999999</v>
      </c>
      <c r="F15" s="660">
        <v>0.13</v>
      </c>
      <c r="W15" s="616"/>
      <c r="X15" s="619">
        <v>6</v>
      </c>
      <c r="Y15" s="620"/>
      <c r="Z15" s="650"/>
      <c r="AA15" s="621"/>
      <c r="AB15" s="617"/>
      <c r="AC15" s="616"/>
      <c r="AD15" s="616"/>
    </row>
    <row r="16" spans="1:30" ht="13.8" customHeight="1">
      <c r="C16" s="658" t="s">
        <v>402</v>
      </c>
      <c r="D16" s="659">
        <v>25.9</v>
      </c>
      <c r="E16" s="659">
        <v>25.75</v>
      </c>
      <c r="F16" s="660">
        <v>0.25</v>
      </c>
      <c r="W16" s="616"/>
      <c r="X16" s="619">
        <v>7</v>
      </c>
      <c r="Y16" s="620"/>
      <c r="Z16" s="650"/>
      <c r="AA16" s="621"/>
      <c r="AB16" s="617"/>
      <c r="AC16" s="616"/>
      <c r="AD16" s="616"/>
    </row>
    <row r="17" spans="3:30" ht="13.8" customHeight="1">
      <c r="C17" s="658" t="s">
        <v>403</v>
      </c>
      <c r="D17" s="659">
        <v>79.673000000000002</v>
      </c>
      <c r="E17" s="659">
        <v>79.447000000000003</v>
      </c>
      <c r="F17" s="660">
        <v>0.76890000000000003</v>
      </c>
      <c r="W17" s="616"/>
      <c r="X17" s="619">
        <v>8</v>
      </c>
      <c r="Y17" s="620"/>
      <c r="Z17" s="650"/>
      <c r="AA17" s="621"/>
      <c r="AB17" s="617"/>
      <c r="AC17" s="616"/>
      <c r="AD17" s="616"/>
    </row>
    <row r="18" spans="3:30" ht="13.8" customHeight="1">
      <c r="C18" s="658" t="s">
        <v>404</v>
      </c>
      <c r="D18" s="659">
        <v>141.43799999999999</v>
      </c>
      <c r="E18" s="659">
        <v>129.352</v>
      </c>
      <c r="F18" s="660">
        <v>1.35</v>
      </c>
      <c r="W18" s="616"/>
      <c r="X18" s="619">
        <v>9</v>
      </c>
      <c r="Y18" s="620"/>
      <c r="Z18" s="650"/>
      <c r="AA18" s="621"/>
      <c r="AB18" s="617"/>
      <c r="AC18" s="616"/>
      <c r="AD18" s="616"/>
    </row>
    <row r="19" spans="3:30" ht="13.8" customHeight="1">
      <c r="C19" s="658" t="s">
        <v>405</v>
      </c>
      <c r="D19" s="659">
        <v>15.574</v>
      </c>
      <c r="E19" s="659">
        <v>16.463999999999999</v>
      </c>
      <c r="F19" s="660">
        <v>0.3</v>
      </c>
      <c r="W19" s="616"/>
      <c r="X19" s="619">
        <v>10</v>
      </c>
      <c r="Y19" s="620"/>
      <c r="Z19" s="650"/>
      <c r="AA19" s="621"/>
      <c r="AB19" s="617"/>
      <c r="AC19" s="616"/>
      <c r="AD19" s="616"/>
    </row>
    <row r="20" spans="3:30" ht="13.8" customHeight="1">
      <c r="C20" s="658" t="s">
        <v>406</v>
      </c>
      <c r="D20" s="659">
        <v>274.69200000000001</v>
      </c>
      <c r="E20" s="659">
        <v>251.62899999999999</v>
      </c>
      <c r="F20" s="660">
        <v>2.5</v>
      </c>
      <c r="W20" s="622"/>
      <c r="X20" s="619">
        <v>11</v>
      </c>
      <c r="Y20" s="620"/>
      <c r="Z20" s="650"/>
      <c r="AA20" s="621"/>
      <c r="AB20" s="623"/>
      <c r="AC20" s="622"/>
      <c r="AD20" s="622"/>
    </row>
    <row r="21" spans="3:30" ht="33.6" customHeight="1">
      <c r="C21" s="658" t="s">
        <v>407</v>
      </c>
      <c r="D21" s="659">
        <v>71.22</v>
      </c>
      <c r="E21" s="659">
        <v>68.34</v>
      </c>
      <c r="F21" s="660">
        <v>0.74650000000000005</v>
      </c>
      <c r="W21" s="622"/>
      <c r="X21" s="619">
        <v>12</v>
      </c>
      <c r="Y21" s="620"/>
      <c r="Z21" s="650"/>
      <c r="AA21" s="621"/>
      <c r="AB21" s="623"/>
      <c r="AC21" s="622"/>
      <c r="AD21" s="622"/>
    </row>
    <row r="22" spans="3:30" ht="14.4" customHeight="1">
      <c r="C22" s="658" t="s">
        <v>408</v>
      </c>
      <c r="D22" s="659">
        <v>24.91</v>
      </c>
      <c r="E22" s="659">
        <v>24.16</v>
      </c>
      <c r="F22" s="660">
        <v>0.246</v>
      </c>
      <c r="W22" s="622"/>
      <c r="X22" s="619">
        <v>13</v>
      </c>
      <c r="Y22" s="620"/>
      <c r="Z22" s="650"/>
      <c r="AA22" s="621"/>
      <c r="AB22" s="623"/>
      <c r="AC22" s="622"/>
      <c r="AD22" s="622"/>
    </row>
    <row r="23" spans="3:30" ht="14.4" customHeight="1">
      <c r="C23" s="658" t="s">
        <v>409</v>
      </c>
      <c r="D23" s="659">
        <v>135.529</v>
      </c>
      <c r="E23" s="659">
        <v>135.33199999999999</v>
      </c>
      <c r="F23" s="660">
        <v>1.3480000000000001</v>
      </c>
      <c r="W23" s="622"/>
      <c r="X23" s="619">
        <v>14</v>
      </c>
      <c r="Y23" s="620"/>
      <c r="Z23" s="650"/>
      <c r="AA23" s="621"/>
      <c r="AB23" s="623"/>
      <c r="AC23" s="622"/>
      <c r="AD23" s="622"/>
    </row>
    <row r="24" spans="3:30" ht="13.8" customHeight="1">
      <c r="C24" s="658" t="s">
        <v>410</v>
      </c>
      <c r="D24" s="659">
        <v>49.116999999999997</v>
      </c>
      <c r="E24" s="659">
        <v>48.396000000000001</v>
      </c>
      <c r="F24" s="660">
        <v>0.48299999999999998</v>
      </c>
      <c r="W24" s="622"/>
      <c r="X24" s="619">
        <v>15</v>
      </c>
      <c r="Y24" s="620"/>
      <c r="Z24" s="650"/>
      <c r="AA24" s="621"/>
      <c r="AB24" s="623"/>
      <c r="AC24" s="622"/>
      <c r="AD24" s="622"/>
    </row>
    <row r="25" spans="3:30" ht="20.399999999999999" customHeight="1">
      <c r="C25" s="658" t="s">
        <v>411</v>
      </c>
      <c r="D25" s="659">
        <v>62.05</v>
      </c>
      <c r="E25" s="659">
        <v>40.799999999999997</v>
      </c>
      <c r="F25" s="660">
        <v>3.76</v>
      </c>
      <c r="W25" s="622"/>
      <c r="X25" s="619">
        <v>16</v>
      </c>
      <c r="Y25" s="620"/>
      <c r="Z25" s="650"/>
      <c r="AA25" s="621"/>
      <c r="AB25" s="623"/>
      <c r="AC25" s="622"/>
      <c r="AD25" s="622"/>
    </row>
    <row r="26" spans="3:30" ht="20.399999999999999" customHeight="1">
      <c r="C26" s="658" t="s">
        <v>412</v>
      </c>
      <c r="D26" s="659">
        <v>34.6</v>
      </c>
      <c r="E26" s="659">
        <v>40.659999999999997</v>
      </c>
      <c r="F26" s="660">
        <v>0.28399999999999997</v>
      </c>
      <c r="W26" s="622"/>
      <c r="X26" s="619">
        <v>17</v>
      </c>
      <c r="Y26" s="620"/>
      <c r="Z26" s="650"/>
      <c r="AA26" s="621"/>
      <c r="AB26" s="623"/>
      <c r="AC26" s="622"/>
      <c r="AD26" s="622"/>
    </row>
    <row r="27" spans="3:30" ht="28.8" customHeight="1">
      <c r="C27" s="658" t="s">
        <v>413</v>
      </c>
      <c r="D27" s="659">
        <v>41.81</v>
      </c>
      <c r="E27" s="659">
        <v>41.94</v>
      </c>
      <c r="F27" s="660">
        <v>0.30399999999999999</v>
      </c>
      <c r="W27" s="622"/>
      <c r="X27" s="619">
        <v>18</v>
      </c>
      <c r="Y27" s="620"/>
      <c r="Z27" s="650"/>
      <c r="AA27" s="621"/>
      <c r="AB27" s="623"/>
      <c r="AC27" s="622"/>
      <c r="AD27" s="622"/>
    </row>
    <row r="28" spans="3:30" ht="22.2" customHeight="1">
      <c r="C28" s="658" t="s">
        <v>414</v>
      </c>
      <c r="D28" s="659">
        <v>14.15</v>
      </c>
      <c r="E28" s="659">
        <v>14.13</v>
      </c>
      <c r="F28" s="660">
        <v>0.14149999999999999</v>
      </c>
      <c r="W28" s="622"/>
      <c r="X28" s="619">
        <v>19</v>
      </c>
      <c r="Y28" s="620"/>
      <c r="Z28" s="650"/>
      <c r="AA28" s="621"/>
      <c r="AB28" s="623"/>
      <c r="AC28" s="622"/>
      <c r="AD28" s="622"/>
    </row>
    <row r="29" spans="3:30" ht="20.399999999999999" customHeight="1">
      <c r="C29" s="658" t="s">
        <v>415</v>
      </c>
      <c r="D29" s="659">
        <v>63.79</v>
      </c>
      <c r="E29" s="659">
        <v>64.650000000000006</v>
      </c>
      <c r="F29" s="660">
        <v>0.64800000000000002</v>
      </c>
      <c r="W29" s="622"/>
      <c r="X29" s="619">
        <v>20</v>
      </c>
      <c r="Y29" s="620"/>
      <c r="Z29" s="650"/>
      <c r="AA29" s="621"/>
      <c r="AB29" s="623"/>
      <c r="AC29" s="622"/>
      <c r="AD29" s="622"/>
    </row>
    <row r="30" spans="3:30" ht="13.8" customHeight="1">
      <c r="C30" s="658" t="s">
        <v>416</v>
      </c>
      <c r="D30" s="659">
        <v>42.78</v>
      </c>
      <c r="E30" s="659">
        <v>38.49</v>
      </c>
      <c r="F30" s="660">
        <v>0.42780000000000001</v>
      </c>
      <c r="W30" s="622"/>
      <c r="X30" s="619">
        <v>21</v>
      </c>
      <c r="Y30" s="620"/>
      <c r="Z30" s="650"/>
      <c r="AA30" s="621"/>
      <c r="AB30" s="623"/>
      <c r="AC30" s="622"/>
      <c r="AD30" s="622"/>
    </row>
    <row r="31" spans="3:30" ht="20.399999999999999" customHeight="1">
      <c r="C31" s="658" t="s">
        <v>417</v>
      </c>
      <c r="D31" s="659">
        <v>55.94</v>
      </c>
      <c r="E31" s="659">
        <v>49.48</v>
      </c>
      <c r="F31" s="660">
        <v>0.56000000000000005</v>
      </c>
      <c r="W31" s="622"/>
      <c r="X31" s="619">
        <v>22</v>
      </c>
      <c r="Y31" s="620"/>
      <c r="Z31" s="650"/>
      <c r="AA31" s="621"/>
      <c r="AB31" s="623"/>
      <c r="AC31" s="622"/>
      <c r="AD31" s="622"/>
    </row>
    <row r="32" spans="3:30" ht="13.8" customHeight="1">
      <c r="C32" s="658" t="s">
        <v>418</v>
      </c>
      <c r="D32" s="659">
        <v>324.87900000000002</v>
      </c>
      <c r="E32" s="659">
        <v>329.68900000000002</v>
      </c>
      <c r="F32" s="660">
        <v>3.76</v>
      </c>
      <c r="W32" s="622"/>
      <c r="X32" s="619">
        <v>23</v>
      </c>
      <c r="Y32" s="620"/>
      <c r="Z32" s="650"/>
      <c r="AA32" s="621"/>
      <c r="AB32" s="623"/>
      <c r="AC32" s="622"/>
      <c r="AD32" s="622"/>
    </row>
    <row r="33" spans="3:30" ht="13.8" customHeight="1">
      <c r="C33" s="658" t="s">
        <v>419</v>
      </c>
      <c r="D33" s="659">
        <v>113.07</v>
      </c>
      <c r="E33" s="659">
        <v>94.6</v>
      </c>
      <c r="F33" s="660">
        <v>1.1000000000000001</v>
      </c>
      <c r="W33" s="622"/>
      <c r="X33" s="619">
        <v>24</v>
      </c>
      <c r="Y33" s="620"/>
      <c r="Z33" s="650"/>
      <c r="AA33" s="621"/>
      <c r="AB33" s="623"/>
      <c r="AC33" s="622"/>
      <c r="AD33" s="622"/>
    </row>
    <row r="34" spans="3:30" ht="13.8" customHeight="1">
      <c r="C34" s="658" t="s">
        <v>420</v>
      </c>
      <c r="D34" s="659">
        <v>10.193009999999999</v>
      </c>
      <c r="E34" s="659">
        <v>3.7270599999999998</v>
      </c>
      <c r="F34" s="660">
        <v>0.15</v>
      </c>
      <c r="W34" s="622"/>
      <c r="X34" s="619">
        <v>25</v>
      </c>
      <c r="Y34" s="620"/>
      <c r="Z34" s="650"/>
      <c r="AA34" s="621"/>
      <c r="AB34" s="623"/>
      <c r="AC34" s="622"/>
      <c r="AD34" s="622"/>
    </row>
    <row r="35" spans="3:30" ht="13.8" customHeight="1">
      <c r="C35" s="658" t="s">
        <v>421</v>
      </c>
      <c r="D35" s="659">
        <v>66.897999999999996</v>
      </c>
      <c r="E35" s="659">
        <v>67.331999999999994</v>
      </c>
      <c r="F35" s="660">
        <v>0.7</v>
      </c>
      <c r="W35" s="622"/>
      <c r="X35" s="619">
        <v>26</v>
      </c>
      <c r="Y35" s="620"/>
      <c r="Z35" s="650"/>
      <c r="AA35" s="621"/>
      <c r="AB35" s="623"/>
      <c r="AC35" s="622"/>
      <c r="AD35" s="622"/>
    </row>
    <row r="36" spans="3:30">
      <c r="C36" s="664" t="s">
        <v>603</v>
      </c>
      <c r="W36" s="622"/>
      <c r="X36" s="619">
        <v>27</v>
      </c>
      <c r="Y36" s="620"/>
      <c r="Z36" s="650"/>
      <c r="AA36" s="621"/>
      <c r="AB36" s="623"/>
      <c r="AC36" s="622"/>
      <c r="AD36" s="622"/>
    </row>
    <row r="37" spans="3:30">
      <c r="C37" s="773"/>
      <c r="W37" s="622"/>
      <c r="X37" s="619">
        <v>28</v>
      </c>
      <c r="Y37" s="620"/>
      <c r="Z37" s="651"/>
      <c r="AA37" s="621"/>
      <c r="AB37" s="623"/>
      <c r="AC37" s="622"/>
      <c r="AD37" s="622"/>
    </row>
    <row r="38" spans="3:30">
      <c r="I38" s="624"/>
      <c r="J38" s="624"/>
      <c r="K38" s="624"/>
      <c r="W38" s="622"/>
      <c r="X38" s="619">
        <v>29</v>
      </c>
      <c r="Y38" s="620"/>
      <c r="Z38" s="650"/>
      <c r="AA38" s="621"/>
      <c r="AB38" s="623"/>
      <c r="AC38" s="622"/>
      <c r="AD38" s="622"/>
    </row>
    <row r="39" spans="3:30">
      <c r="I39" s="625"/>
      <c r="J39" s="625"/>
      <c r="K39" s="625"/>
      <c r="W39" s="622"/>
      <c r="X39" s="619">
        <v>30</v>
      </c>
      <c r="Y39" s="620"/>
      <c r="Z39" s="650"/>
      <c r="AA39" s="621"/>
      <c r="AB39" s="623"/>
      <c r="AC39" s="622"/>
      <c r="AD39" s="622"/>
    </row>
    <row r="40" spans="3:30">
      <c r="I40" s="625"/>
      <c r="J40" s="625"/>
      <c r="K40" s="625"/>
      <c r="W40" s="622"/>
      <c r="X40" s="619">
        <v>31</v>
      </c>
      <c r="Y40" s="620"/>
      <c r="Z40" s="650"/>
      <c r="AA40" s="621"/>
      <c r="AB40" s="623"/>
      <c r="AC40" s="622"/>
      <c r="AD40" s="622"/>
    </row>
    <row r="41" spans="3:30">
      <c r="I41" s="625"/>
      <c r="J41" s="625"/>
      <c r="K41" s="625"/>
      <c r="W41" s="622"/>
      <c r="X41" s="619">
        <v>32</v>
      </c>
      <c r="Y41" s="620"/>
      <c r="Z41" s="650"/>
      <c r="AA41" s="621"/>
      <c r="AB41" s="623"/>
      <c r="AC41" s="622"/>
      <c r="AD41" s="622"/>
    </row>
    <row r="42" spans="3:30">
      <c r="W42" s="622"/>
      <c r="X42" s="619">
        <v>33</v>
      </c>
      <c r="Y42" s="620"/>
      <c r="Z42" s="650"/>
      <c r="AA42" s="621"/>
      <c r="AB42" s="623"/>
      <c r="AC42" s="622"/>
      <c r="AD42" s="622"/>
    </row>
    <row r="43" spans="3:30">
      <c r="W43" s="622"/>
      <c r="X43" s="619">
        <v>34</v>
      </c>
      <c r="Y43" s="620"/>
      <c r="Z43" s="650"/>
      <c r="AA43" s="621"/>
      <c r="AB43" s="623"/>
      <c r="AC43" s="622"/>
      <c r="AD43" s="622"/>
    </row>
    <row r="44" spans="3:30">
      <c r="W44" s="622"/>
      <c r="X44" s="619">
        <v>35</v>
      </c>
      <c r="Y44" s="626"/>
      <c r="Z44" s="650"/>
      <c r="AA44" s="621"/>
      <c r="AB44" s="623"/>
      <c r="AC44" s="622"/>
      <c r="AD44" s="622"/>
    </row>
    <row r="45" spans="3:30">
      <c r="W45" s="622"/>
      <c r="X45" s="619">
        <v>36</v>
      </c>
      <c r="Y45" s="626"/>
      <c r="Z45" s="650"/>
      <c r="AA45" s="621"/>
      <c r="AB45" s="623"/>
      <c r="AC45" s="622"/>
      <c r="AD45" s="622"/>
    </row>
    <row r="46" spans="3:30">
      <c r="W46" s="622"/>
      <c r="X46" s="619">
        <v>37</v>
      </c>
      <c r="Y46" s="620"/>
      <c r="Z46" s="650"/>
      <c r="AA46" s="621"/>
      <c r="AB46" s="623"/>
      <c r="AC46" s="622"/>
      <c r="AD46" s="622"/>
    </row>
    <row r="47" spans="3:30">
      <c r="W47" s="622"/>
      <c r="X47" s="619">
        <v>38</v>
      </c>
      <c r="Y47" s="620"/>
      <c r="Z47" s="650"/>
      <c r="AA47" s="621"/>
      <c r="AB47" s="623"/>
      <c r="AC47" s="622"/>
      <c r="AD47" s="622"/>
    </row>
    <row r="48" spans="3:30">
      <c r="W48" s="622"/>
      <c r="X48" s="619">
        <v>39</v>
      </c>
      <c r="Y48" s="620"/>
      <c r="Z48" s="650"/>
      <c r="AA48" s="621"/>
      <c r="AB48" s="623"/>
      <c r="AC48" s="622"/>
      <c r="AD48" s="622"/>
    </row>
    <row r="49" spans="23:30">
      <c r="W49" s="622"/>
      <c r="X49" s="619">
        <v>40</v>
      </c>
      <c r="Y49" s="620"/>
      <c r="Z49" s="650"/>
      <c r="AA49" s="621"/>
      <c r="AB49" s="623"/>
      <c r="AC49" s="622"/>
      <c r="AD49" s="622"/>
    </row>
    <row r="50" spans="23:30">
      <c r="W50" s="622"/>
      <c r="X50" s="619">
        <v>41</v>
      </c>
      <c r="Y50" s="620"/>
      <c r="Z50" s="650"/>
      <c r="AA50" s="621"/>
      <c r="AB50" s="623"/>
      <c r="AC50" s="622"/>
      <c r="AD50" s="622"/>
    </row>
    <row r="51" spans="23:30">
      <c r="W51" s="622"/>
      <c r="X51" s="619">
        <v>42</v>
      </c>
      <c r="Y51" s="620"/>
      <c r="Z51" s="650"/>
      <c r="AA51" s="621"/>
      <c r="AB51" s="623"/>
      <c r="AC51" s="622"/>
      <c r="AD51" s="622"/>
    </row>
    <row r="52" spans="23:30">
      <c r="W52" s="622"/>
      <c r="X52" s="619">
        <v>43</v>
      </c>
      <c r="Y52" s="620"/>
      <c r="Z52" s="650"/>
      <c r="AA52" s="621"/>
      <c r="AB52" s="623"/>
      <c r="AC52" s="622"/>
      <c r="AD52" s="622"/>
    </row>
    <row r="53" spans="23:30">
      <c r="W53" s="622"/>
      <c r="X53" s="619">
        <v>44</v>
      </c>
      <c r="Y53" s="620"/>
      <c r="Z53" s="650"/>
      <c r="AA53" s="623"/>
      <c r="AB53" s="623"/>
      <c r="AC53" s="622"/>
      <c r="AD53" s="622"/>
    </row>
    <row r="54" spans="23:30">
      <c r="W54" s="622"/>
      <c r="X54" s="619">
        <v>45</v>
      </c>
      <c r="Y54" s="620"/>
      <c r="Z54" s="650"/>
      <c r="AA54" s="621"/>
      <c r="AB54" s="623"/>
      <c r="AC54" s="622"/>
      <c r="AD54" s="622"/>
    </row>
    <row r="55" spans="23:30">
      <c r="W55" s="622"/>
      <c r="X55" s="619">
        <v>46</v>
      </c>
      <c r="Y55" s="620"/>
      <c r="Z55" s="650"/>
      <c r="AA55" s="621"/>
      <c r="AB55" s="623"/>
      <c r="AC55" s="622"/>
      <c r="AD55" s="622"/>
    </row>
    <row r="56" spans="23:30">
      <c r="W56" s="622"/>
      <c r="X56" s="619">
        <v>47</v>
      </c>
      <c r="Y56" s="620"/>
      <c r="Z56" s="650"/>
      <c r="AA56" s="621"/>
      <c r="AB56" s="623"/>
      <c r="AC56" s="622"/>
      <c r="AD56" s="622"/>
    </row>
    <row r="57" spans="23:30">
      <c r="W57" s="622"/>
      <c r="X57" s="619">
        <v>48</v>
      </c>
      <c r="Y57" s="620"/>
      <c r="Z57" s="650"/>
      <c r="AA57" s="621"/>
      <c r="AB57" s="623"/>
      <c r="AC57" s="622"/>
      <c r="AD57" s="622"/>
    </row>
    <row r="58" spans="23:30">
      <c r="W58" s="622"/>
      <c r="X58" s="619">
        <v>49</v>
      </c>
      <c r="Y58" s="620"/>
      <c r="Z58" s="650"/>
      <c r="AA58" s="621"/>
      <c r="AB58" s="623"/>
      <c r="AC58" s="622"/>
      <c r="AD58" s="622"/>
    </row>
    <row r="59" spans="23:30">
      <c r="W59" s="622"/>
      <c r="X59" s="619">
        <v>50</v>
      </c>
      <c r="Y59" s="620"/>
      <c r="Z59" s="650"/>
      <c r="AA59" s="621"/>
      <c r="AB59" s="623"/>
      <c r="AC59" s="622"/>
      <c r="AD59" s="622"/>
    </row>
    <row r="60" spans="23:30">
      <c r="W60" s="622"/>
      <c r="X60" s="619">
        <v>51</v>
      </c>
      <c r="Y60" s="620"/>
      <c r="Z60" s="650"/>
      <c r="AA60" s="621"/>
      <c r="AB60" s="623"/>
      <c r="AC60" s="622"/>
      <c r="AD60" s="622"/>
    </row>
    <row r="61" spans="23:30">
      <c r="W61" s="622"/>
      <c r="X61" s="619">
        <v>52</v>
      </c>
      <c r="Y61" s="620"/>
      <c r="Z61" s="650"/>
      <c r="AA61" s="621"/>
      <c r="AB61" s="623"/>
      <c r="AC61" s="622"/>
      <c r="AD61" s="622"/>
    </row>
    <row r="62" spans="23:30">
      <c r="W62" s="622"/>
      <c r="X62" s="619">
        <v>53</v>
      </c>
      <c r="Y62" s="648"/>
      <c r="Z62" s="652"/>
      <c r="AA62" s="627"/>
      <c r="AB62" s="622"/>
      <c r="AC62" s="622"/>
      <c r="AD62" s="622"/>
    </row>
    <row r="63" spans="23:30">
      <c r="W63" s="622"/>
      <c r="X63" s="622"/>
      <c r="Y63" s="648"/>
      <c r="Z63" s="652"/>
      <c r="AA63" s="627"/>
      <c r="AB63" s="622"/>
      <c r="AC63" s="622"/>
      <c r="AD63" s="622"/>
    </row>
  </sheetData>
  <mergeCells count="1">
    <mergeCell ref="A1:B1"/>
  </mergeCells>
  <conditionalFormatting sqref="C7:C35">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dimension ref="A1:EZ64"/>
  <sheetViews>
    <sheetView showGridLines="0" view="pageBreakPreview" zoomScale="130" zoomScaleNormal="85" zoomScaleSheetLayoutView="130" zoomScalePageLayoutView="70" workbookViewId="0">
      <selection activeCell="D22" sqref="D22"/>
    </sheetView>
  </sheetViews>
  <sheetFormatPr baseColWidth="10" defaultColWidth="11.7109375" defaultRowHeight="14.4"/>
  <cols>
    <col min="1" max="1" width="3" style="614" customWidth="1"/>
    <col min="2" max="2" width="22.5703125" style="614" customWidth="1"/>
    <col min="3" max="3" width="12.140625" style="614" customWidth="1"/>
    <col min="4" max="8" width="11.7109375" style="614"/>
    <col min="9" max="9" width="11.7109375" style="614" customWidth="1"/>
    <col min="10" max="10" width="13.85546875" style="614" customWidth="1"/>
    <col min="11" max="130" width="11.7109375" style="675"/>
    <col min="131" max="156" width="11.7109375" style="628"/>
    <col min="157" max="16384" width="11.7109375" style="614"/>
  </cols>
  <sheetData>
    <row r="1" spans="1:155" ht="58.5" customHeight="1">
      <c r="A1" s="869"/>
      <c r="B1" s="869"/>
      <c r="C1" s="613" t="s">
        <v>389</v>
      </c>
    </row>
    <row r="2" spans="1:155" ht="9.75" customHeight="1"/>
    <row r="3" spans="1:155" ht="15.6">
      <c r="A3" s="615" t="s">
        <v>193</v>
      </c>
    </row>
    <row r="4" spans="1:155" ht="10.199999999999999" customHeight="1"/>
    <row r="5" spans="1:155">
      <c r="B5" s="665" t="s">
        <v>422</v>
      </c>
    </row>
    <row r="9" spans="1:155">
      <c r="L9" s="675">
        <v>1</v>
      </c>
      <c r="R9" s="675">
        <v>2</v>
      </c>
      <c r="U9" s="676"/>
      <c r="V9" s="676"/>
      <c r="X9" s="675">
        <v>3</v>
      </c>
      <c r="AD9" s="675">
        <v>4</v>
      </c>
      <c r="AJ9" s="675">
        <v>5</v>
      </c>
      <c r="AP9" s="675">
        <v>6</v>
      </c>
      <c r="AS9" s="676"/>
      <c r="AT9" s="676"/>
      <c r="AV9" s="675">
        <v>7</v>
      </c>
      <c r="BB9" s="675">
        <v>8</v>
      </c>
      <c r="BE9" s="676"/>
      <c r="BF9" s="676"/>
      <c r="BH9" s="675">
        <v>9</v>
      </c>
      <c r="BN9" s="675">
        <v>10</v>
      </c>
      <c r="BT9" s="675">
        <v>11</v>
      </c>
      <c r="BZ9" s="675">
        <v>12</v>
      </c>
      <c r="CF9" s="675">
        <v>13</v>
      </c>
      <c r="CL9" s="675">
        <v>14</v>
      </c>
      <c r="CO9" s="676"/>
      <c r="CP9" s="676"/>
      <c r="CR9" s="675">
        <v>15</v>
      </c>
      <c r="CX9" s="675">
        <v>16</v>
      </c>
      <c r="DD9" s="675">
        <v>17</v>
      </c>
      <c r="DJ9" s="675">
        <v>18</v>
      </c>
      <c r="DM9" s="676"/>
      <c r="DN9" s="676"/>
      <c r="DP9" s="675">
        <v>19</v>
      </c>
      <c r="DV9" s="675">
        <v>20</v>
      </c>
      <c r="EB9" s="628">
        <v>21</v>
      </c>
      <c r="EH9" s="628">
        <v>22</v>
      </c>
      <c r="EK9" s="617"/>
      <c r="EL9" s="617"/>
      <c r="EN9" s="628">
        <v>23</v>
      </c>
      <c r="ET9" s="628">
        <v>24</v>
      </c>
    </row>
    <row r="10" spans="1:155">
      <c r="L10" s="677" t="s">
        <v>423</v>
      </c>
      <c r="M10" s="676"/>
      <c r="N10" s="676"/>
      <c r="O10" s="676"/>
      <c r="P10" s="676" t="s">
        <v>424</v>
      </c>
      <c r="Q10" s="676" t="s">
        <v>425</v>
      </c>
      <c r="R10" s="677" t="s">
        <v>426</v>
      </c>
      <c r="S10" s="676"/>
      <c r="T10" s="676"/>
      <c r="U10" s="676"/>
      <c r="V10" s="676" t="s">
        <v>424</v>
      </c>
      <c r="W10" s="676" t="s">
        <v>425</v>
      </c>
      <c r="X10" s="677" t="s">
        <v>427</v>
      </c>
      <c r="Y10" s="676"/>
      <c r="Z10" s="676"/>
      <c r="AA10" s="676"/>
      <c r="AB10" s="676" t="s">
        <v>424</v>
      </c>
      <c r="AC10" s="676" t="s">
        <v>425</v>
      </c>
      <c r="AD10" s="677" t="s">
        <v>428</v>
      </c>
      <c r="AE10" s="676"/>
      <c r="AF10" s="676"/>
      <c r="AG10" s="676"/>
      <c r="AH10" s="676" t="s">
        <v>424</v>
      </c>
      <c r="AI10" s="676" t="s">
        <v>425</v>
      </c>
      <c r="AJ10" s="677" t="s">
        <v>429</v>
      </c>
      <c r="AK10" s="676"/>
      <c r="AL10" s="676"/>
      <c r="AM10" s="676"/>
      <c r="AN10" s="676" t="s">
        <v>424</v>
      </c>
      <c r="AO10" s="676" t="s">
        <v>425</v>
      </c>
      <c r="AP10" s="677" t="s">
        <v>430</v>
      </c>
      <c r="AQ10" s="676"/>
      <c r="AR10" s="676"/>
      <c r="AS10" s="676"/>
      <c r="AT10" s="676" t="s">
        <v>424</v>
      </c>
      <c r="AU10" s="676" t="s">
        <v>425</v>
      </c>
      <c r="AV10" s="677" t="s">
        <v>529</v>
      </c>
      <c r="AW10" s="676"/>
      <c r="AX10" s="676"/>
      <c r="AY10" s="676"/>
      <c r="AZ10" s="676" t="s">
        <v>424</v>
      </c>
      <c r="BA10" s="676" t="s">
        <v>425</v>
      </c>
      <c r="BB10" s="677" t="s">
        <v>431</v>
      </c>
      <c r="BC10" s="676"/>
      <c r="BD10" s="676"/>
      <c r="BE10" s="676"/>
      <c r="BF10" s="676" t="s">
        <v>424</v>
      </c>
      <c r="BG10" s="676" t="s">
        <v>425</v>
      </c>
      <c r="BH10" s="677" t="s">
        <v>432</v>
      </c>
      <c r="BI10" s="676"/>
      <c r="BJ10" s="676"/>
      <c r="BK10" s="676"/>
      <c r="BL10" s="676" t="s">
        <v>424</v>
      </c>
      <c r="BM10" s="676" t="s">
        <v>425</v>
      </c>
      <c r="BN10" s="677" t="s">
        <v>433</v>
      </c>
      <c r="BO10" s="676"/>
      <c r="BP10" s="676"/>
      <c r="BQ10" s="676"/>
      <c r="BR10" s="676" t="s">
        <v>424</v>
      </c>
      <c r="BS10" s="676" t="s">
        <v>425</v>
      </c>
      <c r="BT10" s="677" t="s">
        <v>434</v>
      </c>
      <c r="BU10" s="676"/>
      <c r="BV10" s="676"/>
      <c r="BW10" s="676"/>
      <c r="BX10" s="676" t="s">
        <v>424</v>
      </c>
      <c r="BY10" s="676" t="s">
        <v>425</v>
      </c>
      <c r="BZ10" s="677" t="s">
        <v>530</v>
      </c>
      <c r="CA10" s="676"/>
      <c r="CB10" s="676"/>
      <c r="CC10" s="676"/>
      <c r="CD10" s="676" t="s">
        <v>424</v>
      </c>
      <c r="CE10" s="676" t="s">
        <v>425</v>
      </c>
      <c r="CF10" s="677" t="str">
        <f>_xlfn.CONCAT("Titulo Grafico ",CF9)</f>
        <v>Titulo Grafico 13</v>
      </c>
      <c r="CG10" s="676"/>
      <c r="CH10" s="676"/>
      <c r="CI10" s="676"/>
      <c r="CJ10" s="676" t="str">
        <f>_xlfn.CONCAT("Texto Eje Y",CF9)</f>
        <v>Texto Eje Y13</v>
      </c>
      <c r="CK10" s="676" t="str">
        <f>_xlfn.CONCAT("Texto Eje X",CF9)</f>
        <v>Texto Eje X13</v>
      </c>
      <c r="CL10" s="677" t="str">
        <f>_xlfn.CONCAT("Titulo Grafico ",CL9)</f>
        <v>Titulo Grafico 14</v>
      </c>
      <c r="CM10" s="676"/>
      <c r="CN10" s="676"/>
      <c r="CO10" s="676"/>
      <c r="CP10" s="676" t="str">
        <f>_xlfn.CONCAT("Texto Eje Y",CL9)</f>
        <v>Texto Eje Y14</v>
      </c>
      <c r="CQ10" s="676" t="str">
        <f>_xlfn.CONCAT("Texto Eje X",CL9)</f>
        <v>Texto Eje X14</v>
      </c>
      <c r="CR10" s="677" t="str">
        <f>_xlfn.CONCAT("Titulo Grafico ",CR9)</f>
        <v>Titulo Grafico 15</v>
      </c>
      <c r="CS10" s="676"/>
      <c r="CT10" s="676"/>
      <c r="CU10" s="676"/>
      <c r="CV10" s="676" t="str">
        <f>_xlfn.CONCAT("Texto Eje Y",CR9)</f>
        <v>Texto Eje Y15</v>
      </c>
      <c r="CW10" s="676" t="str">
        <f>_xlfn.CONCAT("Texto Eje X",CR9)</f>
        <v>Texto Eje X15</v>
      </c>
      <c r="CX10" s="677" t="str">
        <f>_xlfn.CONCAT("Titulo Grafico ",CX9)</f>
        <v>Titulo Grafico 16</v>
      </c>
      <c r="CY10" s="676"/>
      <c r="CZ10" s="676"/>
      <c r="DA10" s="676"/>
      <c r="DB10" s="676" t="str">
        <f>_xlfn.CONCAT("Texto Eje Y",CX9)</f>
        <v>Texto Eje Y16</v>
      </c>
      <c r="DC10" s="676" t="str">
        <f>_xlfn.CONCAT("Texto Eje X",CX9)</f>
        <v>Texto Eje X16</v>
      </c>
      <c r="DD10" s="677" t="str">
        <f>_xlfn.CONCAT("Titulo Grafico ",DD9)</f>
        <v>Titulo Grafico 17</v>
      </c>
      <c r="DE10" s="676"/>
      <c r="DF10" s="676"/>
      <c r="DG10" s="676"/>
      <c r="DH10" s="676" t="str">
        <f>_xlfn.CONCAT("Texto Eje Y",DD9)</f>
        <v>Texto Eje Y17</v>
      </c>
      <c r="DI10" s="676" t="str">
        <f>_xlfn.CONCAT("Texto Eje X",DD9)</f>
        <v>Texto Eje X17</v>
      </c>
      <c r="DJ10" s="677" t="str">
        <f>_xlfn.CONCAT("Titulo Grafico ",DJ9)</f>
        <v>Titulo Grafico 18</v>
      </c>
      <c r="DK10" s="676"/>
      <c r="DL10" s="676"/>
      <c r="DM10" s="676"/>
      <c r="DN10" s="676" t="str">
        <f>_xlfn.CONCAT("Texto Eje Y",DJ9)</f>
        <v>Texto Eje Y18</v>
      </c>
      <c r="DO10" s="676" t="str">
        <f>_xlfn.CONCAT("Texto Eje X",DJ9)</f>
        <v>Texto Eje X18</v>
      </c>
      <c r="DP10" s="677" t="str">
        <f>_xlfn.CONCAT("Titulo Grafico ",DP9)</f>
        <v>Titulo Grafico 19</v>
      </c>
      <c r="DQ10" s="676"/>
      <c r="DR10" s="676"/>
      <c r="DS10" s="676"/>
      <c r="DT10" s="676" t="str">
        <f>_xlfn.CONCAT("Texto Eje Y",DP9)</f>
        <v>Texto Eje Y19</v>
      </c>
      <c r="DU10" s="676" t="str">
        <f>_xlfn.CONCAT("Texto Eje X",DP9)</f>
        <v>Texto Eje X19</v>
      </c>
      <c r="DV10" s="677" t="str">
        <f>_xlfn.CONCAT("Titulo Grafico ",DV9)</f>
        <v>Titulo Grafico 20</v>
      </c>
      <c r="DW10" s="676"/>
      <c r="DX10" s="676"/>
      <c r="DY10" s="676"/>
      <c r="DZ10" s="676" t="str">
        <f>_xlfn.CONCAT("Texto Eje Y",DV9)</f>
        <v>Texto Eje Y20</v>
      </c>
      <c r="EA10" s="617" t="str">
        <f>_xlfn.CONCAT("Texto Eje X",DV9)</f>
        <v>Texto Eje X20</v>
      </c>
      <c r="EB10" s="765" t="str">
        <f>_xlfn.CONCAT("Titulo Grafico ",EB9)</f>
        <v>Titulo Grafico 21</v>
      </c>
      <c r="EC10" s="617"/>
      <c r="ED10" s="617"/>
      <c r="EE10" s="617"/>
      <c r="EF10" s="617" t="str">
        <f>_xlfn.CONCAT("Texto Eje Y",EB9)</f>
        <v>Texto Eje Y21</v>
      </c>
      <c r="EG10" s="617" t="str">
        <f>_xlfn.CONCAT("Texto Eje X",EB9)</f>
        <v>Texto Eje X21</v>
      </c>
      <c r="EH10" s="765" t="str">
        <f>_xlfn.CONCAT("Titulo Grafico ",EH9)</f>
        <v>Titulo Grafico 22</v>
      </c>
      <c r="EI10" s="617"/>
      <c r="EJ10" s="617"/>
      <c r="EK10" s="617"/>
      <c r="EL10" s="617" t="str">
        <f>_xlfn.CONCAT("Texto Eje Y",EH9)</f>
        <v>Texto Eje Y22</v>
      </c>
      <c r="EM10" s="617" t="str">
        <f>_xlfn.CONCAT("Texto Eje X",EH9)</f>
        <v>Texto Eje X22</v>
      </c>
      <c r="EN10" s="765" t="str">
        <f>_xlfn.CONCAT("Titulo Grafico ",EN9)</f>
        <v>Titulo Grafico 23</v>
      </c>
      <c r="EO10" s="617"/>
      <c r="EP10" s="617"/>
      <c r="EQ10" s="617"/>
      <c r="ER10" s="617" t="str">
        <f>_xlfn.CONCAT("Texto Eje Y",EN9)</f>
        <v>Texto Eje Y23</v>
      </c>
      <c r="ES10" s="617" t="str">
        <f>_xlfn.CONCAT("Texto Eje X",EN9)</f>
        <v>Texto Eje X23</v>
      </c>
      <c r="ET10" s="765" t="str">
        <f>_xlfn.CONCAT("Titulo Grafico ",ET9)</f>
        <v>Titulo Grafico 24</v>
      </c>
      <c r="EU10" s="617"/>
      <c r="EV10" s="617"/>
      <c r="EW10" s="617"/>
      <c r="EX10" s="617" t="str">
        <f>_xlfn.CONCAT("Texto Eje Y",ET9)</f>
        <v>Texto Eje Y24</v>
      </c>
      <c r="EY10" s="617" t="str">
        <f>_xlfn.CONCAT("Texto Eje X",ET9)</f>
        <v>Texto Eje X24</v>
      </c>
    </row>
    <row r="11" spans="1:155">
      <c r="L11" s="676"/>
      <c r="M11" s="678" t="s">
        <v>436</v>
      </c>
      <c r="N11" s="678" t="s">
        <v>437</v>
      </c>
      <c r="O11" s="678" t="s">
        <v>438</v>
      </c>
      <c r="P11" s="678" t="s">
        <v>574</v>
      </c>
      <c r="R11" s="676"/>
      <c r="S11" s="678" t="s">
        <v>436</v>
      </c>
      <c r="T11" s="678" t="s">
        <v>437</v>
      </c>
      <c r="U11" s="678" t="s">
        <v>438</v>
      </c>
      <c r="V11" s="678" t="s">
        <v>574</v>
      </c>
      <c r="X11" s="676"/>
      <c r="Y11" s="678" t="s">
        <v>436</v>
      </c>
      <c r="Z11" s="678" t="s">
        <v>437</v>
      </c>
      <c r="AA11" s="678" t="s">
        <v>438</v>
      </c>
      <c r="AB11" s="678" t="s">
        <v>574</v>
      </c>
      <c r="AD11" s="676"/>
      <c r="AE11" s="678" t="s">
        <v>436</v>
      </c>
      <c r="AF11" s="678" t="s">
        <v>437</v>
      </c>
      <c r="AG11" s="678" t="s">
        <v>438</v>
      </c>
      <c r="AH11" s="678" t="s">
        <v>574</v>
      </c>
      <c r="AJ11" s="676"/>
      <c r="AK11" s="678" t="s">
        <v>436</v>
      </c>
      <c r="AL11" s="678" t="s">
        <v>437</v>
      </c>
      <c r="AM11" s="678" t="s">
        <v>438</v>
      </c>
      <c r="AN11" s="678" t="s">
        <v>574</v>
      </c>
      <c r="AP11" s="676"/>
      <c r="AQ11" s="678" t="s">
        <v>436</v>
      </c>
      <c r="AR11" s="678" t="s">
        <v>437</v>
      </c>
      <c r="AS11" s="678" t="s">
        <v>438</v>
      </c>
      <c r="AT11" s="678" t="s">
        <v>574</v>
      </c>
      <c r="AV11" s="676"/>
      <c r="AW11" s="678" t="s">
        <v>436</v>
      </c>
      <c r="AX11" s="678" t="s">
        <v>437</v>
      </c>
      <c r="AY11" s="678" t="s">
        <v>438</v>
      </c>
      <c r="AZ11" s="678" t="s">
        <v>574</v>
      </c>
      <c r="BB11" s="676"/>
      <c r="BC11" s="678" t="s">
        <v>436</v>
      </c>
      <c r="BD11" s="678" t="s">
        <v>437</v>
      </c>
      <c r="BE11" s="678" t="s">
        <v>438</v>
      </c>
      <c r="BF11" s="678" t="s">
        <v>574</v>
      </c>
      <c r="BH11" s="676"/>
      <c r="BI11" s="678" t="s">
        <v>436</v>
      </c>
      <c r="BJ11" s="678" t="s">
        <v>437</v>
      </c>
      <c r="BK11" s="678" t="s">
        <v>438</v>
      </c>
      <c r="BL11" s="678" t="s">
        <v>574</v>
      </c>
      <c r="BN11" s="676"/>
      <c r="BO11" s="678" t="s">
        <v>436</v>
      </c>
      <c r="BP11" s="678" t="s">
        <v>437</v>
      </c>
      <c r="BQ11" s="678" t="s">
        <v>438</v>
      </c>
      <c r="BR11" s="678" t="s">
        <v>574</v>
      </c>
      <c r="BT11" s="676"/>
      <c r="BU11" s="678" t="s">
        <v>436</v>
      </c>
      <c r="BV11" s="678" t="s">
        <v>437</v>
      </c>
      <c r="BW11" s="678" t="s">
        <v>438</v>
      </c>
      <c r="BX11" s="678" t="s">
        <v>574</v>
      </c>
      <c r="BZ11" s="676"/>
      <c r="CA11" s="678" t="s">
        <v>436</v>
      </c>
      <c r="CB11" s="678" t="s">
        <v>437</v>
      </c>
      <c r="CC11" s="678" t="s">
        <v>438</v>
      </c>
      <c r="CD11" s="678" t="s">
        <v>574</v>
      </c>
      <c r="CF11" s="676"/>
      <c r="CG11" s="678" t="s">
        <v>439</v>
      </c>
      <c r="CH11" s="678" t="s">
        <v>440</v>
      </c>
      <c r="CI11" s="678" t="s">
        <v>441</v>
      </c>
      <c r="CJ11" s="678" t="s">
        <v>442</v>
      </c>
      <c r="CL11" s="676"/>
      <c r="CM11" s="678" t="s">
        <v>439</v>
      </c>
      <c r="CN11" s="678" t="s">
        <v>440</v>
      </c>
      <c r="CO11" s="678" t="s">
        <v>441</v>
      </c>
      <c r="CP11" s="678" t="s">
        <v>442</v>
      </c>
      <c r="CR11" s="676"/>
      <c r="CS11" s="678" t="s">
        <v>439</v>
      </c>
      <c r="CT11" s="678" t="s">
        <v>440</v>
      </c>
      <c r="CU11" s="678" t="s">
        <v>441</v>
      </c>
      <c r="CV11" s="678" t="s">
        <v>442</v>
      </c>
      <c r="CX11" s="676"/>
      <c r="CY11" s="678" t="s">
        <v>439</v>
      </c>
      <c r="CZ11" s="678" t="s">
        <v>440</v>
      </c>
      <c r="DA11" s="678" t="s">
        <v>441</v>
      </c>
      <c r="DB11" s="678" t="s">
        <v>442</v>
      </c>
      <c r="DD11" s="676"/>
      <c r="DE11" s="678" t="s">
        <v>439</v>
      </c>
      <c r="DF11" s="678" t="s">
        <v>440</v>
      </c>
      <c r="DG11" s="678" t="s">
        <v>441</v>
      </c>
      <c r="DH11" s="678" t="s">
        <v>442</v>
      </c>
      <c r="DJ11" s="676"/>
      <c r="DK11" s="678" t="s">
        <v>439</v>
      </c>
      <c r="DL11" s="678" t="s">
        <v>440</v>
      </c>
      <c r="DM11" s="678" t="s">
        <v>441</v>
      </c>
      <c r="DN11" s="678" t="s">
        <v>442</v>
      </c>
      <c r="DP11" s="676"/>
      <c r="DQ11" s="678" t="s">
        <v>439</v>
      </c>
      <c r="DR11" s="678" t="s">
        <v>440</v>
      </c>
      <c r="DS11" s="678" t="s">
        <v>441</v>
      </c>
      <c r="DT11" s="678" t="s">
        <v>442</v>
      </c>
      <c r="DV11" s="676"/>
      <c r="DW11" s="678" t="s">
        <v>439</v>
      </c>
      <c r="DX11" s="678" t="s">
        <v>440</v>
      </c>
      <c r="DY11" s="678" t="s">
        <v>441</v>
      </c>
      <c r="DZ11" s="678" t="s">
        <v>442</v>
      </c>
      <c r="EB11" s="617"/>
      <c r="EC11" s="618" t="s">
        <v>439</v>
      </c>
      <c r="ED11" s="618" t="s">
        <v>440</v>
      </c>
      <c r="EE11" s="618" t="s">
        <v>441</v>
      </c>
      <c r="EF11" s="618" t="s">
        <v>442</v>
      </c>
      <c r="EH11" s="617"/>
      <c r="EI11" s="618" t="s">
        <v>439</v>
      </c>
      <c r="EJ11" s="618" t="s">
        <v>440</v>
      </c>
      <c r="EK11" s="618" t="s">
        <v>441</v>
      </c>
      <c r="EL11" s="618" t="s">
        <v>442</v>
      </c>
      <c r="EN11" s="617"/>
      <c r="EO11" s="618" t="s">
        <v>439</v>
      </c>
      <c r="EP11" s="618" t="s">
        <v>440</v>
      </c>
      <c r="EQ11" s="618" t="s">
        <v>441</v>
      </c>
      <c r="ER11" s="618" t="s">
        <v>442</v>
      </c>
      <c r="ET11" s="617"/>
      <c r="EU11" s="618" t="s">
        <v>439</v>
      </c>
      <c r="EV11" s="618" t="s">
        <v>440</v>
      </c>
      <c r="EW11" s="618" t="s">
        <v>441</v>
      </c>
      <c r="EX11" s="618" t="s">
        <v>442</v>
      </c>
    </row>
    <row r="12" spans="1:155">
      <c r="L12" s="679">
        <v>1</v>
      </c>
      <c r="M12" s="680">
        <v>36.308</v>
      </c>
      <c r="N12" s="680">
        <v>5.5270000000000001</v>
      </c>
      <c r="O12" s="681">
        <v>23.925000000000001</v>
      </c>
      <c r="P12" s="771">
        <v>25.332000000000001</v>
      </c>
      <c r="R12" s="679">
        <v>1</v>
      </c>
      <c r="S12" s="680">
        <v>6.5839600000000003</v>
      </c>
      <c r="T12" s="680">
        <v>6.8232999999999997</v>
      </c>
      <c r="U12" s="681">
        <v>6.8567999999999998</v>
      </c>
      <c r="V12" s="771">
        <v>9.2383299999999995</v>
      </c>
      <c r="X12" s="679">
        <v>1</v>
      </c>
      <c r="Y12" s="680">
        <v>15.534000000000001</v>
      </c>
      <c r="Z12" s="680">
        <v>13.554</v>
      </c>
      <c r="AA12" s="681">
        <v>19.597000000000001</v>
      </c>
      <c r="AB12" s="676">
        <v>24.768999999999998</v>
      </c>
      <c r="AD12" s="679">
        <v>1</v>
      </c>
      <c r="AE12" s="680">
        <v>208.24700000000001</v>
      </c>
      <c r="AF12" s="680">
        <v>155.38999999999999</v>
      </c>
      <c r="AG12" s="681">
        <v>144.642</v>
      </c>
      <c r="AH12" s="676">
        <v>210.26</v>
      </c>
      <c r="AJ12" s="679">
        <v>1</v>
      </c>
      <c r="AK12" s="680">
        <v>232.477</v>
      </c>
      <c r="AL12" s="680">
        <v>225.47800000000001</v>
      </c>
      <c r="AM12" s="681">
        <v>218.767</v>
      </c>
      <c r="AN12" s="676">
        <v>233.376</v>
      </c>
      <c r="AP12" s="679">
        <v>1</v>
      </c>
      <c r="AQ12" s="680">
        <v>28.82</v>
      </c>
      <c r="AR12" s="680">
        <v>4.67</v>
      </c>
      <c r="AS12" s="681">
        <v>9.7910000000000004</v>
      </c>
      <c r="AT12" s="676">
        <v>24.74</v>
      </c>
      <c r="AV12" s="679">
        <v>1</v>
      </c>
      <c r="AW12" s="680">
        <v>51.81</v>
      </c>
      <c r="AX12" s="680">
        <v>27.18</v>
      </c>
      <c r="AY12" s="681">
        <v>64.7</v>
      </c>
      <c r="AZ12" s="676">
        <v>96.22</v>
      </c>
      <c r="BB12" s="679">
        <v>1</v>
      </c>
      <c r="BC12" s="680">
        <v>67.61</v>
      </c>
      <c r="BD12" s="680">
        <v>22.98</v>
      </c>
      <c r="BE12" s="681">
        <v>47.4</v>
      </c>
      <c r="BF12" s="676">
        <v>65.62</v>
      </c>
      <c r="BH12" s="679">
        <v>1</v>
      </c>
      <c r="BI12" s="680">
        <v>6.2668799999999996</v>
      </c>
      <c r="BJ12" s="680">
        <v>3.4293300000000002</v>
      </c>
      <c r="BK12" s="681">
        <v>5.8198699999999999</v>
      </c>
      <c r="BL12" s="676">
        <v>1.79437</v>
      </c>
      <c r="BN12" s="679">
        <v>1</v>
      </c>
      <c r="BO12" s="680">
        <v>7.4119999999999999</v>
      </c>
      <c r="BP12" s="680">
        <v>11.847</v>
      </c>
      <c r="BQ12" s="681">
        <v>19.420999999999999</v>
      </c>
      <c r="BR12" s="676">
        <v>20.358000000000001</v>
      </c>
      <c r="BT12" s="679">
        <v>1</v>
      </c>
      <c r="BU12" s="680">
        <v>148.66</v>
      </c>
      <c r="BV12" s="680">
        <v>92.438000000000002</v>
      </c>
      <c r="BW12" s="681">
        <v>178.13200000000001</v>
      </c>
      <c r="BX12" s="676">
        <v>190.149</v>
      </c>
      <c r="BZ12" s="679">
        <v>1</v>
      </c>
      <c r="CA12" s="680">
        <v>35.493000000000002</v>
      </c>
      <c r="CB12" s="680">
        <v>33.673000000000002</v>
      </c>
      <c r="CC12" s="681">
        <v>25.428000000000001</v>
      </c>
      <c r="CD12" s="676">
        <v>91.68</v>
      </c>
      <c r="CF12" s="679">
        <v>1</v>
      </c>
      <c r="CG12" s="680"/>
      <c r="CH12" s="680"/>
      <c r="CI12" s="681"/>
      <c r="CJ12" s="676"/>
      <c r="CL12" s="679">
        <v>1</v>
      </c>
      <c r="CM12" s="680"/>
      <c r="CN12" s="680"/>
      <c r="CO12" s="681"/>
      <c r="CP12" s="676"/>
      <c r="CR12" s="679">
        <v>1</v>
      </c>
      <c r="CS12" s="680"/>
      <c r="CT12" s="680"/>
      <c r="CU12" s="681"/>
      <c r="CV12" s="676"/>
      <c r="CX12" s="679">
        <v>1</v>
      </c>
      <c r="CY12" s="680"/>
      <c r="CZ12" s="680"/>
      <c r="DA12" s="681"/>
      <c r="DB12" s="676"/>
      <c r="DD12" s="679">
        <v>1</v>
      </c>
      <c r="DE12" s="680"/>
      <c r="DF12" s="680"/>
      <c r="DG12" s="681"/>
      <c r="DH12" s="676"/>
      <c r="DJ12" s="679">
        <v>1</v>
      </c>
      <c r="DK12" s="680"/>
      <c r="DL12" s="680"/>
      <c r="DM12" s="681"/>
      <c r="DN12" s="676"/>
      <c r="DP12" s="679">
        <v>1</v>
      </c>
      <c r="DQ12" s="680"/>
      <c r="DR12" s="680"/>
      <c r="DS12" s="681"/>
      <c r="DT12" s="676"/>
      <c r="DV12" s="679">
        <v>1</v>
      </c>
      <c r="DW12" s="680"/>
      <c r="DX12" s="680"/>
      <c r="DY12" s="681"/>
      <c r="DZ12" s="676"/>
      <c r="EB12" s="619">
        <v>1</v>
      </c>
      <c r="EC12" s="620"/>
      <c r="ED12" s="620"/>
      <c r="EE12" s="621"/>
      <c r="EF12" s="617"/>
      <c r="EH12" s="619">
        <v>1</v>
      </c>
      <c r="EI12" s="620"/>
      <c r="EJ12" s="620"/>
      <c r="EK12" s="621"/>
      <c r="EL12" s="617"/>
      <c r="EN12" s="619">
        <v>1</v>
      </c>
      <c r="EO12" s="620"/>
      <c r="EP12" s="620"/>
      <c r="EQ12" s="621"/>
      <c r="ER12" s="617"/>
      <c r="ET12" s="619">
        <v>1</v>
      </c>
      <c r="EU12" s="620"/>
      <c r="EV12" s="620"/>
      <c r="EW12" s="621"/>
      <c r="EX12" s="617"/>
    </row>
    <row r="13" spans="1:155">
      <c r="L13" s="679">
        <v>2</v>
      </c>
      <c r="M13" s="680">
        <v>36.65175</v>
      </c>
      <c r="N13" s="680">
        <v>6.7610000000000001</v>
      </c>
      <c r="O13" s="681">
        <v>24.32348</v>
      </c>
      <c r="P13" s="771">
        <v>25.331659999999999</v>
      </c>
      <c r="R13" s="679">
        <v>2</v>
      </c>
      <c r="S13" s="680">
        <v>11.692550000000001</v>
      </c>
      <c r="T13" s="680">
        <v>1.2020200000000001</v>
      </c>
      <c r="U13" s="681">
        <v>6.6545399999999999</v>
      </c>
      <c r="V13" s="771">
        <v>5.0647000000000002</v>
      </c>
      <c r="X13" s="679">
        <v>2</v>
      </c>
      <c r="Y13" s="680">
        <v>16.402000000000001</v>
      </c>
      <c r="Z13" s="680">
        <v>13.462</v>
      </c>
      <c r="AA13" s="681">
        <v>19.655000000000001</v>
      </c>
      <c r="AB13" s="676">
        <v>24.538</v>
      </c>
      <c r="AD13" s="679">
        <v>2</v>
      </c>
      <c r="AE13" s="680">
        <v>232.21299999999999</v>
      </c>
      <c r="AF13" s="680">
        <v>151.797</v>
      </c>
      <c r="AG13" s="681">
        <v>151.72900000000001</v>
      </c>
      <c r="AH13" s="676">
        <v>206.477</v>
      </c>
      <c r="AJ13" s="679">
        <v>2</v>
      </c>
      <c r="AK13" s="680">
        <v>233.93600000000001</v>
      </c>
      <c r="AL13" s="680">
        <v>225.22900000000001</v>
      </c>
      <c r="AM13" s="681">
        <v>218.64</v>
      </c>
      <c r="AN13" s="676">
        <v>232.73099999999999</v>
      </c>
      <c r="AP13" s="679">
        <v>2</v>
      </c>
      <c r="AQ13" s="680">
        <v>29.79</v>
      </c>
      <c r="AR13" s="680">
        <v>5.17</v>
      </c>
      <c r="AS13" s="681">
        <v>10.541</v>
      </c>
      <c r="AT13" s="676">
        <v>28.14</v>
      </c>
      <c r="AV13" s="679">
        <v>2</v>
      </c>
      <c r="AW13" s="680">
        <v>52.1</v>
      </c>
      <c r="AX13" s="680">
        <v>39.32</v>
      </c>
      <c r="AY13" s="681">
        <v>75.8</v>
      </c>
      <c r="AZ13" s="676">
        <v>108.35</v>
      </c>
      <c r="BB13" s="679">
        <v>2</v>
      </c>
      <c r="BC13" s="680">
        <v>69.88</v>
      </c>
      <c r="BD13" s="680">
        <v>25.7</v>
      </c>
      <c r="BE13" s="681">
        <v>49.35</v>
      </c>
      <c r="BF13" s="676">
        <v>71.010000000000005</v>
      </c>
      <c r="BH13" s="679">
        <v>2</v>
      </c>
      <c r="BI13" s="680">
        <v>6.46075</v>
      </c>
      <c r="BJ13" s="680">
        <v>4.6344399999999997</v>
      </c>
      <c r="BK13" s="681">
        <v>6.2770799999999998</v>
      </c>
      <c r="BL13" s="676">
        <v>7.4687200000000002</v>
      </c>
      <c r="BN13" s="679">
        <v>2</v>
      </c>
      <c r="BO13" s="680">
        <v>6.8159999999999998</v>
      </c>
      <c r="BP13" s="680">
        <v>15.065</v>
      </c>
      <c r="BQ13" s="681">
        <v>22.318999999999999</v>
      </c>
      <c r="BR13" s="676">
        <v>21.757999999999999</v>
      </c>
      <c r="BT13" s="679">
        <v>2</v>
      </c>
      <c r="BU13" s="680">
        <v>147.80000000000001</v>
      </c>
      <c r="BV13" s="680">
        <v>98.191000000000003</v>
      </c>
      <c r="BW13" s="681">
        <v>191.28200000000001</v>
      </c>
      <c r="BX13" s="676">
        <v>199.857</v>
      </c>
      <c r="BZ13" s="679">
        <v>2</v>
      </c>
      <c r="CA13" s="680">
        <v>56.155999999999999</v>
      </c>
      <c r="CB13" s="680">
        <v>30.780999999999999</v>
      </c>
      <c r="CC13" s="681">
        <v>36.222999999999999</v>
      </c>
      <c r="CD13" s="676">
        <v>116.306</v>
      </c>
      <c r="CF13" s="679">
        <v>2</v>
      </c>
      <c r="CG13" s="680"/>
      <c r="CH13" s="680"/>
      <c r="CI13" s="681"/>
      <c r="CJ13" s="676"/>
      <c r="CL13" s="679">
        <v>2</v>
      </c>
      <c r="CM13" s="680"/>
      <c r="CN13" s="680"/>
      <c r="CO13" s="681"/>
      <c r="CP13" s="676"/>
      <c r="CR13" s="679">
        <v>2</v>
      </c>
      <c r="CS13" s="680"/>
      <c r="CT13" s="680"/>
      <c r="CU13" s="681"/>
      <c r="CV13" s="676"/>
      <c r="CX13" s="679">
        <v>2</v>
      </c>
      <c r="CY13" s="680"/>
      <c r="CZ13" s="680"/>
      <c r="DA13" s="681"/>
      <c r="DB13" s="676"/>
      <c r="DD13" s="679">
        <v>2</v>
      </c>
      <c r="DE13" s="680"/>
      <c r="DF13" s="680"/>
      <c r="DG13" s="681"/>
      <c r="DH13" s="676"/>
      <c r="DJ13" s="679">
        <v>2</v>
      </c>
      <c r="DK13" s="680"/>
      <c r="DL13" s="680"/>
      <c r="DM13" s="681"/>
      <c r="DN13" s="676"/>
      <c r="DP13" s="679">
        <v>2</v>
      </c>
      <c r="DQ13" s="680"/>
      <c r="DR13" s="680"/>
      <c r="DS13" s="681"/>
      <c r="DT13" s="676"/>
      <c r="DV13" s="679">
        <v>2</v>
      </c>
      <c r="DW13" s="680"/>
      <c r="DX13" s="680"/>
      <c r="DY13" s="681"/>
      <c r="DZ13" s="676"/>
      <c r="EB13" s="619">
        <v>2</v>
      </c>
      <c r="EC13" s="620"/>
      <c r="ED13" s="620"/>
      <c r="EE13" s="621"/>
      <c r="EF13" s="617"/>
      <c r="EH13" s="619">
        <v>2</v>
      </c>
      <c r="EI13" s="620"/>
      <c r="EJ13" s="620"/>
      <c r="EK13" s="621"/>
      <c r="EL13" s="617"/>
      <c r="EN13" s="619">
        <v>2</v>
      </c>
      <c r="EO13" s="620"/>
      <c r="EP13" s="620"/>
      <c r="EQ13" s="621"/>
      <c r="ER13" s="617"/>
      <c r="ET13" s="619">
        <v>2</v>
      </c>
      <c r="EU13" s="620"/>
      <c r="EV13" s="620"/>
      <c r="EW13" s="621"/>
      <c r="EX13" s="617"/>
    </row>
    <row r="14" spans="1:155">
      <c r="L14" s="679">
        <v>3</v>
      </c>
      <c r="M14" s="680">
        <v>38.413899999999998</v>
      </c>
      <c r="N14" s="680">
        <v>8.7750000000000004</v>
      </c>
      <c r="O14" s="681">
        <v>24.32348</v>
      </c>
      <c r="P14" s="771">
        <v>29.128</v>
      </c>
      <c r="R14" s="679">
        <v>3</v>
      </c>
      <c r="S14" s="680">
        <v>6.8334700000000002</v>
      </c>
      <c r="T14" s="680">
        <v>9.6132299999999997</v>
      </c>
      <c r="U14" s="681">
        <v>8.2142199999999992</v>
      </c>
      <c r="V14" s="771">
        <v>12.538220000000001</v>
      </c>
      <c r="X14" s="679">
        <v>3</v>
      </c>
      <c r="Y14" s="680">
        <v>16.402000000000001</v>
      </c>
      <c r="Z14" s="680">
        <v>13.505000000000001</v>
      </c>
      <c r="AA14" s="681">
        <v>19.518000000000001</v>
      </c>
      <c r="AB14" s="676">
        <v>25.721</v>
      </c>
      <c r="AD14" s="679">
        <v>3</v>
      </c>
      <c r="AE14" s="680">
        <v>254.67400000000001</v>
      </c>
      <c r="AF14" s="680">
        <v>147.07400000000001</v>
      </c>
      <c r="AG14" s="681">
        <v>152.05500000000001</v>
      </c>
      <c r="AH14" s="676">
        <v>218.31</v>
      </c>
      <c r="AJ14" s="679">
        <v>3</v>
      </c>
      <c r="AK14" s="680">
        <v>234.46799999999999</v>
      </c>
      <c r="AL14" s="680">
        <v>224.785</v>
      </c>
      <c r="AM14" s="681">
        <v>218.322</v>
      </c>
      <c r="AN14" s="676">
        <v>233.59299999999999</v>
      </c>
      <c r="AP14" s="679">
        <v>3</v>
      </c>
      <c r="AQ14" s="680">
        <v>31.63</v>
      </c>
      <c r="AR14" s="680">
        <v>5.35</v>
      </c>
      <c r="AS14" s="681">
        <v>11.340999999999999</v>
      </c>
      <c r="AT14" s="676">
        <v>30.54</v>
      </c>
      <c r="AV14" s="679">
        <v>3</v>
      </c>
      <c r="AW14" s="680">
        <v>54.55</v>
      </c>
      <c r="AX14" s="680">
        <v>45.49</v>
      </c>
      <c r="AY14" s="681">
        <v>92.96</v>
      </c>
      <c r="AZ14" s="676">
        <v>112.35</v>
      </c>
      <c r="BB14" s="679">
        <v>3</v>
      </c>
      <c r="BC14" s="680">
        <v>73.58</v>
      </c>
      <c r="BD14" s="680">
        <v>25.7</v>
      </c>
      <c r="BE14" s="681">
        <v>51.58</v>
      </c>
      <c r="BF14" s="676">
        <v>74.72</v>
      </c>
      <c r="BH14" s="679">
        <v>3</v>
      </c>
      <c r="BI14" s="680">
        <v>6.7063600000000001</v>
      </c>
      <c r="BJ14" s="680">
        <v>5.5973800000000002</v>
      </c>
      <c r="BK14" s="681">
        <v>6.37906</v>
      </c>
      <c r="BL14" s="676">
        <v>8.5289599999999997</v>
      </c>
      <c r="BN14" s="679">
        <v>3</v>
      </c>
      <c r="BO14" s="680">
        <v>8.2569999999999997</v>
      </c>
      <c r="BP14" s="680">
        <v>17.344999999999999</v>
      </c>
      <c r="BQ14" s="681">
        <v>25.843</v>
      </c>
      <c r="BR14" s="676">
        <v>18.904</v>
      </c>
      <c r="BT14" s="679">
        <v>3</v>
      </c>
      <c r="BU14" s="680">
        <v>147.11000000000001</v>
      </c>
      <c r="BV14" s="680">
        <v>99.385999999999996</v>
      </c>
      <c r="BW14" s="681">
        <v>201.74</v>
      </c>
      <c r="BX14" s="676">
        <v>204.178</v>
      </c>
      <c r="BZ14" s="679">
        <v>3</v>
      </c>
      <c r="CA14" s="680">
        <v>68.724000000000004</v>
      </c>
      <c r="CB14" s="680">
        <v>34.4</v>
      </c>
      <c r="CC14" s="681">
        <v>66.337000000000003</v>
      </c>
      <c r="CD14" s="676">
        <v>143.602</v>
      </c>
      <c r="CF14" s="679">
        <v>3</v>
      </c>
      <c r="CG14" s="680"/>
      <c r="CH14" s="680"/>
      <c r="CI14" s="681"/>
      <c r="CJ14" s="676"/>
      <c r="CL14" s="679">
        <v>3</v>
      </c>
      <c r="CM14" s="680"/>
      <c r="CN14" s="680"/>
      <c r="CO14" s="681"/>
      <c r="CP14" s="676"/>
      <c r="CR14" s="679">
        <v>3</v>
      </c>
      <c r="CS14" s="680"/>
      <c r="CT14" s="680"/>
      <c r="CU14" s="681"/>
      <c r="CV14" s="676"/>
      <c r="CX14" s="679">
        <v>3</v>
      </c>
      <c r="CY14" s="680"/>
      <c r="CZ14" s="680"/>
      <c r="DA14" s="681"/>
      <c r="DB14" s="676"/>
      <c r="DD14" s="679">
        <v>3</v>
      </c>
      <c r="DE14" s="680"/>
      <c r="DF14" s="680"/>
      <c r="DG14" s="681"/>
      <c r="DH14" s="676"/>
      <c r="DJ14" s="679">
        <v>3</v>
      </c>
      <c r="DK14" s="680"/>
      <c r="DL14" s="680"/>
      <c r="DM14" s="681"/>
      <c r="DN14" s="676"/>
      <c r="DP14" s="679">
        <v>3</v>
      </c>
      <c r="DQ14" s="680"/>
      <c r="DR14" s="680"/>
      <c r="DS14" s="681"/>
      <c r="DT14" s="676"/>
      <c r="DV14" s="679">
        <v>3</v>
      </c>
      <c r="DW14" s="680"/>
      <c r="DX14" s="680"/>
      <c r="DY14" s="681"/>
      <c r="DZ14" s="676"/>
      <c r="EB14" s="619">
        <v>3</v>
      </c>
      <c r="EC14" s="620"/>
      <c r="ED14" s="620"/>
      <c r="EE14" s="621"/>
      <c r="EF14" s="617"/>
      <c r="EH14" s="619">
        <v>3</v>
      </c>
      <c r="EI14" s="620"/>
      <c r="EJ14" s="620"/>
      <c r="EK14" s="621"/>
      <c r="EL14" s="617"/>
      <c r="EN14" s="619">
        <v>3</v>
      </c>
      <c r="EO14" s="620"/>
      <c r="EP14" s="620"/>
      <c r="EQ14" s="621"/>
      <c r="ER14" s="617"/>
      <c r="ET14" s="619">
        <v>3</v>
      </c>
      <c r="EU14" s="620"/>
      <c r="EV14" s="620"/>
      <c r="EW14" s="621"/>
      <c r="EX14" s="617"/>
    </row>
    <row r="15" spans="1:155">
      <c r="L15" s="679">
        <v>4</v>
      </c>
      <c r="M15" s="680">
        <v>39.807000000000002</v>
      </c>
      <c r="N15" s="680">
        <v>11.007</v>
      </c>
      <c r="O15" s="681">
        <v>28.661999999999999</v>
      </c>
      <c r="P15" s="771">
        <v>30.821000000000002</v>
      </c>
      <c r="R15" s="679">
        <v>4</v>
      </c>
      <c r="S15" s="680">
        <v>12.664580000000001</v>
      </c>
      <c r="T15" s="680">
        <v>6.4789500000000002</v>
      </c>
      <c r="U15" s="681">
        <v>9.46082</v>
      </c>
      <c r="V15" s="771">
        <v>9.6545699999999997</v>
      </c>
      <c r="X15" s="679">
        <v>4</v>
      </c>
      <c r="Y15" s="680">
        <v>16.788</v>
      </c>
      <c r="Z15" s="680">
        <v>16.577999999999999</v>
      </c>
      <c r="AA15" s="681">
        <v>20.332000000000001</v>
      </c>
      <c r="AB15" s="676">
        <v>25.516999999999999</v>
      </c>
      <c r="AD15" s="679">
        <v>4</v>
      </c>
      <c r="AE15" s="680">
        <v>293.33499999999998</v>
      </c>
      <c r="AF15" s="680">
        <v>143.6</v>
      </c>
      <c r="AG15" s="681">
        <v>164.739</v>
      </c>
      <c r="AH15" s="676">
        <v>256.75</v>
      </c>
      <c r="AJ15" s="679">
        <v>4</v>
      </c>
      <c r="AK15" s="680">
        <v>236.56899999999999</v>
      </c>
      <c r="AL15" s="680">
        <v>224.65100000000001</v>
      </c>
      <c r="AM15" s="681">
        <v>220.715</v>
      </c>
      <c r="AN15" s="676">
        <v>239.21899999999999</v>
      </c>
      <c r="AP15" s="679">
        <v>4</v>
      </c>
      <c r="AQ15" s="680">
        <v>36.08</v>
      </c>
      <c r="AR15" s="680">
        <v>5.67</v>
      </c>
      <c r="AS15" s="681">
        <v>12.211</v>
      </c>
      <c r="AT15" s="676">
        <v>32.47</v>
      </c>
      <c r="AV15" s="679">
        <v>4</v>
      </c>
      <c r="AW15" s="680">
        <v>63.05</v>
      </c>
      <c r="AX15" s="680">
        <v>51.45</v>
      </c>
      <c r="AY15" s="681">
        <v>109.09</v>
      </c>
      <c r="AZ15" s="676">
        <v>118.65</v>
      </c>
      <c r="BB15" s="679">
        <v>4</v>
      </c>
      <c r="BC15" s="680">
        <v>78.72</v>
      </c>
      <c r="BD15" s="680">
        <v>25.7</v>
      </c>
      <c r="BE15" s="681">
        <v>54.37</v>
      </c>
      <c r="BF15" s="676">
        <v>79.290000000000006</v>
      </c>
      <c r="BH15" s="679">
        <v>4</v>
      </c>
      <c r="BI15" s="680">
        <v>7.4376600000000002</v>
      </c>
      <c r="BJ15" s="680">
        <v>6.7289099999999999</v>
      </c>
      <c r="BK15" s="681">
        <v>7.60344</v>
      </c>
      <c r="BL15" s="676">
        <v>9.7954100000000004</v>
      </c>
      <c r="BN15" s="679">
        <v>4</v>
      </c>
      <c r="BO15" s="680">
        <v>11.752000000000001</v>
      </c>
      <c r="BP15" s="680">
        <v>19.992999999999999</v>
      </c>
      <c r="BQ15" s="681">
        <v>30.260999999999999</v>
      </c>
      <c r="BR15" s="676">
        <v>19.940999999999999</v>
      </c>
      <c r="BT15" s="679">
        <v>4</v>
      </c>
      <c r="BU15" s="680">
        <v>151.07</v>
      </c>
      <c r="BV15" s="680">
        <v>104.32</v>
      </c>
      <c r="BW15" s="681">
        <v>215.482</v>
      </c>
      <c r="BX15" s="676">
        <v>210.869</v>
      </c>
      <c r="BZ15" s="679">
        <v>4</v>
      </c>
      <c r="CA15" s="680">
        <v>95.909000000000006</v>
      </c>
      <c r="CB15" s="680">
        <v>34.036000000000001</v>
      </c>
      <c r="CC15" s="681">
        <v>98.037000000000006</v>
      </c>
      <c r="CD15" s="676">
        <v>149.702</v>
      </c>
      <c r="CF15" s="679">
        <v>4</v>
      </c>
      <c r="CG15" s="680"/>
      <c r="CH15" s="680"/>
      <c r="CI15" s="681"/>
      <c r="CJ15" s="676"/>
      <c r="CL15" s="679">
        <v>4</v>
      </c>
      <c r="CM15" s="680"/>
      <c r="CN15" s="680"/>
      <c r="CO15" s="681"/>
      <c r="CP15" s="676"/>
      <c r="CR15" s="679">
        <v>4</v>
      </c>
      <c r="CS15" s="680"/>
      <c r="CT15" s="680"/>
      <c r="CU15" s="681"/>
      <c r="CV15" s="676"/>
      <c r="CX15" s="679">
        <v>4</v>
      </c>
      <c r="CY15" s="680"/>
      <c r="CZ15" s="680"/>
      <c r="DA15" s="681"/>
      <c r="DB15" s="676"/>
      <c r="DD15" s="679">
        <v>4</v>
      </c>
      <c r="DE15" s="680"/>
      <c r="DF15" s="680"/>
      <c r="DG15" s="681"/>
      <c r="DH15" s="676"/>
      <c r="DJ15" s="679">
        <v>4</v>
      </c>
      <c r="DK15" s="680"/>
      <c r="DL15" s="680"/>
      <c r="DM15" s="681"/>
      <c r="DN15" s="676"/>
      <c r="DP15" s="679">
        <v>4</v>
      </c>
      <c r="DQ15" s="680"/>
      <c r="DR15" s="680"/>
      <c r="DS15" s="681"/>
      <c r="DT15" s="676"/>
      <c r="DV15" s="679">
        <v>4</v>
      </c>
      <c r="DW15" s="680"/>
      <c r="DX15" s="680"/>
      <c r="DY15" s="681"/>
      <c r="DZ15" s="676"/>
      <c r="EB15" s="619">
        <v>4</v>
      </c>
      <c r="EC15" s="620"/>
      <c r="ED15" s="620"/>
      <c r="EE15" s="621"/>
      <c r="EF15" s="617"/>
      <c r="EH15" s="619">
        <v>4</v>
      </c>
      <c r="EI15" s="620"/>
      <c r="EJ15" s="620"/>
      <c r="EK15" s="621"/>
      <c r="EL15" s="617"/>
      <c r="EN15" s="619">
        <v>4</v>
      </c>
      <c r="EO15" s="620"/>
      <c r="EP15" s="620"/>
      <c r="EQ15" s="621"/>
      <c r="ER15" s="617"/>
      <c r="ET15" s="619">
        <v>4</v>
      </c>
      <c r="EU15" s="620"/>
      <c r="EV15" s="620"/>
      <c r="EW15" s="621"/>
      <c r="EX15" s="617"/>
    </row>
    <row r="16" spans="1:155">
      <c r="L16" s="679">
        <v>5</v>
      </c>
      <c r="M16" s="680">
        <v>44.106999999999999</v>
      </c>
      <c r="N16" s="680">
        <v>13.06</v>
      </c>
      <c r="O16" s="681">
        <v>35.011000000000003</v>
      </c>
      <c r="P16" s="771">
        <v>32.676000000000002</v>
      </c>
      <c r="R16" s="679">
        <v>5</v>
      </c>
      <c r="S16" s="680">
        <v>12.03951</v>
      </c>
      <c r="T16" s="680">
        <v>5.0775399999999999</v>
      </c>
      <c r="U16" s="681">
        <v>7.0206600000000003</v>
      </c>
      <c r="V16" s="771">
        <v>8.2881499999999999</v>
      </c>
      <c r="X16" s="679">
        <v>5</v>
      </c>
      <c r="Y16" s="680">
        <v>17.009</v>
      </c>
      <c r="Z16" s="680">
        <v>18.443999999999999</v>
      </c>
      <c r="AA16" s="681">
        <v>20.814</v>
      </c>
      <c r="AB16" s="676">
        <v>25.4</v>
      </c>
      <c r="AD16" s="679">
        <v>5</v>
      </c>
      <c r="AE16" s="680">
        <v>324.19299999999998</v>
      </c>
      <c r="AF16" s="680">
        <v>156.00899999999999</v>
      </c>
      <c r="AG16" s="681">
        <v>184.91399999999999</v>
      </c>
      <c r="AH16" s="676">
        <v>273.19499999999999</v>
      </c>
      <c r="AJ16" s="679">
        <v>5</v>
      </c>
      <c r="AK16" s="680">
        <v>238.43100000000001</v>
      </c>
      <c r="AL16" s="680">
        <v>225.90600000000001</v>
      </c>
      <c r="AM16" s="681">
        <v>221.54599999999999</v>
      </c>
      <c r="AN16" s="676">
        <v>241.62200000000001</v>
      </c>
      <c r="AP16" s="679">
        <v>5</v>
      </c>
      <c r="AQ16" s="680">
        <v>40.18</v>
      </c>
      <c r="AR16" s="680">
        <v>6.0110000000000001</v>
      </c>
      <c r="AS16" s="681">
        <v>14.840999999999999</v>
      </c>
      <c r="AT16" s="676">
        <v>34.049999999999997</v>
      </c>
      <c r="AV16" s="679">
        <v>5</v>
      </c>
      <c r="AW16" s="680">
        <v>70.31</v>
      </c>
      <c r="AX16" s="680">
        <v>49.5</v>
      </c>
      <c r="AY16" s="681">
        <v>116.44</v>
      </c>
      <c r="AZ16" s="676">
        <v>126.42</v>
      </c>
      <c r="BB16" s="679">
        <v>5</v>
      </c>
      <c r="BC16" s="680">
        <v>85.62</v>
      </c>
      <c r="BD16" s="680">
        <v>30.33</v>
      </c>
      <c r="BE16" s="681">
        <v>58.58</v>
      </c>
      <c r="BF16" s="676">
        <v>80.44</v>
      </c>
      <c r="BH16" s="679">
        <v>5</v>
      </c>
      <c r="BI16" s="680">
        <v>7.8944099999999997</v>
      </c>
      <c r="BJ16" s="680">
        <v>6.61416</v>
      </c>
      <c r="BK16" s="681">
        <v>7.8220000000000001</v>
      </c>
      <c r="BL16" s="676">
        <v>11.081910000000001</v>
      </c>
      <c r="BN16" s="679">
        <v>5</v>
      </c>
      <c r="BO16" s="680">
        <v>15.686</v>
      </c>
      <c r="BP16" s="680">
        <v>25.704000000000001</v>
      </c>
      <c r="BQ16" s="681">
        <v>36.713000000000001</v>
      </c>
      <c r="BR16" s="676">
        <v>22.184999999999999</v>
      </c>
      <c r="BT16" s="679">
        <v>5</v>
      </c>
      <c r="BU16" s="680">
        <v>157.33000000000001</v>
      </c>
      <c r="BV16" s="680">
        <v>110.37</v>
      </c>
      <c r="BW16" s="681">
        <v>230.72800000000001</v>
      </c>
      <c r="BX16" s="676">
        <v>224.66800000000001</v>
      </c>
      <c r="BZ16" s="679">
        <v>5</v>
      </c>
      <c r="CA16" s="680">
        <v>122.54900000000001</v>
      </c>
      <c r="CB16" s="680">
        <v>42.497</v>
      </c>
      <c r="CC16" s="681">
        <v>143.13499999999999</v>
      </c>
      <c r="CD16" s="676">
        <v>173.77799999999999</v>
      </c>
      <c r="CF16" s="679">
        <v>5</v>
      </c>
      <c r="CG16" s="680"/>
      <c r="CH16" s="680"/>
      <c r="CI16" s="681"/>
      <c r="CJ16" s="676"/>
      <c r="CL16" s="679">
        <v>5</v>
      </c>
      <c r="CM16" s="680"/>
      <c r="CN16" s="680"/>
      <c r="CO16" s="681"/>
      <c r="CP16" s="676"/>
      <c r="CR16" s="679">
        <v>5</v>
      </c>
      <c r="CS16" s="680"/>
      <c r="CT16" s="680"/>
      <c r="CU16" s="681"/>
      <c r="CV16" s="676"/>
      <c r="CX16" s="679">
        <v>5</v>
      </c>
      <c r="CY16" s="680"/>
      <c r="CZ16" s="680"/>
      <c r="DA16" s="681"/>
      <c r="DB16" s="676"/>
      <c r="DD16" s="679">
        <v>5</v>
      </c>
      <c r="DE16" s="680"/>
      <c r="DF16" s="680"/>
      <c r="DG16" s="681"/>
      <c r="DH16" s="676"/>
      <c r="DJ16" s="679">
        <v>5</v>
      </c>
      <c r="DK16" s="680"/>
      <c r="DL16" s="680"/>
      <c r="DM16" s="681"/>
      <c r="DN16" s="676"/>
      <c r="DP16" s="679">
        <v>5</v>
      </c>
      <c r="DQ16" s="680"/>
      <c r="DR16" s="680"/>
      <c r="DS16" s="681"/>
      <c r="DT16" s="676"/>
      <c r="DV16" s="679">
        <v>5</v>
      </c>
      <c r="DW16" s="680"/>
      <c r="DX16" s="680"/>
      <c r="DY16" s="681"/>
      <c r="DZ16" s="676"/>
      <c r="EB16" s="619">
        <v>5</v>
      </c>
      <c r="EC16" s="620"/>
      <c r="ED16" s="620"/>
      <c r="EE16" s="621"/>
      <c r="EF16" s="617"/>
      <c r="EH16" s="619">
        <v>5</v>
      </c>
      <c r="EI16" s="620"/>
      <c r="EJ16" s="620"/>
      <c r="EK16" s="621"/>
      <c r="EL16" s="617"/>
      <c r="EN16" s="619">
        <v>5</v>
      </c>
      <c r="EO16" s="620"/>
      <c r="EP16" s="620"/>
      <c r="EQ16" s="621"/>
      <c r="ER16" s="617"/>
      <c r="ET16" s="619">
        <v>5</v>
      </c>
      <c r="EU16" s="620"/>
      <c r="EV16" s="620"/>
      <c r="EW16" s="621"/>
      <c r="EX16" s="617"/>
    </row>
    <row r="17" spans="12:154">
      <c r="L17" s="679">
        <v>6</v>
      </c>
      <c r="M17" s="680">
        <v>45.569899999999997</v>
      </c>
      <c r="N17" s="680">
        <v>14.574999999999999</v>
      </c>
      <c r="O17" s="681">
        <v>38.417940000000002</v>
      </c>
      <c r="P17" s="771">
        <v>35.290999999999997</v>
      </c>
      <c r="R17" s="679">
        <v>6</v>
      </c>
      <c r="S17" s="680">
        <v>12.8127</v>
      </c>
      <c r="T17" s="680">
        <v>7.5634399999999999</v>
      </c>
      <c r="U17" s="681">
        <v>9.4788899999999998</v>
      </c>
      <c r="V17" s="771">
        <v>8.6283899999999996</v>
      </c>
      <c r="X17" s="679">
        <v>6</v>
      </c>
      <c r="Y17" s="680">
        <v>17.521999999999998</v>
      </c>
      <c r="Z17" s="680">
        <v>19.035</v>
      </c>
      <c r="AA17" s="681">
        <v>20.863</v>
      </c>
      <c r="AB17" s="676">
        <v>25.253</v>
      </c>
      <c r="AD17" s="679">
        <v>6</v>
      </c>
      <c r="AE17" s="680">
        <v>332.91199999999998</v>
      </c>
      <c r="AF17" s="680">
        <v>189.126</v>
      </c>
      <c r="AG17" s="681">
        <v>193.625</v>
      </c>
      <c r="AH17" s="676">
        <v>305.33800000000002</v>
      </c>
      <c r="AJ17" s="679">
        <v>6</v>
      </c>
      <c r="AK17" s="680">
        <v>238.18700000000001</v>
      </c>
      <c r="AL17" s="680">
        <v>229.07300000000001</v>
      </c>
      <c r="AM17" s="681">
        <v>222.12</v>
      </c>
      <c r="AN17" s="676">
        <v>245.28</v>
      </c>
      <c r="AP17" s="679">
        <v>6</v>
      </c>
      <c r="AQ17" s="680">
        <v>45.49</v>
      </c>
      <c r="AR17" s="680">
        <v>6.77</v>
      </c>
      <c r="AS17" s="681">
        <v>17.231000000000002</v>
      </c>
      <c r="AT17" s="676">
        <v>37.119999999999997</v>
      </c>
      <c r="AV17" s="679">
        <v>6</v>
      </c>
      <c r="AW17" s="680">
        <v>83.17</v>
      </c>
      <c r="AX17" s="680">
        <v>56.51</v>
      </c>
      <c r="AY17" s="681">
        <v>126.22</v>
      </c>
      <c r="AZ17" s="676">
        <v>137.86000000000001</v>
      </c>
      <c r="BB17" s="679">
        <v>6</v>
      </c>
      <c r="BC17" s="680">
        <v>91.98</v>
      </c>
      <c r="BD17" s="680">
        <v>33.06</v>
      </c>
      <c r="BE17" s="681">
        <v>61.39</v>
      </c>
      <c r="BF17" s="676">
        <v>84.18</v>
      </c>
      <c r="BH17" s="679">
        <v>6</v>
      </c>
      <c r="BI17" s="680">
        <v>9.0587</v>
      </c>
      <c r="BJ17" s="680">
        <v>9.1115499999999994</v>
      </c>
      <c r="BK17" s="681">
        <v>8.9530999999999992</v>
      </c>
      <c r="BL17" s="676">
        <v>12.388479999999999</v>
      </c>
      <c r="BN17" s="679">
        <v>6</v>
      </c>
      <c r="BO17" s="680">
        <v>20.542000000000002</v>
      </c>
      <c r="BP17" s="680">
        <v>34.424999999999997</v>
      </c>
      <c r="BQ17" s="681">
        <v>38.951999999999998</v>
      </c>
      <c r="BR17" s="676">
        <v>28.513999999999999</v>
      </c>
      <c r="BT17" s="679">
        <v>6</v>
      </c>
      <c r="BU17" s="680">
        <v>166.685</v>
      </c>
      <c r="BV17" s="680">
        <v>123.40300000000001</v>
      </c>
      <c r="BW17" s="681">
        <v>243.89</v>
      </c>
      <c r="BX17" s="676">
        <v>237.02699999999999</v>
      </c>
      <c r="BZ17" s="679">
        <v>6</v>
      </c>
      <c r="CA17" s="680">
        <v>164.03</v>
      </c>
      <c r="CB17" s="680">
        <v>58.094000000000001</v>
      </c>
      <c r="CC17" s="681">
        <v>183.68199999999999</v>
      </c>
      <c r="CD17" s="676">
        <v>211.20599999999999</v>
      </c>
      <c r="CF17" s="679">
        <v>6</v>
      </c>
      <c r="CG17" s="680"/>
      <c r="CH17" s="680"/>
      <c r="CI17" s="681"/>
      <c r="CJ17" s="676"/>
      <c r="CL17" s="679">
        <v>6</v>
      </c>
      <c r="CM17" s="680"/>
      <c r="CN17" s="680"/>
      <c r="CO17" s="681"/>
      <c r="CP17" s="676"/>
      <c r="CR17" s="679">
        <v>6</v>
      </c>
      <c r="CS17" s="680"/>
      <c r="CT17" s="680"/>
      <c r="CU17" s="681"/>
      <c r="CV17" s="676"/>
      <c r="CX17" s="679">
        <v>6</v>
      </c>
      <c r="CY17" s="680"/>
      <c r="CZ17" s="680"/>
      <c r="DA17" s="681"/>
      <c r="DB17" s="676"/>
      <c r="DD17" s="679">
        <v>6</v>
      </c>
      <c r="DE17" s="680"/>
      <c r="DF17" s="680"/>
      <c r="DG17" s="681"/>
      <c r="DH17" s="676"/>
      <c r="DJ17" s="679">
        <v>6</v>
      </c>
      <c r="DK17" s="680"/>
      <c r="DL17" s="680"/>
      <c r="DM17" s="681"/>
      <c r="DN17" s="676"/>
      <c r="DP17" s="679">
        <v>6</v>
      </c>
      <c r="DQ17" s="680"/>
      <c r="DR17" s="680"/>
      <c r="DS17" s="681"/>
      <c r="DT17" s="676"/>
      <c r="DV17" s="679">
        <v>6</v>
      </c>
      <c r="DW17" s="680"/>
      <c r="DX17" s="680"/>
      <c r="DY17" s="681"/>
      <c r="DZ17" s="676"/>
      <c r="EB17" s="619">
        <v>6</v>
      </c>
      <c r="EC17" s="620"/>
      <c r="ED17" s="620"/>
      <c r="EE17" s="621"/>
      <c r="EF17" s="617"/>
      <c r="EH17" s="619">
        <v>6</v>
      </c>
      <c r="EI17" s="620"/>
      <c r="EJ17" s="620"/>
      <c r="EK17" s="621"/>
      <c r="EL17" s="617"/>
      <c r="EN17" s="619">
        <v>6</v>
      </c>
      <c r="EO17" s="620"/>
      <c r="EP17" s="620"/>
      <c r="EQ17" s="621"/>
      <c r="ER17" s="617"/>
      <c r="ET17" s="619">
        <v>6</v>
      </c>
      <c r="EU17" s="620"/>
      <c r="EV17" s="620"/>
      <c r="EW17" s="621"/>
      <c r="EX17" s="617"/>
    </row>
    <row r="18" spans="12:154">
      <c r="L18" s="679">
        <v>7</v>
      </c>
      <c r="M18" s="680">
        <v>49.799300000000002</v>
      </c>
      <c r="N18" s="680">
        <v>16.428000000000001</v>
      </c>
      <c r="O18" s="681">
        <v>38.417940000000002</v>
      </c>
      <c r="P18" s="771">
        <v>38.713999999999999</v>
      </c>
      <c r="R18" s="679">
        <v>7</v>
      </c>
      <c r="S18" s="680">
        <v>9.3224800000000005</v>
      </c>
      <c r="T18" s="680">
        <v>10.08262</v>
      </c>
      <c r="U18" s="681">
        <v>7.9052899999999999</v>
      </c>
      <c r="V18" s="771">
        <v>8.8844399999999997</v>
      </c>
      <c r="X18" s="679">
        <v>7</v>
      </c>
      <c r="Y18" s="680">
        <v>17.835000000000001</v>
      </c>
      <c r="Z18" s="680">
        <v>19.221</v>
      </c>
      <c r="AA18" s="681">
        <v>20.222000000000001</v>
      </c>
      <c r="AB18" s="676">
        <v>25.24</v>
      </c>
      <c r="AD18" s="679">
        <v>7</v>
      </c>
      <c r="AE18" s="680">
        <v>343.61500000000001</v>
      </c>
      <c r="AF18" s="680">
        <v>229.79599999999999</v>
      </c>
      <c r="AG18" s="681">
        <v>199.19900000000001</v>
      </c>
      <c r="AH18" s="676">
        <v>369.83100000000002</v>
      </c>
      <c r="AJ18" s="679">
        <v>7</v>
      </c>
      <c r="AK18" s="680">
        <v>238.04499999999999</v>
      </c>
      <c r="AL18" s="680">
        <v>231.429</v>
      </c>
      <c r="AM18" s="681">
        <v>221.92599999999999</v>
      </c>
      <c r="AN18" s="676">
        <v>258.55500000000001</v>
      </c>
      <c r="AP18" s="679">
        <v>7</v>
      </c>
      <c r="AQ18" s="680">
        <v>52.28</v>
      </c>
      <c r="AR18" s="680">
        <v>8.36</v>
      </c>
      <c r="AS18" s="681">
        <v>22.4</v>
      </c>
      <c r="AT18" s="676">
        <v>43.33</v>
      </c>
      <c r="AV18" s="679">
        <v>7</v>
      </c>
      <c r="AW18" s="680">
        <v>97.51</v>
      </c>
      <c r="AX18" s="680">
        <v>62.47</v>
      </c>
      <c r="AY18" s="681">
        <v>134.41999999999999</v>
      </c>
      <c r="AZ18" s="676">
        <v>147.21</v>
      </c>
      <c r="BB18" s="679">
        <v>7</v>
      </c>
      <c r="BC18" s="680">
        <v>97.22</v>
      </c>
      <c r="BD18" s="680">
        <v>36.08</v>
      </c>
      <c r="BE18" s="681">
        <v>64.78</v>
      </c>
      <c r="BF18" s="676">
        <v>89.95</v>
      </c>
      <c r="BH18" s="679">
        <v>7</v>
      </c>
      <c r="BI18" s="680">
        <v>10.18665</v>
      </c>
      <c r="BJ18" s="680">
        <v>9.0270100000000006</v>
      </c>
      <c r="BK18" s="681">
        <v>9.7591599999999996</v>
      </c>
      <c r="BL18" s="676">
        <v>14.281929999999999</v>
      </c>
      <c r="BN18" s="679">
        <v>7</v>
      </c>
      <c r="BO18" s="680">
        <v>28.6</v>
      </c>
      <c r="BP18" s="680">
        <v>36.319000000000003</v>
      </c>
      <c r="BQ18" s="681">
        <v>37.904000000000003</v>
      </c>
      <c r="BR18" s="676">
        <v>37.475000000000001</v>
      </c>
      <c r="BT18" s="679">
        <v>7</v>
      </c>
      <c r="BU18" s="680">
        <v>178.54300000000001</v>
      </c>
      <c r="BV18" s="680">
        <v>132.72999999999999</v>
      </c>
      <c r="BW18" s="681">
        <v>249.11199999999999</v>
      </c>
      <c r="BX18" s="676">
        <v>246.32400000000001</v>
      </c>
      <c r="BZ18" s="679">
        <v>7</v>
      </c>
      <c r="CA18" s="680">
        <v>221.161</v>
      </c>
      <c r="CB18" s="680">
        <v>69.123000000000005</v>
      </c>
      <c r="CC18" s="681">
        <v>231.25800000000001</v>
      </c>
      <c r="CD18" s="676">
        <v>252.42599999999999</v>
      </c>
      <c r="CF18" s="679">
        <v>7</v>
      </c>
      <c r="CG18" s="680"/>
      <c r="CH18" s="680"/>
      <c r="CI18" s="681"/>
      <c r="CJ18" s="676"/>
      <c r="CL18" s="679">
        <v>7</v>
      </c>
      <c r="CM18" s="680"/>
      <c r="CN18" s="680"/>
      <c r="CO18" s="681"/>
      <c r="CP18" s="676"/>
      <c r="CR18" s="679">
        <v>7</v>
      </c>
      <c r="CS18" s="680"/>
      <c r="CT18" s="680"/>
      <c r="CU18" s="681"/>
      <c r="CV18" s="676"/>
      <c r="CX18" s="679">
        <v>7</v>
      </c>
      <c r="CY18" s="680"/>
      <c r="CZ18" s="680"/>
      <c r="DA18" s="681"/>
      <c r="DB18" s="676"/>
      <c r="DD18" s="679">
        <v>7</v>
      </c>
      <c r="DE18" s="680"/>
      <c r="DF18" s="680"/>
      <c r="DG18" s="681"/>
      <c r="DH18" s="676"/>
      <c r="DJ18" s="679">
        <v>7</v>
      </c>
      <c r="DK18" s="680"/>
      <c r="DL18" s="680"/>
      <c r="DM18" s="681"/>
      <c r="DN18" s="676"/>
      <c r="DP18" s="679">
        <v>7</v>
      </c>
      <c r="DQ18" s="680"/>
      <c r="DR18" s="680"/>
      <c r="DS18" s="681"/>
      <c r="DT18" s="676"/>
      <c r="DV18" s="679">
        <v>7</v>
      </c>
      <c r="DW18" s="680"/>
      <c r="DX18" s="680"/>
      <c r="DY18" s="681"/>
      <c r="DZ18" s="676"/>
      <c r="EB18" s="619">
        <v>7</v>
      </c>
      <c r="EC18" s="620"/>
      <c r="ED18" s="620"/>
      <c r="EE18" s="621"/>
      <c r="EF18" s="617"/>
      <c r="EH18" s="619">
        <v>7</v>
      </c>
      <c r="EI18" s="620"/>
      <c r="EJ18" s="620"/>
      <c r="EK18" s="621"/>
      <c r="EL18" s="617"/>
      <c r="EN18" s="619">
        <v>7</v>
      </c>
      <c r="EO18" s="620"/>
      <c r="EP18" s="620"/>
      <c r="EQ18" s="621"/>
      <c r="ER18" s="617"/>
      <c r="ET18" s="619">
        <v>7</v>
      </c>
      <c r="EU18" s="620"/>
      <c r="EV18" s="620"/>
      <c r="EW18" s="621"/>
      <c r="EX18" s="617"/>
    </row>
    <row r="19" spans="12:154">
      <c r="L19" s="679">
        <v>8</v>
      </c>
      <c r="M19" s="680">
        <v>51.363399999999999</v>
      </c>
      <c r="N19" s="680">
        <v>19.349</v>
      </c>
      <c r="O19" s="681">
        <v>38.417940000000002</v>
      </c>
      <c r="P19" s="771">
        <v>41.018000000000001</v>
      </c>
      <c r="R19" s="679">
        <v>8</v>
      </c>
      <c r="S19" s="680">
        <v>7.1239800000000004</v>
      </c>
      <c r="T19" s="680">
        <v>7.6832099999999999</v>
      </c>
      <c r="U19" s="681">
        <v>9.3432999999999993</v>
      </c>
      <c r="V19" s="771">
        <v>7.1190800000000003</v>
      </c>
      <c r="X19" s="679">
        <v>8</v>
      </c>
      <c r="Y19" s="680">
        <v>18.393999999999998</v>
      </c>
      <c r="Z19" s="680">
        <v>19.324999999999999</v>
      </c>
      <c r="AA19" s="681">
        <v>19.541</v>
      </c>
      <c r="AB19" s="676">
        <v>25.184999999999999</v>
      </c>
      <c r="AD19" s="679">
        <v>8</v>
      </c>
      <c r="AE19" s="680">
        <v>362.70499999999998</v>
      </c>
      <c r="AF19" s="680">
        <v>230.96199999999999</v>
      </c>
      <c r="AG19" s="681">
        <v>220.357</v>
      </c>
      <c r="AH19" s="676">
        <v>376.42599999999999</v>
      </c>
      <c r="AJ19" s="679">
        <v>8</v>
      </c>
      <c r="AK19" s="680">
        <v>239.072</v>
      </c>
      <c r="AL19" s="680">
        <v>231.82400000000001</v>
      </c>
      <c r="AM19" s="681">
        <v>224.31800000000001</v>
      </c>
      <c r="AN19" s="676">
        <v>263.03699999999998</v>
      </c>
      <c r="AP19" s="679">
        <v>8</v>
      </c>
      <c r="AQ19" s="680">
        <v>54.62</v>
      </c>
      <c r="AR19" s="680">
        <v>9.49</v>
      </c>
      <c r="AS19" s="681">
        <v>28.9</v>
      </c>
      <c r="AT19" s="676">
        <v>47.17</v>
      </c>
      <c r="AV19" s="679">
        <v>8</v>
      </c>
      <c r="AW19" s="680">
        <v>112.22</v>
      </c>
      <c r="AX19" s="680">
        <v>79.180000000000007</v>
      </c>
      <c r="AY19" s="681">
        <v>140.88999999999999</v>
      </c>
      <c r="AZ19" s="676">
        <v>161.09</v>
      </c>
      <c r="BB19" s="679">
        <v>8</v>
      </c>
      <c r="BC19" s="680">
        <v>100.14</v>
      </c>
      <c r="BD19" s="680">
        <v>38.549999999999997</v>
      </c>
      <c r="BE19" s="681">
        <v>68.459999999999994</v>
      </c>
      <c r="BF19" s="676">
        <v>93.73</v>
      </c>
      <c r="BH19" s="679">
        <v>8</v>
      </c>
      <c r="BI19" s="680">
        <v>11.341189999999999</v>
      </c>
      <c r="BJ19" s="680">
        <v>10.61637</v>
      </c>
      <c r="BK19" s="681">
        <v>11.005050000000001</v>
      </c>
      <c r="BL19" s="676">
        <v>16.186679999999999</v>
      </c>
      <c r="BN19" s="679">
        <v>8</v>
      </c>
      <c r="BO19" s="680">
        <v>33.356000000000002</v>
      </c>
      <c r="BP19" s="680">
        <v>45.201999999999998</v>
      </c>
      <c r="BQ19" s="681">
        <v>34.634</v>
      </c>
      <c r="BR19" s="676">
        <v>46.637999999999998</v>
      </c>
      <c r="BT19" s="679">
        <v>8</v>
      </c>
      <c r="BU19" s="680">
        <v>187.83199999999999</v>
      </c>
      <c r="BV19" s="680">
        <v>150.01</v>
      </c>
      <c r="BW19" s="681">
        <v>252.53899999999999</v>
      </c>
      <c r="BX19" s="676">
        <v>257.95</v>
      </c>
      <c r="BZ19" s="679">
        <v>8</v>
      </c>
      <c r="CA19" s="680">
        <v>273.05700000000002</v>
      </c>
      <c r="CB19" s="680">
        <v>91.259</v>
      </c>
      <c r="CC19" s="681">
        <v>268.55099999999999</v>
      </c>
      <c r="CD19" s="676">
        <v>303.54399999999998</v>
      </c>
      <c r="CF19" s="679">
        <v>8</v>
      </c>
      <c r="CG19" s="680"/>
      <c r="CH19" s="680"/>
      <c r="CI19" s="681"/>
      <c r="CJ19" s="676"/>
      <c r="CL19" s="679">
        <v>8</v>
      </c>
      <c r="CM19" s="680"/>
      <c r="CN19" s="680"/>
      <c r="CO19" s="681"/>
      <c r="CP19" s="676"/>
      <c r="CR19" s="679">
        <v>8</v>
      </c>
      <c r="CS19" s="680"/>
      <c r="CT19" s="680"/>
      <c r="CU19" s="681"/>
      <c r="CV19" s="676"/>
      <c r="CX19" s="679">
        <v>8</v>
      </c>
      <c r="CY19" s="680"/>
      <c r="CZ19" s="680"/>
      <c r="DA19" s="681"/>
      <c r="DB19" s="676"/>
      <c r="DD19" s="679">
        <v>8</v>
      </c>
      <c r="DE19" s="680"/>
      <c r="DF19" s="680"/>
      <c r="DG19" s="681"/>
      <c r="DH19" s="676"/>
      <c r="DJ19" s="679">
        <v>8</v>
      </c>
      <c r="DK19" s="680"/>
      <c r="DL19" s="680"/>
      <c r="DM19" s="681"/>
      <c r="DN19" s="676"/>
      <c r="DP19" s="679">
        <v>8</v>
      </c>
      <c r="DQ19" s="680"/>
      <c r="DR19" s="680"/>
      <c r="DS19" s="681"/>
      <c r="DT19" s="676"/>
      <c r="DV19" s="679">
        <v>8</v>
      </c>
      <c r="DW19" s="680"/>
      <c r="DX19" s="680"/>
      <c r="DY19" s="681"/>
      <c r="DZ19" s="676"/>
      <c r="EB19" s="619">
        <v>8</v>
      </c>
      <c r="EC19" s="620"/>
      <c r="ED19" s="620"/>
      <c r="EE19" s="621"/>
      <c r="EF19" s="617"/>
      <c r="EH19" s="619">
        <v>8</v>
      </c>
      <c r="EI19" s="620"/>
      <c r="EJ19" s="620"/>
      <c r="EK19" s="621"/>
      <c r="EL19" s="617"/>
      <c r="EN19" s="619">
        <v>8</v>
      </c>
      <c r="EO19" s="620"/>
      <c r="EP19" s="620"/>
      <c r="EQ19" s="621"/>
      <c r="ER19" s="617"/>
      <c r="ET19" s="619">
        <v>8</v>
      </c>
      <c r="EU19" s="620"/>
      <c r="EV19" s="620"/>
      <c r="EW19" s="621"/>
      <c r="EX19" s="617"/>
    </row>
    <row r="20" spans="12:154">
      <c r="L20" s="679">
        <v>9</v>
      </c>
      <c r="M20" s="680">
        <v>55.03</v>
      </c>
      <c r="N20" s="680">
        <v>21.148</v>
      </c>
      <c r="O20" s="681">
        <v>44.567</v>
      </c>
      <c r="P20" s="771">
        <v>43.93</v>
      </c>
      <c r="R20" s="679">
        <v>9</v>
      </c>
      <c r="S20" s="680">
        <v>9.3785500000000006</v>
      </c>
      <c r="T20" s="680">
        <v>9.75108</v>
      </c>
      <c r="U20" s="681">
        <v>9.5478900000000007</v>
      </c>
      <c r="V20" s="771">
        <v>2.6519200000000001</v>
      </c>
      <c r="X20" s="679">
        <v>9</v>
      </c>
      <c r="Y20" s="680">
        <v>19.11</v>
      </c>
      <c r="Z20" s="680">
        <v>19.960999999999999</v>
      </c>
      <c r="AA20" s="681">
        <v>18.698</v>
      </c>
      <c r="AB20" s="676">
        <v>25.259</v>
      </c>
      <c r="AD20" s="679">
        <v>9</v>
      </c>
      <c r="AE20" s="680">
        <v>378.56234000000001</v>
      </c>
      <c r="AF20" s="680">
        <v>229.38900000000001</v>
      </c>
      <c r="AG20" s="681">
        <v>269.745</v>
      </c>
      <c r="AH20" s="676">
        <v>407.14</v>
      </c>
      <c r="AJ20" s="679">
        <v>9</v>
      </c>
      <c r="AK20" s="680">
        <v>240.68799999999999</v>
      </c>
      <c r="AL20" s="680">
        <v>231.57</v>
      </c>
      <c r="AM20" s="681">
        <v>230.50299999999999</v>
      </c>
      <c r="AN20" s="676">
        <v>267.98899999999998</v>
      </c>
      <c r="AP20" s="679">
        <v>9</v>
      </c>
      <c r="AQ20" s="680">
        <v>60.41</v>
      </c>
      <c r="AR20" s="680">
        <v>10.08</v>
      </c>
      <c r="AS20" s="681">
        <v>34.47</v>
      </c>
      <c r="AT20" s="676">
        <v>53.17</v>
      </c>
      <c r="AV20" s="679">
        <v>9</v>
      </c>
      <c r="AW20" s="680">
        <v>124.14</v>
      </c>
      <c r="AX20" s="680">
        <v>95.84</v>
      </c>
      <c r="AY20" s="681">
        <v>152.16999999999999</v>
      </c>
      <c r="AZ20" s="676">
        <v>172.97</v>
      </c>
      <c r="BB20" s="679">
        <v>9</v>
      </c>
      <c r="BC20" s="680">
        <v>103.65</v>
      </c>
      <c r="BD20" s="680">
        <v>39.65</v>
      </c>
      <c r="BE20" s="681">
        <v>71.3</v>
      </c>
      <c r="BF20" s="676">
        <v>98.09</v>
      </c>
      <c r="BH20" s="679">
        <v>9</v>
      </c>
      <c r="BI20" s="680">
        <v>13.064249999999999</v>
      </c>
      <c r="BJ20" s="680">
        <v>12.203889999999999</v>
      </c>
      <c r="BK20" s="681">
        <v>11.766</v>
      </c>
      <c r="BL20" s="676">
        <v>18.058759999999999</v>
      </c>
      <c r="BN20" s="679">
        <v>9</v>
      </c>
      <c r="BO20" s="680">
        <v>42.405000000000001</v>
      </c>
      <c r="BP20" s="680">
        <v>45.656999999999996</v>
      </c>
      <c r="BQ20" s="681">
        <v>40.573</v>
      </c>
      <c r="BR20" s="676">
        <v>53.994</v>
      </c>
      <c r="BT20" s="679">
        <v>9</v>
      </c>
      <c r="BU20" s="680">
        <v>199.54</v>
      </c>
      <c r="BV20" s="680">
        <v>161.893</v>
      </c>
      <c r="BW20" s="681">
        <v>258.63299999999998</v>
      </c>
      <c r="BX20" s="676">
        <v>268.26600000000002</v>
      </c>
      <c r="BZ20" s="679">
        <v>9</v>
      </c>
      <c r="CA20" s="680">
        <v>291.33300000000003</v>
      </c>
      <c r="CB20" s="680">
        <v>113.654</v>
      </c>
      <c r="CC20" s="681">
        <v>291.33300000000003</v>
      </c>
      <c r="CD20" s="676">
        <v>344.88099999999997</v>
      </c>
      <c r="CF20" s="679">
        <v>9</v>
      </c>
      <c r="CG20" s="680"/>
      <c r="CH20" s="680"/>
      <c r="CI20" s="681"/>
      <c r="CJ20" s="676"/>
      <c r="CL20" s="679">
        <v>9</v>
      </c>
      <c r="CM20" s="680"/>
      <c r="CN20" s="680"/>
      <c r="CO20" s="681"/>
      <c r="CP20" s="676"/>
      <c r="CR20" s="679">
        <v>9</v>
      </c>
      <c r="CS20" s="680"/>
      <c r="CT20" s="680"/>
      <c r="CU20" s="681"/>
      <c r="CV20" s="676"/>
      <c r="CX20" s="679">
        <v>9</v>
      </c>
      <c r="CY20" s="680"/>
      <c r="CZ20" s="680"/>
      <c r="DA20" s="681"/>
      <c r="DB20" s="676"/>
      <c r="DD20" s="679">
        <v>9</v>
      </c>
      <c r="DE20" s="680"/>
      <c r="DF20" s="680"/>
      <c r="DG20" s="681"/>
      <c r="DH20" s="676"/>
      <c r="DJ20" s="679">
        <v>9</v>
      </c>
      <c r="DK20" s="680"/>
      <c r="DL20" s="680"/>
      <c r="DM20" s="681"/>
      <c r="DN20" s="676"/>
      <c r="DP20" s="679">
        <v>9</v>
      </c>
      <c r="DQ20" s="680"/>
      <c r="DR20" s="680"/>
      <c r="DS20" s="681"/>
      <c r="DT20" s="676"/>
      <c r="DV20" s="679">
        <v>9</v>
      </c>
      <c r="DW20" s="680"/>
      <c r="DX20" s="680"/>
      <c r="DY20" s="681"/>
      <c r="DZ20" s="676"/>
      <c r="EB20" s="619">
        <v>9</v>
      </c>
      <c r="EC20" s="620"/>
      <c r="ED20" s="620"/>
      <c r="EE20" s="621"/>
      <c r="EF20" s="617"/>
      <c r="EH20" s="619">
        <v>9</v>
      </c>
      <c r="EI20" s="620"/>
      <c r="EJ20" s="620"/>
      <c r="EK20" s="621"/>
      <c r="EL20" s="617"/>
      <c r="EN20" s="619">
        <v>9</v>
      </c>
      <c r="EO20" s="620"/>
      <c r="EP20" s="620"/>
      <c r="EQ20" s="621"/>
      <c r="ER20" s="617"/>
      <c r="ET20" s="619">
        <v>9</v>
      </c>
      <c r="EU20" s="620"/>
      <c r="EV20" s="620"/>
      <c r="EW20" s="621"/>
      <c r="EX20" s="617"/>
    </row>
    <row r="21" spans="12:154">
      <c r="L21" s="679">
        <v>10</v>
      </c>
      <c r="M21" s="680">
        <v>58.193660000000001</v>
      </c>
      <c r="N21" s="680">
        <v>23.95814</v>
      </c>
      <c r="O21" s="681">
        <v>48.359000000000002</v>
      </c>
      <c r="P21" s="771">
        <v>47.44097</v>
      </c>
      <c r="R21" s="679">
        <v>10</v>
      </c>
      <c r="S21" s="680">
        <v>9.3294099999999993</v>
      </c>
      <c r="T21" s="680">
        <v>13.06934</v>
      </c>
      <c r="U21" s="681">
        <v>7.7923499999999999</v>
      </c>
      <c r="V21" s="771">
        <v>1.5481400000000001</v>
      </c>
      <c r="X21" s="679">
        <v>10</v>
      </c>
      <c r="Y21" s="680">
        <v>19.207999999999998</v>
      </c>
      <c r="Z21" s="680">
        <v>20.292999999999999</v>
      </c>
      <c r="AA21" s="681">
        <v>18.888999999999999</v>
      </c>
      <c r="AB21" s="676">
        <v>24.934000000000001</v>
      </c>
      <c r="AD21" s="679">
        <v>10</v>
      </c>
      <c r="AE21" s="680">
        <v>392.58</v>
      </c>
      <c r="AF21" s="680">
        <v>230.27</v>
      </c>
      <c r="AG21" s="681">
        <v>342.709</v>
      </c>
      <c r="AH21" s="676">
        <v>419.93900000000002</v>
      </c>
      <c r="AJ21" s="679">
        <v>10</v>
      </c>
      <c r="AK21" s="680">
        <v>242.64500000000001</v>
      </c>
      <c r="AL21" s="680">
        <v>231.12</v>
      </c>
      <c r="AM21" s="681">
        <v>237.71600000000001</v>
      </c>
      <c r="AN21" s="676">
        <v>273.54700000000003</v>
      </c>
      <c r="AP21" s="679">
        <v>10</v>
      </c>
      <c r="AQ21" s="680">
        <v>62.48</v>
      </c>
      <c r="AR21" s="680">
        <v>11</v>
      </c>
      <c r="AS21" s="681">
        <v>35.880000000000003</v>
      </c>
      <c r="AT21" s="676">
        <v>56.54</v>
      </c>
      <c r="AV21" s="679">
        <v>10</v>
      </c>
      <c r="AW21" s="680">
        <v>135.52000000000001</v>
      </c>
      <c r="AX21" s="680">
        <v>110.38</v>
      </c>
      <c r="AY21" s="681">
        <v>162.25</v>
      </c>
      <c r="AZ21" s="676">
        <v>184.86</v>
      </c>
      <c r="BB21" s="679">
        <v>10</v>
      </c>
      <c r="BC21" s="680">
        <v>106</v>
      </c>
      <c r="BD21" s="680">
        <v>40.479999999999997</v>
      </c>
      <c r="BE21" s="681">
        <v>73.86</v>
      </c>
      <c r="BF21" s="676">
        <v>102.77</v>
      </c>
      <c r="BH21" s="679">
        <v>10</v>
      </c>
      <c r="BI21" s="680">
        <v>14.32577</v>
      </c>
      <c r="BJ21" s="680">
        <v>13.375170000000001</v>
      </c>
      <c r="BK21" s="681">
        <v>13.313000000000001</v>
      </c>
      <c r="BL21" s="676">
        <v>19.74126</v>
      </c>
      <c r="BN21" s="679">
        <v>10</v>
      </c>
      <c r="BO21" s="680">
        <v>51.368000000000002</v>
      </c>
      <c r="BP21" s="680">
        <v>48.32</v>
      </c>
      <c r="BQ21" s="681">
        <v>49.252000000000002</v>
      </c>
      <c r="BR21" s="676">
        <v>54.302999999999997</v>
      </c>
      <c r="BT21" s="679">
        <v>10</v>
      </c>
      <c r="BU21" s="680">
        <v>214.46</v>
      </c>
      <c r="BV21" s="680">
        <v>173.304</v>
      </c>
      <c r="BW21" s="681">
        <v>267.09100000000001</v>
      </c>
      <c r="BX21" s="676">
        <v>267.97800000000001</v>
      </c>
      <c r="BZ21" s="679">
        <v>10</v>
      </c>
      <c r="CA21" s="680">
        <v>295.38400000000001</v>
      </c>
      <c r="CB21" s="680">
        <v>122.54900000000001</v>
      </c>
      <c r="CC21" s="681">
        <v>337.55799999999999</v>
      </c>
      <c r="CD21" s="676">
        <v>379.79899999999998</v>
      </c>
      <c r="CF21" s="679">
        <v>10</v>
      </c>
      <c r="CG21" s="680"/>
      <c r="CH21" s="680"/>
      <c r="CI21" s="681"/>
      <c r="CJ21" s="676"/>
      <c r="CL21" s="679">
        <v>10</v>
      </c>
      <c r="CM21" s="680"/>
      <c r="CN21" s="680"/>
      <c r="CO21" s="681"/>
      <c r="CP21" s="676"/>
      <c r="CR21" s="679">
        <v>10</v>
      </c>
      <c r="CS21" s="680"/>
      <c r="CT21" s="680"/>
      <c r="CU21" s="681"/>
      <c r="CV21" s="676"/>
      <c r="CX21" s="679">
        <v>10</v>
      </c>
      <c r="CY21" s="680"/>
      <c r="CZ21" s="680"/>
      <c r="DA21" s="681"/>
      <c r="DB21" s="676"/>
      <c r="DD21" s="679">
        <v>10</v>
      </c>
      <c r="DE21" s="680"/>
      <c r="DF21" s="680"/>
      <c r="DG21" s="681"/>
      <c r="DH21" s="676"/>
      <c r="DJ21" s="679">
        <v>10</v>
      </c>
      <c r="DK21" s="680"/>
      <c r="DL21" s="680"/>
      <c r="DM21" s="681"/>
      <c r="DN21" s="676"/>
      <c r="DP21" s="679">
        <v>10</v>
      </c>
      <c r="DQ21" s="680"/>
      <c r="DR21" s="680"/>
      <c r="DS21" s="681"/>
      <c r="DT21" s="676"/>
      <c r="DV21" s="679">
        <v>10</v>
      </c>
      <c r="DW21" s="680"/>
      <c r="DX21" s="680"/>
      <c r="DY21" s="681"/>
      <c r="DZ21" s="676"/>
      <c r="EB21" s="619">
        <v>10</v>
      </c>
      <c r="EC21" s="620"/>
      <c r="ED21" s="620"/>
      <c r="EE21" s="621"/>
      <c r="EF21" s="617"/>
      <c r="EH21" s="619">
        <v>10</v>
      </c>
      <c r="EI21" s="620"/>
      <c r="EJ21" s="620"/>
      <c r="EK21" s="621"/>
      <c r="EL21" s="617"/>
      <c r="EN21" s="619">
        <v>10</v>
      </c>
      <c r="EO21" s="620"/>
      <c r="EP21" s="620"/>
      <c r="EQ21" s="621"/>
      <c r="ER21" s="617"/>
      <c r="ET21" s="619">
        <v>10</v>
      </c>
      <c r="EU21" s="620"/>
      <c r="EV21" s="620"/>
      <c r="EW21" s="621"/>
      <c r="EX21" s="617"/>
    </row>
    <row r="22" spans="12:154">
      <c r="L22" s="679">
        <v>11</v>
      </c>
      <c r="M22" s="680">
        <v>61.114539999999998</v>
      </c>
      <c r="N22" s="680">
        <v>26.48086</v>
      </c>
      <c r="O22" s="681">
        <v>52.481999999999999</v>
      </c>
      <c r="P22" s="772">
        <v>51.341000000000001</v>
      </c>
      <c r="R22" s="679">
        <v>11</v>
      </c>
      <c r="S22" s="680">
        <v>8.4179499999999994</v>
      </c>
      <c r="T22" s="680">
        <v>9.7333400000000001</v>
      </c>
      <c r="U22" s="681">
        <v>9.33934</v>
      </c>
      <c r="V22" s="772">
        <v>0.68208000000000002</v>
      </c>
      <c r="X22" s="679">
        <v>11</v>
      </c>
      <c r="Y22" s="680">
        <v>19.306999999999999</v>
      </c>
      <c r="Z22" s="680">
        <v>21.024000000000001</v>
      </c>
      <c r="AA22" s="681">
        <v>20.477</v>
      </c>
      <c r="AB22" s="682">
        <v>24.605</v>
      </c>
      <c r="AD22" s="679">
        <v>11</v>
      </c>
      <c r="AE22" s="680">
        <v>392.68700000000001</v>
      </c>
      <c r="AF22" s="680">
        <v>236.05699999999999</v>
      </c>
      <c r="AG22" s="681">
        <v>391.99299999999999</v>
      </c>
      <c r="AH22" s="682">
        <v>423.73500000000001</v>
      </c>
      <c r="AJ22" s="679">
        <v>11</v>
      </c>
      <c r="AK22" s="680">
        <v>243.18100000000001</v>
      </c>
      <c r="AL22" s="680">
        <v>230.74</v>
      </c>
      <c r="AM22" s="681">
        <v>244.10599999999999</v>
      </c>
      <c r="AN22" s="682">
        <v>276.53899999999999</v>
      </c>
      <c r="AP22" s="679">
        <v>11</v>
      </c>
      <c r="AQ22" s="680">
        <v>71.05</v>
      </c>
      <c r="AR22" s="680">
        <v>12.11</v>
      </c>
      <c r="AS22" s="681">
        <v>36.74</v>
      </c>
      <c r="AT22" s="682">
        <v>58.28</v>
      </c>
      <c r="AV22" s="679">
        <v>11</v>
      </c>
      <c r="AW22" s="680">
        <v>145.81</v>
      </c>
      <c r="AX22" s="680">
        <v>119.57</v>
      </c>
      <c r="AY22" s="681">
        <v>175.85</v>
      </c>
      <c r="AZ22" s="682">
        <v>193.52</v>
      </c>
      <c r="BB22" s="679">
        <v>11</v>
      </c>
      <c r="BC22" s="680">
        <v>109.24</v>
      </c>
      <c r="BD22" s="680">
        <v>41.86</v>
      </c>
      <c r="BE22" s="681">
        <v>77.86</v>
      </c>
      <c r="BF22" s="682">
        <v>105.7</v>
      </c>
      <c r="BH22" s="679">
        <v>11</v>
      </c>
      <c r="BI22" s="680">
        <v>16.314730000000001</v>
      </c>
      <c r="BJ22" s="680">
        <v>15.54818</v>
      </c>
      <c r="BK22" s="681">
        <v>13.797779999999999</v>
      </c>
      <c r="BL22" s="682">
        <v>20.032640000000001</v>
      </c>
      <c r="BN22" s="679">
        <v>11</v>
      </c>
      <c r="BO22" s="680">
        <v>54.545000000000002</v>
      </c>
      <c r="BP22" s="680">
        <v>55.063000000000002</v>
      </c>
      <c r="BQ22" s="681">
        <v>50.726999999999997</v>
      </c>
      <c r="BR22" s="682">
        <v>58.838999999999999</v>
      </c>
      <c r="BT22" s="679">
        <v>11</v>
      </c>
      <c r="BU22" s="680">
        <v>228.98</v>
      </c>
      <c r="BV22" s="680">
        <v>187.672</v>
      </c>
      <c r="BW22" s="681">
        <v>263.69</v>
      </c>
      <c r="BX22" s="682">
        <v>271.75299999999999</v>
      </c>
      <c r="BZ22" s="679">
        <v>11</v>
      </c>
      <c r="CA22" s="680">
        <v>306.47699999999998</v>
      </c>
      <c r="CB22" s="680">
        <v>133.43</v>
      </c>
      <c r="CC22" s="681">
        <v>350.41</v>
      </c>
      <c r="CD22" s="682">
        <v>399.01</v>
      </c>
      <c r="CF22" s="679">
        <v>11</v>
      </c>
      <c r="CG22" s="680"/>
      <c r="CH22" s="680"/>
      <c r="CI22" s="681"/>
      <c r="CJ22" s="682"/>
      <c r="CL22" s="679">
        <v>11</v>
      </c>
      <c r="CM22" s="680"/>
      <c r="CN22" s="680"/>
      <c r="CO22" s="681"/>
      <c r="CP22" s="682"/>
      <c r="CR22" s="679">
        <v>11</v>
      </c>
      <c r="CS22" s="680"/>
      <c r="CT22" s="680"/>
      <c r="CU22" s="681"/>
      <c r="CV22" s="682"/>
      <c r="CX22" s="679">
        <v>11</v>
      </c>
      <c r="CY22" s="680"/>
      <c r="CZ22" s="680"/>
      <c r="DA22" s="681"/>
      <c r="DB22" s="682"/>
      <c r="DD22" s="679">
        <v>11</v>
      </c>
      <c r="DE22" s="680"/>
      <c r="DF22" s="680"/>
      <c r="DG22" s="681"/>
      <c r="DH22" s="682"/>
      <c r="DJ22" s="679">
        <v>11</v>
      </c>
      <c r="DK22" s="680"/>
      <c r="DL22" s="680"/>
      <c r="DM22" s="681"/>
      <c r="DN22" s="682"/>
      <c r="DP22" s="679">
        <v>11</v>
      </c>
      <c r="DQ22" s="680"/>
      <c r="DR22" s="680"/>
      <c r="DS22" s="681"/>
      <c r="DT22" s="682"/>
      <c r="DV22" s="679">
        <v>11</v>
      </c>
      <c r="DW22" s="680"/>
      <c r="DX22" s="680"/>
      <c r="DY22" s="681"/>
      <c r="DZ22" s="682"/>
      <c r="EB22" s="619">
        <v>11</v>
      </c>
      <c r="EC22" s="620"/>
      <c r="ED22" s="620"/>
      <c r="EE22" s="621"/>
      <c r="EF22" s="623"/>
      <c r="EH22" s="619">
        <v>11</v>
      </c>
      <c r="EI22" s="620"/>
      <c r="EJ22" s="620"/>
      <c r="EK22" s="621"/>
      <c r="EL22" s="623"/>
      <c r="EN22" s="619">
        <v>11</v>
      </c>
      <c r="EO22" s="620"/>
      <c r="EP22" s="620"/>
      <c r="EQ22" s="621"/>
      <c r="ER22" s="623"/>
      <c r="ET22" s="619">
        <v>11</v>
      </c>
      <c r="EU22" s="620"/>
      <c r="EV22" s="620"/>
      <c r="EW22" s="621"/>
      <c r="EX22" s="623"/>
    </row>
    <row r="23" spans="12:154">
      <c r="L23" s="679">
        <v>12</v>
      </c>
      <c r="M23" s="680">
        <v>63.07779</v>
      </c>
      <c r="N23" s="680">
        <v>28.335999999999999</v>
      </c>
      <c r="O23" s="681">
        <v>53.767000000000003</v>
      </c>
      <c r="P23" s="772">
        <v>55.752000000000002</v>
      </c>
      <c r="R23" s="679">
        <v>12</v>
      </c>
      <c r="S23" s="680">
        <v>9.5860299999999992</v>
      </c>
      <c r="T23" s="680">
        <v>11.20107</v>
      </c>
      <c r="U23" s="681">
        <v>10.27125</v>
      </c>
      <c r="V23" s="772">
        <v>9.4833099999999995</v>
      </c>
      <c r="X23" s="679">
        <v>12</v>
      </c>
      <c r="Y23" s="680">
        <v>19.125</v>
      </c>
      <c r="Z23" s="680">
        <v>21.190999999999999</v>
      </c>
      <c r="AA23" s="681">
        <v>20.628</v>
      </c>
      <c r="AB23" s="682">
        <v>24.308</v>
      </c>
      <c r="AD23" s="679">
        <v>12</v>
      </c>
      <c r="AE23" s="680">
        <v>395.71</v>
      </c>
      <c r="AF23" s="680">
        <v>253.10900000000001</v>
      </c>
      <c r="AG23" s="681">
        <v>418.22199999999998</v>
      </c>
      <c r="AH23" s="682">
        <v>419.39600000000002</v>
      </c>
      <c r="AJ23" s="679">
        <v>12</v>
      </c>
      <c r="AK23" s="680">
        <v>253.22499999999999</v>
      </c>
      <c r="AL23" s="680">
        <v>231.36</v>
      </c>
      <c r="AM23" s="681">
        <v>248.86799999999999</v>
      </c>
      <c r="AN23" s="682">
        <v>277.99200000000002</v>
      </c>
      <c r="AP23" s="679">
        <v>12</v>
      </c>
      <c r="AQ23" s="680">
        <v>67.37</v>
      </c>
      <c r="AR23" s="680">
        <v>13.55</v>
      </c>
      <c r="AS23" s="681">
        <v>37.97</v>
      </c>
      <c r="AT23" s="682">
        <v>59.28</v>
      </c>
      <c r="AV23" s="679">
        <v>12</v>
      </c>
      <c r="AW23" s="680">
        <v>155.6</v>
      </c>
      <c r="AX23" s="680">
        <v>127.35</v>
      </c>
      <c r="AY23" s="681">
        <v>181.49</v>
      </c>
      <c r="AZ23" s="682">
        <v>199.15</v>
      </c>
      <c r="BB23" s="679">
        <v>12</v>
      </c>
      <c r="BC23" s="680">
        <v>112.93</v>
      </c>
      <c r="BD23" s="680">
        <v>47.4</v>
      </c>
      <c r="BE23" s="681">
        <v>80.73</v>
      </c>
      <c r="BF23" s="682">
        <v>107.76</v>
      </c>
      <c r="BH23" s="679">
        <v>12</v>
      </c>
      <c r="BI23" s="680">
        <v>17.723410000000001</v>
      </c>
      <c r="BJ23" s="680">
        <v>16.960249999999998</v>
      </c>
      <c r="BK23" s="681">
        <v>14.528370000000001</v>
      </c>
      <c r="BL23" s="682">
        <v>21.597290000000001</v>
      </c>
      <c r="BN23" s="679">
        <v>12</v>
      </c>
      <c r="BO23" s="680">
        <v>56.872</v>
      </c>
      <c r="BP23" s="680">
        <v>58.485999999999997</v>
      </c>
      <c r="BQ23" s="681">
        <v>57.817999999999998</v>
      </c>
      <c r="BR23" s="682">
        <v>60.718000000000004</v>
      </c>
      <c r="BT23" s="679">
        <v>12</v>
      </c>
      <c r="BU23" s="680">
        <v>236.83600000000001</v>
      </c>
      <c r="BV23" s="680">
        <v>198.322</v>
      </c>
      <c r="BW23" s="681">
        <v>268.42899999999997</v>
      </c>
      <c r="BX23" s="682">
        <v>275.452</v>
      </c>
      <c r="BZ23" s="679">
        <v>12</v>
      </c>
      <c r="CA23" s="680">
        <v>307.065</v>
      </c>
      <c r="CB23" s="680">
        <v>167.42400000000001</v>
      </c>
      <c r="CC23" s="681">
        <v>333.31299999999999</v>
      </c>
      <c r="CD23" s="682">
        <v>386.803</v>
      </c>
      <c r="CF23" s="679">
        <v>12</v>
      </c>
      <c r="CG23" s="680"/>
      <c r="CH23" s="680"/>
      <c r="CI23" s="681"/>
      <c r="CJ23" s="682"/>
      <c r="CL23" s="679">
        <v>12</v>
      </c>
      <c r="CM23" s="680"/>
      <c r="CN23" s="680"/>
      <c r="CO23" s="681"/>
      <c r="CP23" s="682"/>
      <c r="CR23" s="679">
        <v>12</v>
      </c>
      <c r="CS23" s="680"/>
      <c r="CT23" s="680"/>
      <c r="CU23" s="681"/>
      <c r="CV23" s="682"/>
      <c r="CX23" s="679">
        <v>12</v>
      </c>
      <c r="CY23" s="680"/>
      <c r="CZ23" s="680"/>
      <c r="DA23" s="681"/>
      <c r="DB23" s="682"/>
      <c r="DD23" s="679">
        <v>12</v>
      </c>
      <c r="DE23" s="680"/>
      <c r="DF23" s="680"/>
      <c r="DG23" s="681"/>
      <c r="DH23" s="682"/>
      <c r="DJ23" s="679">
        <v>12</v>
      </c>
      <c r="DK23" s="680"/>
      <c r="DL23" s="680"/>
      <c r="DM23" s="681"/>
      <c r="DN23" s="682"/>
      <c r="DP23" s="679">
        <v>12</v>
      </c>
      <c r="DQ23" s="680"/>
      <c r="DR23" s="680"/>
      <c r="DS23" s="681"/>
      <c r="DT23" s="682"/>
      <c r="DV23" s="679">
        <v>12</v>
      </c>
      <c r="DW23" s="680"/>
      <c r="DX23" s="680"/>
      <c r="DY23" s="681"/>
      <c r="DZ23" s="682"/>
      <c r="EB23" s="619">
        <v>12</v>
      </c>
      <c r="EC23" s="620"/>
      <c r="ED23" s="620"/>
      <c r="EE23" s="621"/>
      <c r="EF23" s="623"/>
      <c r="EH23" s="619">
        <v>12</v>
      </c>
      <c r="EI23" s="620"/>
      <c r="EJ23" s="620"/>
      <c r="EK23" s="621"/>
      <c r="EL23" s="623"/>
      <c r="EN23" s="619">
        <v>12</v>
      </c>
      <c r="EO23" s="620"/>
      <c r="EP23" s="620"/>
      <c r="EQ23" s="621"/>
      <c r="ER23" s="623"/>
      <c r="ET23" s="619">
        <v>12</v>
      </c>
      <c r="EU23" s="620"/>
      <c r="EV23" s="620"/>
      <c r="EW23" s="621"/>
      <c r="EX23" s="623"/>
    </row>
    <row r="24" spans="12:154">
      <c r="L24" s="679">
        <v>13</v>
      </c>
      <c r="M24" s="680">
        <v>64.593999999999994</v>
      </c>
      <c r="N24" s="680">
        <v>31.776</v>
      </c>
      <c r="O24" s="681">
        <v>55.048000000000002</v>
      </c>
      <c r="P24" s="772">
        <v>58.869</v>
      </c>
      <c r="R24" s="679">
        <v>13</v>
      </c>
      <c r="S24" s="680">
        <v>10.43256</v>
      </c>
      <c r="T24" s="680">
        <v>10.283609999999999</v>
      </c>
      <c r="U24" s="681">
        <v>7.9560599999999999</v>
      </c>
      <c r="V24" s="772">
        <v>9.40367</v>
      </c>
      <c r="X24" s="679">
        <v>13</v>
      </c>
      <c r="Y24" s="680">
        <v>19.222000000000001</v>
      </c>
      <c r="Z24" s="680">
        <v>21.274999999999999</v>
      </c>
      <c r="AA24" s="681">
        <v>24.895</v>
      </c>
      <c r="AB24" s="682">
        <v>24.277000000000001</v>
      </c>
      <c r="AD24" s="679">
        <v>13</v>
      </c>
      <c r="AE24" s="680">
        <v>395.84</v>
      </c>
      <c r="AF24" s="680">
        <v>293.59699999999998</v>
      </c>
      <c r="AG24" s="681">
        <v>421.98700000000002</v>
      </c>
      <c r="AH24" s="682">
        <v>419.62099999999998</v>
      </c>
      <c r="AJ24" s="679">
        <v>13</v>
      </c>
      <c r="AK24" s="680">
        <v>242.92500000000001</v>
      </c>
      <c r="AL24" s="680">
        <v>235.416</v>
      </c>
      <c r="AM24" s="681">
        <v>251.46700000000001</v>
      </c>
      <c r="AN24" s="682">
        <v>278.25599999999997</v>
      </c>
      <c r="AP24" s="679">
        <v>13</v>
      </c>
      <c r="AQ24" s="680">
        <v>68.44</v>
      </c>
      <c r="AR24" s="680">
        <v>16.510000000000002</v>
      </c>
      <c r="AS24" s="681">
        <v>39</v>
      </c>
      <c r="AT24" s="682">
        <v>60.64</v>
      </c>
      <c r="AV24" s="679">
        <v>13</v>
      </c>
      <c r="AW24" s="680">
        <v>162.9</v>
      </c>
      <c r="AX24" s="680">
        <v>141.19999999999999</v>
      </c>
      <c r="AY24" s="681">
        <v>186.57</v>
      </c>
      <c r="AZ24" s="682">
        <v>202.31</v>
      </c>
      <c r="BB24" s="679">
        <v>13</v>
      </c>
      <c r="BC24" s="680">
        <v>113.07</v>
      </c>
      <c r="BD24" s="680">
        <v>48.51</v>
      </c>
      <c r="BE24" s="681">
        <v>82.45</v>
      </c>
      <c r="BF24" s="682">
        <v>109.53</v>
      </c>
      <c r="BH24" s="679">
        <v>13</v>
      </c>
      <c r="BI24" s="680">
        <v>19.18524</v>
      </c>
      <c r="BJ24" s="680">
        <v>18.05602</v>
      </c>
      <c r="BK24" s="681">
        <v>15.264889999999999</v>
      </c>
      <c r="BL24" s="682">
        <v>22.994579999999999</v>
      </c>
      <c r="BN24" s="679">
        <v>13</v>
      </c>
      <c r="BO24" s="680">
        <v>62.432000000000002</v>
      </c>
      <c r="BP24" s="680">
        <v>61.253</v>
      </c>
      <c r="BQ24" s="681">
        <v>63.113</v>
      </c>
      <c r="BR24" s="682">
        <v>67.331999999999994</v>
      </c>
      <c r="BT24" s="679">
        <v>13</v>
      </c>
      <c r="BU24" s="680">
        <v>249.48400000000001</v>
      </c>
      <c r="BV24" s="680">
        <v>206.28100000000001</v>
      </c>
      <c r="BW24" s="681">
        <v>274.10199999999998</v>
      </c>
      <c r="BX24" s="682">
        <v>282.69099999999997</v>
      </c>
      <c r="BZ24" s="679">
        <v>13</v>
      </c>
      <c r="CA24" s="680">
        <v>308.24200000000002</v>
      </c>
      <c r="CB24" s="680">
        <v>196.28299999999999</v>
      </c>
      <c r="CC24" s="681">
        <v>344.88099999999997</v>
      </c>
      <c r="CD24" s="682">
        <v>384.25</v>
      </c>
      <c r="CF24" s="679">
        <v>13</v>
      </c>
      <c r="CG24" s="680"/>
      <c r="CH24" s="680"/>
      <c r="CI24" s="681"/>
      <c r="CJ24" s="682"/>
      <c r="CL24" s="679">
        <v>13</v>
      </c>
      <c r="CM24" s="680"/>
      <c r="CN24" s="680"/>
      <c r="CO24" s="681"/>
      <c r="CP24" s="682"/>
      <c r="CR24" s="679">
        <v>13</v>
      </c>
      <c r="CS24" s="680"/>
      <c r="CT24" s="680"/>
      <c r="CU24" s="681"/>
      <c r="CV24" s="682"/>
      <c r="CX24" s="679">
        <v>13</v>
      </c>
      <c r="CY24" s="680"/>
      <c r="CZ24" s="680"/>
      <c r="DA24" s="681"/>
      <c r="DB24" s="682"/>
      <c r="DD24" s="679">
        <v>13</v>
      </c>
      <c r="DE24" s="680"/>
      <c r="DF24" s="680"/>
      <c r="DG24" s="681"/>
      <c r="DH24" s="682"/>
      <c r="DJ24" s="679">
        <v>13</v>
      </c>
      <c r="DK24" s="680"/>
      <c r="DL24" s="680"/>
      <c r="DM24" s="681"/>
      <c r="DN24" s="682"/>
      <c r="DP24" s="679">
        <v>13</v>
      </c>
      <c r="DQ24" s="680"/>
      <c r="DR24" s="680"/>
      <c r="DS24" s="681"/>
      <c r="DT24" s="682"/>
      <c r="DV24" s="679">
        <v>13</v>
      </c>
      <c r="DW24" s="680"/>
      <c r="DX24" s="680"/>
      <c r="DY24" s="681"/>
      <c r="DZ24" s="682"/>
      <c r="EB24" s="619">
        <v>13</v>
      </c>
      <c r="EC24" s="620"/>
      <c r="ED24" s="620"/>
      <c r="EE24" s="621"/>
      <c r="EF24" s="623"/>
      <c r="EH24" s="619">
        <v>13</v>
      </c>
      <c r="EI24" s="620"/>
      <c r="EJ24" s="620"/>
      <c r="EK24" s="621"/>
      <c r="EL24" s="623"/>
      <c r="EN24" s="619">
        <v>13</v>
      </c>
      <c r="EO24" s="620"/>
      <c r="EP24" s="620"/>
      <c r="EQ24" s="621"/>
      <c r="ER24" s="623"/>
      <c r="ET24" s="619">
        <v>13</v>
      </c>
      <c r="EU24" s="620"/>
      <c r="EV24" s="620"/>
      <c r="EW24" s="621"/>
      <c r="EX24" s="623"/>
    </row>
    <row r="25" spans="12:154">
      <c r="L25" s="679">
        <v>14</v>
      </c>
      <c r="M25" s="680">
        <v>66.723320000000001</v>
      </c>
      <c r="N25" s="680">
        <v>35.248339999999999</v>
      </c>
      <c r="O25" s="681">
        <v>56.353000000000002</v>
      </c>
      <c r="P25" s="772">
        <v>59.640999999999998</v>
      </c>
      <c r="R25" s="679">
        <v>14</v>
      </c>
      <c r="S25" s="680">
        <v>10.766679999999999</v>
      </c>
      <c r="T25" s="680">
        <v>10.49249</v>
      </c>
      <c r="U25" s="681">
        <v>8.4434199999999997</v>
      </c>
      <c r="V25" s="772">
        <v>8.2406699999999997</v>
      </c>
      <c r="X25" s="679">
        <v>14</v>
      </c>
      <c r="Y25" s="680">
        <v>19.286000000000001</v>
      </c>
      <c r="Z25" s="680">
        <v>21.443999999999999</v>
      </c>
      <c r="AA25" s="681">
        <v>24.521999999999998</v>
      </c>
      <c r="AB25" s="682">
        <v>24.265000000000001</v>
      </c>
      <c r="AD25" s="679">
        <v>14</v>
      </c>
      <c r="AE25" s="680">
        <v>398.51299999999998</v>
      </c>
      <c r="AF25" s="680">
        <v>307.07499999999999</v>
      </c>
      <c r="AG25" s="681">
        <v>417.87200000000001</v>
      </c>
      <c r="AH25" s="682">
        <v>421.67099999999999</v>
      </c>
      <c r="AJ25" s="679">
        <v>14</v>
      </c>
      <c r="AK25" s="680">
        <v>242.47</v>
      </c>
      <c r="AL25" s="680">
        <v>236.74799999999999</v>
      </c>
      <c r="AM25" s="681">
        <v>252.98500000000001</v>
      </c>
      <c r="AN25" s="682">
        <v>278.58100000000002</v>
      </c>
      <c r="AP25" s="679">
        <v>14</v>
      </c>
      <c r="AQ25" s="680">
        <v>68.8</v>
      </c>
      <c r="AR25" s="680">
        <v>17.97</v>
      </c>
      <c r="AS25" s="681">
        <v>39.74</v>
      </c>
      <c r="AT25" s="682">
        <v>61.78</v>
      </c>
      <c r="AV25" s="679">
        <v>14</v>
      </c>
      <c r="AW25" s="680">
        <v>172.06</v>
      </c>
      <c r="AX25" s="680">
        <v>148.63999999999999</v>
      </c>
      <c r="AY25" s="681">
        <v>195.74</v>
      </c>
      <c r="AZ25" s="682">
        <v>208.79</v>
      </c>
      <c r="BB25" s="679">
        <v>14</v>
      </c>
      <c r="BC25" s="680">
        <v>113.66</v>
      </c>
      <c r="BD25" s="680">
        <v>50.18</v>
      </c>
      <c r="BE25" s="681">
        <v>86.77</v>
      </c>
      <c r="BF25" s="682">
        <v>111.3</v>
      </c>
      <c r="BH25" s="679">
        <v>14</v>
      </c>
      <c r="BI25" s="680">
        <v>20.828589999999998</v>
      </c>
      <c r="BJ25" s="680">
        <v>19.25798</v>
      </c>
      <c r="BK25" s="681">
        <v>17.006530000000001</v>
      </c>
      <c r="BL25" s="682">
        <v>24.520350000000001</v>
      </c>
      <c r="BN25" s="679">
        <v>14</v>
      </c>
      <c r="BO25" s="680">
        <v>65.234999999999999</v>
      </c>
      <c r="BP25" s="680">
        <v>64.370999999999995</v>
      </c>
      <c r="BQ25" s="681">
        <v>66.102000000000004</v>
      </c>
      <c r="BR25" s="682">
        <v>66.572000000000003</v>
      </c>
      <c r="BT25" s="679">
        <v>14</v>
      </c>
      <c r="BU25" s="680">
        <v>265.79599999999999</v>
      </c>
      <c r="BV25" s="680">
        <v>218.47399999999999</v>
      </c>
      <c r="BW25" s="681">
        <v>272.904</v>
      </c>
      <c r="BX25" s="682">
        <v>282.41199999999998</v>
      </c>
      <c r="BZ25" s="679">
        <v>14</v>
      </c>
      <c r="CA25" s="680">
        <v>316.52199999999999</v>
      </c>
      <c r="CB25" s="680">
        <v>213.81200000000001</v>
      </c>
      <c r="CC25" s="681">
        <v>370.32600000000002</v>
      </c>
      <c r="CD25" s="682">
        <v>372.84399999999999</v>
      </c>
      <c r="CF25" s="679">
        <v>14</v>
      </c>
      <c r="CG25" s="680"/>
      <c r="CH25" s="680"/>
      <c r="CI25" s="681"/>
      <c r="CJ25" s="682"/>
      <c r="CL25" s="679">
        <v>14</v>
      </c>
      <c r="CM25" s="680"/>
      <c r="CN25" s="680"/>
      <c r="CO25" s="681"/>
      <c r="CP25" s="682"/>
      <c r="CR25" s="679">
        <v>14</v>
      </c>
      <c r="CS25" s="680"/>
      <c r="CT25" s="680"/>
      <c r="CU25" s="681"/>
      <c r="CV25" s="682"/>
      <c r="CX25" s="679">
        <v>14</v>
      </c>
      <c r="CY25" s="680"/>
      <c r="CZ25" s="680"/>
      <c r="DA25" s="681"/>
      <c r="DB25" s="682"/>
      <c r="DD25" s="679">
        <v>14</v>
      </c>
      <c r="DE25" s="680"/>
      <c r="DF25" s="680"/>
      <c r="DG25" s="681"/>
      <c r="DH25" s="682"/>
      <c r="DJ25" s="679">
        <v>14</v>
      </c>
      <c r="DK25" s="680"/>
      <c r="DL25" s="680"/>
      <c r="DM25" s="681"/>
      <c r="DN25" s="682"/>
      <c r="DP25" s="679">
        <v>14</v>
      </c>
      <c r="DQ25" s="680"/>
      <c r="DR25" s="680"/>
      <c r="DS25" s="681"/>
      <c r="DT25" s="682"/>
      <c r="DV25" s="679">
        <v>14</v>
      </c>
      <c r="DW25" s="680"/>
      <c r="DX25" s="680"/>
      <c r="DY25" s="681"/>
      <c r="DZ25" s="682"/>
      <c r="EB25" s="619">
        <v>14</v>
      </c>
      <c r="EC25" s="620"/>
      <c r="ED25" s="620"/>
      <c r="EE25" s="621"/>
      <c r="EF25" s="623"/>
      <c r="EH25" s="619">
        <v>14</v>
      </c>
      <c r="EI25" s="620"/>
      <c r="EJ25" s="620"/>
      <c r="EK25" s="621"/>
      <c r="EL25" s="623"/>
      <c r="EN25" s="619">
        <v>14</v>
      </c>
      <c r="EO25" s="620"/>
      <c r="EP25" s="620"/>
      <c r="EQ25" s="621"/>
      <c r="ER25" s="623"/>
      <c r="ET25" s="619">
        <v>14</v>
      </c>
      <c r="EU25" s="620"/>
      <c r="EV25" s="620"/>
      <c r="EW25" s="621"/>
      <c r="EX25" s="623"/>
    </row>
    <row r="26" spans="12:154">
      <c r="L26" s="679">
        <v>15</v>
      </c>
      <c r="M26" s="680">
        <v>67.652969999999996</v>
      </c>
      <c r="N26" s="680">
        <v>37.163040000000002</v>
      </c>
      <c r="O26" s="681">
        <v>59.048000000000002</v>
      </c>
      <c r="P26" s="772">
        <v>60.942</v>
      </c>
      <c r="R26" s="679">
        <v>15</v>
      </c>
      <c r="S26" s="680">
        <v>12.644299999999999</v>
      </c>
      <c r="T26" s="680">
        <v>13.44685</v>
      </c>
      <c r="U26" s="681">
        <v>9.6949500000000004</v>
      </c>
      <c r="V26" s="772">
        <v>7.5630699999999997</v>
      </c>
      <c r="X26" s="679">
        <v>15</v>
      </c>
      <c r="Y26" s="680">
        <v>19.332999999999998</v>
      </c>
      <c r="Z26" s="680">
        <v>21.64</v>
      </c>
      <c r="AA26" s="681">
        <v>23.751999999999999</v>
      </c>
      <c r="AB26" s="682">
        <v>24.175000000000001</v>
      </c>
      <c r="AD26" s="679">
        <v>15</v>
      </c>
      <c r="AE26" s="680">
        <v>399.89400000000001</v>
      </c>
      <c r="AF26" s="680">
        <v>310.11099999999999</v>
      </c>
      <c r="AG26" s="681">
        <v>418.26600000000002</v>
      </c>
      <c r="AH26" s="682">
        <v>414.46800000000002</v>
      </c>
      <c r="AJ26" s="679">
        <v>15</v>
      </c>
      <c r="AK26" s="680">
        <v>241.89</v>
      </c>
      <c r="AL26" s="680">
        <v>236.94300000000001</v>
      </c>
      <c r="AM26" s="681">
        <v>253.76400000000001</v>
      </c>
      <c r="AN26" s="682">
        <v>278.26</v>
      </c>
      <c r="AP26" s="679">
        <v>15</v>
      </c>
      <c r="AQ26" s="680">
        <v>69.33</v>
      </c>
      <c r="AR26" s="680">
        <v>18.64</v>
      </c>
      <c r="AS26" s="681">
        <v>40.53</v>
      </c>
      <c r="AT26" s="682">
        <v>62.51</v>
      </c>
      <c r="AV26" s="679">
        <v>15</v>
      </c>
      <c r="AW26" s="680">
        <v>176.95</v>
      </c>
      <c r="AX26" s="680">
        <v>154.71</v>
      </c>
      <c r="AY26" s="681">
        <v>200.38</v>
      </c>
      <c r="AZ26" s="682">
        <v>213.07</v>
      </c>
      <c r="BB26" s="679">
        <v>15</v>
      </c>
      <c r="BC26" s="680">
        <v>114.55</v>
      </c>
      <c r="BD26" s="680">
        <v>52.97</v>
      </c>
      <c r="BE26" s="681">
        <v>89.52</v>
      </c>
      <c r="BF26" s="682">
        <v>111.89</v>
      </c>
      <c r="BH26" s="679">
        <v>15</v>
      </c>
      <c r="BI26" s="680">
        <v>21.815940000000001</v>
      </c>
      <c r="BJ26" s="680">
        <v>20.00198</v>
      </c>
      <c r="BK26" s="681">
        <v>18.115590000000001</v>
      </c>
      <c r="BL26" s="682">
        <v>26.00057</v>
      </c>
      <c r="BN26" s="679">
        <v>15</v>
      </c>
      <c r="BO26" s="680">
        <v>65.055000000000007</v>
      </c>
      <c r="BP26" s="680">
        <v>65.488</v>
      </c>
      <c r="BQ26" s="681">
        <v>66.753</v>
      </c>
      <c r="BR26" s="682">
        <v>64.802999999999997</v>
      </c>
      <c r="BT26" s="679">
        <v>15</v>
      </c>
      <c r="BU26" s="680">
        <v>269.72899999999998</v>
      </c>
      <c r="BV26" s="680">
        <v>223.15</v>
      </c>
      <c r="BW26" s="681">
        <v>277.85399999999998</v>
      </c>
      <c r="BX26" s="682">
        <v>281.71499999999997</v>
      </c>
      <c r="BZ26" s="679">
        <v>15</v>
      </c>
      <c r="CA26" s="680">
        <v>323.08199999999999</v>
      </c>
      <c r="CB26" s="680">
        <v>223.27500000000001</v>
      </c>
      <c r="CC26" s="681">
        <v>357.83199999999999</v>
      </c>
      <c r="CD26" s="682">
        <v>359.94299999999998</v>
      </c>
      <c r="CF26" s="679">
        <v>15</v>
      </c>
      <c r="CG26" s="680"/>
      <c r="CH26" s="680"/>
      <c r="CI26" s="681"/>
      <c r="CJ26" s="682"/>
      <c r="CL26" s="679">
        <v>15</v>
      </c>
      <c r="CM26" s="680"/>
      <c r="CN26" s="680"/>
      <c r="CO26" s="681"/>
      <c r="CP26" s="682"/>
      <c r="CR26" s="679">
        <v>15</v>
      </c>
      <c r="CS26" s="680"/>
      <c r="CT26" s="680"/>
      <c r="CU26" s="681"/>
      <c r="CV26" s="682"/>
      <c r="CX26" s="679">
        <v>15</v>
      </c>
      <c r="CY26" s="680"/>
      <c r="CZ26" s="680"/>
      <c r="DA26" s="681"/>
      <c r="DB26" s="682"/>
      <c r="DD26" s="679">
        <v>15</v>
      </c>
      <c r="DE26" s="680"/>
      <c r="DF26" s="680"/>
      <c r="DG26" s="681"/>
      <c r="DH26" s="682"/>
      <c r="DJ26" s="679">
        <v>15</v>
      </c>
      <c r="DK26" s="680"/>
      <c r="DL26" s="680"/>
      <c r="DM26" s="681"/>
      <c r="DN26" s="682"/>
      <c r="DP26" s="679">
        <v>15</v>
      </c>
      <c r="DQ26" s="680"/>
      <c r="DR26" s="680"/>
      <c r="DS26" s="681"/>
      <c r="DT26" s="682"/>
      <c r="DV26" s="679">
        <v>15</v>
      </c>
      <c r="DW26" s="680"/>
      <c r="DX26" s="680"/>
      <c r="DY26" s="681"/>
      <c r="DZ26" s="682"/>
      <c r="EB26" s="619">
        <v>15</v>
      </c>
      <c r="EC26" s="620"/>
      <c r="ED26" s="620"/>
      <c r="EE26" s="621"/>
      <c r="EF26" s="623"/>
      <c r="EH26" s="619">
        <v>15</v>
      </c>
      <c r="EI26" s="620"/>
      <c r="EJ26" s="620"/>
      <c r="EK26" s="621"/>
      <c r="EL26" s="623"/>
      <c r="EN26" s="619">
        <v>15</v>
      </c>
      <c r="EO26" s="620"/>
      <c r="EP26" s="620"/>
      <c r="EQ26" s="621"/>
      <c r="ER26" s="623"/>
      <c r="ET26" s="619">
        <v>15</v>
      </c>
      <c r="EU26" s="620"/>
      <c r="EV26" s="620"/>
      <c r="EW26" s="621"/>
      <c r="EX26" s="623"/>
    </row>
    <row r="27" spans="12:154">
      <c r="L27" s="679">
        <v>16</v>
      </c>
      <c r="M27" s="680">
        <v>67.906289999999998</v>
      </c>
      <c r="N27" s="680">
        <v>36.520000000000003</v>
      </c>
      <c r="O27" s="681">
        <v>59.002000000000002</v>
      </c>
      <c r="P27" s="772">
        <v>62.948999999999998</v>
      </c>
      <c r="R27" s="679">
        <v>16</v>
      </c>
      <c r="S27" s="680">
        <v>6.2316900000000004</v>
      </c>
      <c r="T27" s="680">
        <v>2.85067</v>
      </c>
      <c r="U27" s="681">
        <v>4.5803200000000004</v>
      </c>
      <c r="V27" s="772">
        <v>9.2585700000000006</v>
      </c>
      <c r="X27" s="679">
        <v>16</v>
      </c>
      <c r="Y27" s="680">
        <v>20.38</v>
      </c>
      <c r="Z27" s="680">
        <v>21.841000000000001</v>
      </c>
      <c r="AA27" s="681">
        <v>23.289000000000001</v>
      </c>
      <c r="AB27" s="682">
        <v>23.920999999999999</v>
      </c>
      <c r="AD27" s="679">
        <v>16</v>
      </c>
      <c r="AE27" s="680">
        <v>395.58100000000002</v>
      </c>
      <c r="AF27" s="680">
        <v>309.04899999999998</v>
      </c>
      <c r="AG27" s="681">
        <v>410.07900000000001</v>
      </c>
      <c r="AH27" s="682">
        <v>413.11200000000002</v>
      </c>
      <c r="AJ27" s="679">
        <v>16</v>
      </c>
      <c r="AK27" s="680">
        <v>241.81700000000001</v>
      </c>
      <c r="AL27" s="680">
        <v>236.68299999999999</v>
      </c>
      <c r="AM27" s="681">
        <v>253.833</v>
      </c>
      <c r="AN27" s="682">
        <v>277.935</v>
      </c>
      <c r="AP27" s="679">
        <v>16</v>
      </c>
      <c r="AQ27" s="680">
        <v>69.459999999999994</v>
      </c>
      <c r="AR27" s="680">
        <v>19.11</v>
      </c>
      <c r="AS27" s="681">
        <v>41.11</v>
      </c>
      <c r="AT27" s="682">
        <v>63.08</v>
      </c>
      <c r="AV27" s="679">
        <v>16</v>
      </c>
      <c r="AW27" s="680">
        <v>180.68</v>
      </c>
      <c r="AX27" s="680">
        <v>158.82</v>
      </c>
      <c r="AY27" s="681">
        <v>204.41</v>
      </c>
      <c r="AZ27" s="682">
        <v>214.04</v>
      </c>
      <c r="BB27" s="679">
        <v>16</v>
      </c>
      <c r="BC27" s="680">
        <v>112.48</v>
      </c>
      <c r="BD27" s="680">
        <v>54.09</v>
      </c>
      <c r="BE27" s="681">
        <v>91.11</v>
      </c>
      <c r="BF27" s="682">
        <v>112.78</v>
      </c>
      <c r="BH27" s="679">
        <v>16</v>
      </c>
      <c r="BI27" s="680">
        <v>22.308430000000001</v>
      </c>
      <c r="BJ27" s="680">
        <v>20.568439999999999</v>
      </c>
      <c r="BK27" s="681">
        <v>19.052</v>
      </c>
      <c r="BL27" s="682">
        <v>27.562349999999999</v>
      </c>
      <c r="BN27" s="679">
        <v>16</v>
      </c>
      <c r="BO27" s="680">
        <v>66.281999999999996</v>
      </c>
      <c r="BP27" s="680">
        <v>66.319000000000003</v>
      </c>
      <c r="BQ27" s="681">
        <v>63.363999999999997</v>
      </c>
      <c r="BR27" s="682">
        <v>66.066000000000003</v>
      </c>
      <c r="BT27" s="679">
        <v>16</v>
      </c>
      <c r="BU27" s="680">
        <v>271.42</v>
      </c>
      <c r="BV27" s="680">
        <v>226.66</v>
      </c>
      <c r="BW27" s="681">
        <v>277.85899999999998</v>
      </c>
      <c r="BX27" s="682">
        <v>282.81599999999997</v>
      </c>
      <c r="BZ27" s="679">
        <v>16</v>
      </c>
      <c r="CA27" s="680">
        <v>320.09399999999999</v>
      </c>
      <c r="CB27" s="680">
        <v>232.625</v>
      </c>
      <c r="CC27" s="681">
        <v>344.88099999999997</v>
      </c>
      <c r="CD27" s="682">
        <v>360.94099999999997</v>
      </c>
      <c r="CF27" s="679">
        <v>16</v>
      </c>
      <c r="CG27" s="680"/>
      <c r="CH27" s="680"/>
      <c r="CI27" s="681"/>
      <c r="CJ27" s="682"/>
      <c r="CL27" s="679">
        <v>16</v>
      </c>
      <c r="CM27" s="680"/>
      <c r="CN27" s="680"/>
      <c r="CO27" s="681"/>
      <c r="CP27" s="682"/>
      <c r="CR27" s="679">
        <v>16</v>
      </c>
      <c r="CS27" s="680"/>
      <c r="CT27" s="680"/>
      <c r="CU27" s="681"/>
      <c r="CV27" s="682"/>
      <c r="CX27" s="679">
        <v>16</v>
      </c>
      <c r="CY27" s="680"/>
      <c r="CZ27" s="680"/>
      <c r="DA27" s="681"/>
      <c r="DB27" s="682"/>
      <c r="DD27" s="679">
        <v>16</v>
      </c>
      <c r="DE27" s="680"/>
      <c r="DF27" s="680"/>
      <c r="DG27" s="681"/>
      <c r="DH27" s="682"/>
      <c r="DJ27" s="679">
        <v>16</v>
      </c>
      <c r="DK27" s="680"/>
      <c r="DL27" s="680"/>
      <c r="DM27" s="681"/>
      <c r="DN27" s="682"/>
      <c r="DP27" s="679">
        <v>16</v>
      </c>
      <c r="DQ27" s="680"/>
      <c r="DR27" s="680"/>
      <c r="DS27" s="681"/>
      <c r="DT27" s="682"/>
      <c r="DV27" s="679">
        <v>16</v>
      </c>
      <c r="DW27" s="680"/>
      <c r="DX27" s="680"/>
      <c r="DY27" s="681"/>
      <c r="DZ27" s="682"/>
      <c r="EB27" s="619">
        <v>16</v>
      </c>
      <c r="EC27" s="620"/>
      <c r="ED27" s="620"/>
      <c r="EE27" s="621"/>
      <c r="EF27" s="623"/>
      <c r="EH27" s="619">
        <v>16</v>
      </c>
      <c r="EI27" s="620"/>
      <c r="EJ27" s="620"/>
      <c r="EK27" s="621"/>
      <c r="EL27" s="623"/>
      <c r="EN27" s="619">
        <v>16</v>
      </c>
      <c r="EO27" s="620"/>
      <c r="EP27" s="620"/>
      <c r="EQ27" s="621"/>
      <c r="ER27" s="623"/>
      <c r="ET27" s="619">
        <v>16</v>
      </c>
      <c r="EU27" s="620"/>
      <c r="EV27" s="620"/>
      <c r="EW27" s="621"/>
      <c r="EX27" s="623"/>
    </row>
    <row r="28" spans="12:154">
      <c r="L28" s="679">
        <v>17</v>
      </c>
      <c r="M28" s="680">
        <v>67.971999999999994</v>
      </c>
      <c r="N28" s="680">
        <v>37.073999999999998</v>
      </c>
      <c r="O28" s="681">
        <v>59.654710000000001</v>
      </c>
      <c r="P28" s="772">
        <v>65.131979999999999</v>
      </c>
      <c r="R28" s="679">
        <v>17</v>
      </c>
      <c r="S28" s="680">
        <v>4.45655</v>
      </c>
      <c r="T28" s="680">
        <v>0.05</v>
      </c>
      <c r="U28" s="681">
        <v>2.6048300000000002</v>
      </c>
      <c r="V28" s="772">
        <v>8.9317600000000006</v>
      </c>
      <c r="X28" s="679">
        <v>17</v>
      </c>
      <c r="Y28" s="680">
        <v>20.236000000000001</v>
      </c>
      <c r="Z28" s="680">
        <v>21.577999999999999</v>
      </c>
      <c r="AA28" s="681">
        <v>22.61</v>
      </c>
      <c r="AB28" s="682">
        <v>23.763000000000002</v>
      </c>
      <c r="AD28" s="679">
        <v>17</v>
      </c>
      <c r="AE28" s="680">
        <v>389.49900000000002</v>
      </c>
      <c r="AF28" s="680">
        <v>306.26799999999997</v>
      </c>
      <c r="AG28" s="681">
        <v>405.39100000000002</v>
      </c>
      <c r="AH28" s="682">
        <v>409.49200000000002</v>
      </c>
      <c r="AJ28" s="679">
        <v>17</v>
      </c>
      <c r="AK28" s="680">
        <v>249.46100000000001</v>
      </c>
      <c r="AL28" s="680">
        <v>236.23099999999999</v>
      </c>
      <c r="AM28" s="681">
        <v>253.642</v>
      </c>
      <c r="AN28" s="682">
        <v>277.351</v>
      </c>
      <c r="AP28" s="679">
        <v>17</v>
      </c>
      <c r="AQ28" s="680">
        <v>69.459999999999994</v>
      </c>
      <c r="AR28" s="680">
        <v>19.37</v>
      </c>
      <c r="AS28" s="681">
        <v>41.1</v>
      </c>
      <c r="AT28" s="682">
        <v>63.66</v>
      </c>
      <c r="AV28" s="679">
        <v>17</v>
      </c>
      <c r="AW28" s="680">
        <v>183.22</v>
      </c>
      <c r="AX28" s="680">
        <v>160.06</v>
      </c>
      <c r="AY28" s="681">
        <v>207.75</v>
      </c>
      <c r="AZ28" s="682">
        <v>215.21</v>
      </c>
      <c r="BB28" s="679">
        <v>17</v>
      </c>
      <c r="BC28" s="680">
        <v>111.3</v>
      </c>
      <c r="BD28" s="680">
        <v>54.65</v>
      </c>
      <c r="BE28" s="681">
        <v>91.69</v>
      </c>
      <c r="BF28" s="682">
        <v>112.93</v>
      </c>
      <c r="BH28" s="679">
        <v>17</v>
      </c>
      <c r="BI28" s="680">
        <v>22.715019999999999</v>
      </c>
      <c r="BJ28" s="680">
        <v>20.940380000000001</v>
      </c>
      <c r="BK28" s="681">
        <v>20.321999999999999</v>
      </c>
      <c r="BL28" s="682">
        <v>29.040289999999999</v>
      </c>
      <c r="BN28" s="679">
        <v>17</v>
      </c>
      <c r="BO28" s="680">
        <v>67.331999999999994</v>
      </c>
      <c r="BP28" s="680">
        <v>66.825000000000003</v>
      </c>
      <c r="BQ28" s="681">
        <v>64.551000000000002</v>
      </c>
      <c r="BR28" s="682">
        <v>67.331999999999994</v>
      </c>
      <c r="BT28" s="679">
        <v>17</v>
      </c>
      <c r="BU28" s="680">
        <v>270.39</v>
      </c>
      <c r="BV28" s="680">
        <v>228.761</v>
      </c>
      <c r="BW28" s="681">
        <v>277.952</v>
      </c>
      <c r="BX28" s="682">
        <v>282.87200000000001</v>
      </c>
      <c r="BZ28" s="679">
        <v>17</v>
      </c>
      <c r="CA28" s="680">
        <v>296.38400000000001</v>
      </c>
      <c r="CB28" s="680">
        <v>236.09</v>
      </c>
      <c r="CC28" s="681">
        <v>335.13</v>
      </c>
      <c r="CD28" s="682">
        <v>357.07400000000001</v>
      </c>
      <c r="CF28" s="679">
        <v>17</v>
      </c>
      <c r="CG28" s="680"/>
      <c r="CH28" s="680"/>
      <c r="CI28" s="681"/>
      <c r="CJ28" s="682"/>
      <c r="CL28" s="679">
        <v>17</v>
      </c>
      <c r="CM28" s="680"/>
      <c r="CN28" s="680"/>
      <c r="CO28" s="681"/>
      <c r="CP28" s="682"/>
      <c r="CR28" s="679">
        <v>17</v>
      </c>
      <c r="CS28" s="680"/>
      <c r="CT28" s="680"/>
      <c r="CU28" s="681"/>
      <c r="CV28" s="682"/>
      <c r="CX28" s="679">
        <v>17</v>
      </c>
      <c r="CY28" s="680"/>
      <c r="CZ28" s="680"/>
      <c r="DA28" s="681"/>
      <c r="DB28" s="682"/>
      <c r="DD28" s="679">
        <v>17</v>
      </c>
      <c r="DE28" s="680"/>
      <c r="DF28" s="680"/>
      <c r="DG28" s="681"/>
      <c r="DH28" s="682"/>
      <c r="DJ28" s="679">
        <v>17</v>
      </c>
      <c r="DK28" s="680"/>
      <c r="DL28" s="680"/>
      <c r="DM28" s="681"/>
      <c r="DN28" s="682"/>
      <c r="DP28" s="679">
        <v>17</v>
      </c>
      <c r="DQ28" s="680"/>
      <c r="DR28" s="680"/>
      <c r="DS28" s="681"/>
      <c r="DT28" s="682"/>
      <c r="DV28" s="679">
        <v>17</v>
      </c>
      <c r="DW28" s="680"/>
      <c r="DX28" s="680"/>
      <c r="DY28" s="681"/>
      <c r="DZ28" s="682"/>
      <c r="EB28" s="619">
        <v>17</v>
      </c>
      <c r="EC28" s="620"/>
      <c r="ED28" s="620"/>
      <c r="EE28" s="621"/>
      <c r="EF28" s="623"/>
      <c r="EH28" s="619">
        <v>17</v>
      </c>
      <c r="EI28" s="620"/>
      <c r="EJ28" s="620"/>
      <c r="EK28" s="621"/>
      <c r="EL28" s="623"/>
      <c r="EN28" s="619">
        <v>17</v>
      </c>
      <c r="EO28" s="620"/>
      <c r="EP28" s="620"/>
      <c r="EQ28" s="621"/>
      <c r="ER28" s="623"/>
      <c r="ET28" s="619">
        <v>17</v>
      </c>
      <c r="EU28" s="620"/>
      <c r="EV28" s="620"/>
      <c r="EW28" s="621"/>
      <c r="EX28" s="623"/>
    </row>
    <row r="29" spans="12:154">
      <c r="L29" s="679">
        <v>18</v>
      </c>
      <c r="M29" s="680">
        <v>68.536900000000003</v>
      </c>
      <c r="N29" s="680">
        <v>37.205559999999998</v>
      </c>
      <c r="O29" s="681">
        <v>60.565339999999999</v>
      </c>
      <c r="P29" s="772">
        <v>64.311999999999998</v>
      </c>
      <c r="R29" s="679">
        <v>18</v>
      </c>
      <c r="S29" s="680">
        <v>2.2666499999999998</v>
      </c>
      <c r="T29" s="680">
        <v>6.1943000000000001</v>
      </c>
      <c r="U29" s="681">
        <v>5.9085099999999997</v>
      </c>
      <c r="V29" s="772">
        <v>9.8385400000000001</v>
      </c>
      <c r="X29" s="679">
        <v>18</v>
      </c>
      <c r="Y29" s="680">
        <v>19.981000000000002</v>
      </c>
      <c r="Z29" s="680">
        <v>21.44</v>
      </c>
      <c r="AA29" s="681">
        <v>22.524000000000001</v>
      </c>
      <c r="AB29" s="682">
        <v>23.28</v>
      </c>
      <c r="AD29" s="679">
        <v>18</v>
      </c>
      <c r="AE29" s="680">
        <v>383.88200000000001</v>
      </c>
      <c r="AF29" s="680">
        <v>302.06299999999999</v>
      </c>
      <c r="AG29" s="681">
        <v>401.98</v>
      </c>
      <c r="AH29" s="682">
        <v>410.81799999999998</v>
      </c>
      <c r="AJ29" s="679">
        <v>18</v>
      </c>
      <c r="AK29" s="680">
        <v>240.65199999999999</v>
      </c>
      <c r="AL29" s="680">
        <v>235.84</v>
      </c>
      <c r="AM29" s="681">
        <v>253.38300000000001</v>
      </c>
      <c r="AN29" s="682">
        <v>276.70100000000002</v>
      </c>
      <c r="AP29" s="679">
        <v>18</v>
      </c>
      <c r="AQ29" s="680">
        <v>69.459999999999994</v>
      </c>
      <c r="AR29" s="680">
        <v>19.64</v>
      </c>
      <c r="AS29" s="681">
        <v>40.950000000000003</v>
      </c>
      <c r="AT29" s="682">
        <v>63.82</v>
      </c>
      <c r="AV29" s="679">
        <v>18</v>
      </c>
      <c r="AW29" s="680">
        <v>183.65</v>
      </c>
      <c r="AX29" s="680">
        <v>163.19</v>
      </c>
      <c r="AY29" s="681">
        <v>209.41</v>
      </c>
      <c r="AZ29" s="682">
        <v>217</v>
      </c>
      <c r="BB29" s="679">
        <v>18</v>
      </c>
      <c r="BC29" s="680">
        <v>111.89</v>
      </c>
      <c r="BD29" s="680">
        <v>54.65</v>
      </c>
      <c r="BE29" s="681">
        <v>92.56</v>
      </c>
      <c r="BF29" s="682">
        <v>113.66</v>
      </c>
      <c r="BH29" s="679">
        <v>18</v>
      </c>
      <c r="BI29" s="680">
        <v>22.906379999999999</v>
      </c>
      <c r="BJ29" s="680">
        <v>21.127089999999999</v>
      </c>
      <c r="BK29" s="681">
        <v>21.452000000000002</v>
      </c>
      <c r="BL29" s="682">
        <v>27.408000000000001</v>
      </c>
      <c r="BN29" s="679">
        <v>18</v>
      </c>
      <c r="BO29" s="680">
        <v>67.33</v>
      </c>
      <c r="BP29" s="680">
        <v>65.488</v>
      </c>
      <c r="BQ29" s="681">
        <v>65.956999999999994</v>
      </c>
      <c r="BR29" s="682">
        <v>66.861000000000004</v>
      </c>
      <c r="BT29" s="679">
        <v>18</v>
      </c>
      <c r="BU29" s="680">
        <v>270.471</v>
      </c>
      <c r="BV29" s="680">
        <v>229.63499999999999</v>
      </c>
      <c r="BW29" s="681">
        <v>277.99299999999999</v>
      </c>
      <c r="BX29" s="682">
        <v>282.47300000000001</v>
      </c>
      <c r="BZ29" s="679">
        <v>18</v>
      </c>
      <c r="CA29" s="680">
        <v>286.72699999999998</v>
      </c>
      <c r="CB29" s="680">
        <v>231.25800000000001</v>
      </c>
      <c r="CC29" s="681">
        <v>322.483</v>
      </c>
      <c r="CD29" s="682">
        <v>355.35199999999998</v>
      </c>
      <c r="CF29" s="679">
        <v>18</v>
      </c>
      <c r="CG29" s="680"/>
      <c r="CH29" s="680"/>
      <c r="CI29" s="681"/>
      <c r="CJ29" s="682"/>
      <c r="CL29" s="679">
        <v>18</v>
      </c>
      <c r="CM29" s="680"/>
      <c r="CN29" s="680"/>
      <c r="CO29" s="681"/>
      <c r="CP29" s="682"/>
      <c r="CR29" s="679">
        <v>18</v>
      </c>
      <c r="CS29" s="680"/>
      <c r="CT29" s="680"/>
      <c r="CU29" s="681"/>
      <c r="CV29" s="682"/>
      <c r="CX29" s="679">
        <v>18</v>
      </c>
      <c r="CY29" s="680"/>
      <c r="CZ29" s="680"/>
      <c r="DA29" s="681"/>
      <c r="DB29" s="682"/>
      <c r="DD29" s="679">
        <v>18</v>
      </c>
      <c r="DE29" s="680"/>
      <c r="DF29" s="680"/>
      <c r="DG29" s="681"/>
      <c r="DH29" s="682"/>
      <c r="DJ29" s="679">
        <v>18</v>
      </c>
      <c r="DK29" s="680"/>
      <c r="DL29" s="680"/>
      <c r="DM29" s="681"/>
      <c r="DN29" s="682"/>
      <c r="DP29" s="679">
        <v>18</v>
      </c>
      <c r="DQ29" s="680"/>
      <c r="DR29" s="680"/>
      <c r="DS29" s="681"/>
      <c r="DT29" s="682"/>
      <c r="DV29" s="679">
        <v>18</v>
      </c>
      <c r="DW29" s="680"/>
      <c r="DX29" s="680"/>
      <c r="DY29" s="681"/>
      <c r="DZ29" s="682"/>
      <c r="EB29" s="619">
        <v>18</v>
      </c>
      <c r="EC29" s="620"/>
      <c r="ED29" s="620"/>
      <c r="EE29" s="621"/>
      <c r="EF29" s="623"/>
      <c r="EH29" s="619">
        <v>18</v>
      </c>
      <c r="EI29" s="620"/>
      <c r="EJ29" s="620"/>
      <c r="EK29" s="621"/>
      <c r="EL29" s="623"/>
      <c r="EN29" s="619">
        <v>18</v>
      </c>
      <c r="EO29" s="620"/>
      <c r="EP29" s="620"/>
      <c r="EQ29" s="621"/>
      <c r="ER29" s="623"/>
      <c r="ET29" s="619">
        <v>18</v>
      </c>
      <c r="EU29" s="620"/>
      <c r="EV29" s="620"/>
      <c r="EW29" s="621"/>
      <c r="EX29" s="623"/>
    </row>
    <row r="30" spans="12:154">
      <c r="L30" s="679">
        <v>19</v>
      </c>
      <c r="M30" s="680">
        <v>68.860420000000005</v>
      </c>
      <c r="N30" s="680">
        <v>37.959200000000003</v>
      </c>
      <c r="O30" s="681">
        <v>61.433999999999997</v>
      </c>
      <c r="P30" s="772">
        <v>65.305000000000007</v>
      </c>
      <c r="R30" s="679">
        <v>19</v>
      </c>
      <c r="S30" s="680">
        <v>8.1559399999999993</v>
      </c>
      <c r="T30" s="680">
        <v>11.118840000000001</v>
      </c>
      <c r="U30" s="681">
        <v>10.37575</v>
      </c>
      <c r="V30" s="772">
        <v>10.17083</v>
      </c>
      <c r="X30" s="679">
        <v>19</v>
      </c>
      <c r="Y30" s="680">
        <v>19.553999999999998</v>
      </c>
      <c r="Z30" s="680">
        <v>21.849</v>
      </c>
      <c r="AA30" s="681">
        <v>23.056000000000001</v>
      </c>
      <c r="AB30" s="682">
        <v>23.149000000000001</v>
      </c>
      <c r="AD30" s="679">
        <v>19</v>
      </c>
      <c r="AE30" s="680">
        <v>378.255</v>
      </c>
      <c r="AF30" s="680">
        <v>298.40300000000002</v>
      </c>
      <c r="AG30" s="681">
        <v>398.45299999999997</v>
      </c>
      <c r="AH30" s="682">
        <v>407.16399999999999</v>
      </c>
      <c r="AJ30" s="679">
        <v>19</v>
      </c>
      <c r="AK30" s="680">
        <v>240.06700000000001</v>
      </c>
      <c r="AL30" s="680">
        <v>235.38399999999999</v>
      </c>
      <c r="AM30" s="681">
        <v>253.05799999999999</v>
      </c>
      <c r="AN30" s="682">
        <v>276.11700000000002</v>
      </c>
      <c r="AP30" s="679">
        <v>19</v>
      </c>
      <c r="AQ30" s="680">
        <v>69.459999999999994</v>
      </c>
      <c r="AR30" s="680">
        <v>19.96</v>
      </c>
      <c r="AS30" s="681">
        <v>40.92</v>
      </c>
      <c r="AT30" s="682">
        <v>63.63</v>
      </c>
      <c r="AV30" s="679">
        <v>19</v>
      </c>
      <c r="AW30" s="680">
        <v>184.91</v>
      </c>
      <c r="AX30" s="680">
        <v>166.96</v>
      </c>
      <c r="AY30" s="681">
        <v>210.27</v>
      </c>
      <c r="AZ30" s="682">
        <v>218.5</v>
      </c>
      <c r="BB30" s="679">
        <v>19</v>
      </c>
      <c r="BC30" s="680">
        <v>110.41</v>
      </c>
      <c r="BD30" s="680">
        <v>56.61</v>
      </c>
      <c r="BE30" s="681">
        <v>93.43</v>
      </c>
      <c r="BF30" s="682">
        <v>113.66</v>
      </c>
      <c r="BH30" s="679">
        <v>19</v>
      </c>
      <c r="BI30" s="680">
        <v>23.07263</v>
      </c>
      <c r="BJ30" s="680">
        <v>21.426860000000001</v>
      </c>
      <c r="BK30" s="681">
        <v>19.251999999999999</v>
      </c>
      <c r="BL30" s="682">
        <v>27.990960000000001</v>
      </c>
      <c r="BN30" s="679">
        <v>19</v>
      </c>
      <c r="BO30" s="680">
        <v>67.33</v>
      </c>
      <c r="BP30" s="680">
        <v>65.849000000000004</v>
      </c>
      <c r="BQ30" s="681">
        <v>66.825000000000003</v>
      </c>
      <c r="BR30" s="682">
        <v>67.114999999999995</v>
      </c>
      <c r="BT30" s="679">
        <v>19</v>
      </c>
      <c r="BU30" s="680">
        <v>271.42</v>
      </c>
      <c r="BV30" s="680">
        <v>230.88900000000001</v>
      </c>
      <c r="BW30" s="681">
        <v>277.69499999999999</v>
      </c>
      <c r="BX30" s="682">
        <v>281.83199999999999</v>
      </c>
      <c r="BZ30" s="679">
        <v>19</v>
      </c>
      <c r="CA30" s="680">
        <v>294.22500000000002</v>
      </c>
      <c r="CB30" s="680">
        <v>237.708</v>
      </c>
      <c r="CC30" s="681">
        <v>321.88600000000002</v>
      </c>
      <c r="CD30" s="682">
        <v>355.35199999999998</v>
      </c>
      <c r="CF30" s="679">
        <v>19</v>
      </c>
      <c r="CG30" s="680"/>
      <c r="CH30" s="680"/>
      <c r="CI30" s="681"/>
      <c r="CJ30" s="682"/>
      <c r="CL30" s="679">
        <v>19</v>
      </c>
      <c r="CM30" s="680"/>
      <c r="CN30" s="680"/>
      <c r="CO30" s="681"/>
      <c r="CP30" s="682"/>
      <c r="CR30" s="679">
        <v>19</v>
      </c>
      <c r="CS30" s="680"/>
      <c r="CT30" s="680"/>
      <c r="CU30" s="681"/>
      <c r="CV30" s="682"/>
      <c r="CX30" s="679">
        <v>19</v>
      </c>
      <c r="CY30" s="680"/>
      <c r="CZ30" s="680"/>
      <c r="DA30" s="681"/>
      <c r="DB30" s="682"/>
      <c r="DD30" s="679">
        <v>19</v>
      </c>
      <c r="DE30" s="680"/>
      <c r="DF30" s="680"/>
      <c r="DG30" s="681"/>
      <c r="DH30" s="682"/>
      <c r="DJ30" s="679">
        <v>19</v>
      </c>
      <c r="DK30" s="680"/>
      <c r="DL30" s="680"/>
      <c r="DM30" s="681"/>
      <c r="DN30" s="682"/>
      <c r="DP30" s="679">
        <v>19</v>
      </c>
      <c r="DQ30" s="680"/>
      <c r="DR30" s="680"/>
      <c r="DS30" s="681"/>
      <c r="DT30" s="682"/>
      <c r="DV30" s="679">
        <v>19</v>
      </c>
      <c r="DW30" s="680"/>
      <c r="DX30" s="680"/>
      <c r="DY30" s="681"/>
      <c r="DZ30" s="682"/>
      <c r="EB30" s="619">
        <v>19</v>
      </c>
      <c r="EC30" s="620"/>
      <c r="ED30" s="620"/>
      <c r="EE30" s="621"/>
      <c r="EF30" s="623"/>
      <c r="EH30" s="619">
        <v>19</v>
      </c>
      <c r="EI30" s="620"/>
      <c r="EJ30" s="620"/>
      <c r="EK30" s="621"/>
      <c r="EL30" s="623"/>
      <c r="EN30" s="619">
        <v>19</v>
      </c>
      <c r="EO30" s="620"/>
      <c r="EP30" s="620"/>
      <c r="EQ30" s="621"/>
      <c r="ER30" s="623"/>
      <c r="ET30" s="619">
        <v>19</v>
      </c>
      <c r="EU30" s="620"/>
      <c r="EV30" s="620"/>
      <c r="EW30" s="621"/>
      <c r="EX30" s="623"/>
    </row>
    <row r="31" spans="12:154">
      <c r="L31" s="679">
        <v>20</v>
      </c>
      <c r="M31" s="680">
        <v>69.357119999999995</v>
      </c>
      <c r="N31" s="680">
        <v>38.569000000000003</v>
      </c>
      <c r="O31" s="681">
        <v>61.103000000000002</v>
      </c>
      <c r="P31" s="772">
        <v>65.492000000000004</v>
      </c>
      <c r="R31" s="679">
        <v>20</v>
      </c>
      <c r="S31" s="680">
        <v>4.9730699999999999</v>
      </c>
      <c r="T31" s="680">
        <v>1.3639999999999999E-2</v>
      </c>
      <c r="U31" s="681">
        <v>7.6248800000000001</v>
      </c>
      <c r="V31" s="772">
        <v>9.5876800000000006</v>
      </c>
      <c r="X31" s="679">
        <v>20</v>
      </c>
      <c r="Y31" s="680">
        <v>19.079999999999998</v>
      </c>
      <c r="Z31" s="680">
        <v>21.76</v>
      </c>
      <c r="AA31" s="681">
        <v>23.305</v>
      </c>
      <c r="AB31" s="682">
        <v>23.114000000000001</v>
      </c>
      <c r="AD31" s="679">
        <v>20</v>
      </c>
      <c r="AE31" s="680">
        <v>372.47500000000002</v>
      </c>
      <c r="AF31" s="680">
        <v>295.185</v>
      </c>
      <c r="AG31" s="681">
        <v>394.149</v>
      </c>
      <c r="AH31" s="682">
        <v>403.78500000000003</v>
      </c>
      <c r="AJ31" s="679">
        <v>20</v>
      </c>
      <c r="AK31" s="680">
        <v>239.28800000000001</v>
      </c>
      <c r="AL31" s="680">
        <v>235.05799999999999</v>
      </c>
      <c r="AM31" s="681">
        <v>252.66399999999999</v>
      </c>
      <c r="AN31" s="682">
        <v>275.46699999999998</v>
      </c>
      <c r="AP31" s="679">
        <v>20</v>
      </c>
      <c r="AQ31" s="680">
        <v>66.260000000000005</v>
      </c>
      <c r="AR31" s="680">
        <v>20.16</v>
      </c>
      <c r="AS31" s="681">
        <v>40.89</v>
      </c>
      <c r="AT31" s="682">
        <v>62.77</v>
      </c>
      <c r="AV31" s="679">
        <v>20</v>
      </c>
      <c r="AW31" s="680">
        <v>186.23</v>
      </c>
      <c r="AX31" s="680">
        <v>168.79</v>
      </c>
      <c r="AY31" s="681">
        <v>210.86</v>
      </c>
      <c r="AZ31" s="682">
        <v>218.84</v>
      </c>
      <c r="BB31" s="679">
        <v>20</v>
      </c>
      <c r="BC31" s="680">
        <v>110.41</v>
      </c>
      <c r="BD31" s="680">
        <v>57.17</v>
      </c>
      <c r="BE31" s="681">
        <v>94.02</v>
      </c>
      <c r="BF31" s="682">
        <v>113.66</v>
      </c>
      <c r="BH31" s="679">
        <v>20</v>
      </c>
      <c r="BI31" s="680">
        <v>23.290600000000001</v>
      </c>
      <c r="BJ31" s="680">
        <v>21.66508</v>
      </c>
      <c r="BK31" s="681">
        <v>19.708279999999998</v>
      </c>
      <c r="BL31" s="682">
        <v>27.990960000000001</v>
      </c>
      <c r="BN31" s="679">
        <v>20</v>
      </c>
      <c r="BO31" s="680">
        <v>67.331999999999994</v>
      </c>
      <c r="BP31" s="680">
        <v>66.281999999999996</v>
      </c>
      <c r="BQ31" s="681">
        <v>67.331999999999994</v>
      </c>
      <c r="BR31" s="682">
        <v>67.150999999999996</v>
      </c>
      <c r="BT31" s="679">
        <v>20</v>
      </c>
      <c r="BU31" s="680">
        <v>271.029</v>
      </c>
      <c r="BV31" s="680">
        <v>231.32499999999999</v>
      </c>
      <c r="BW31" s="681">
        <v>277.33800000000002</v>
      </c>
      <c r="BX31" s="682">
        <v>280.89299999999997</v>
      </c>
      <c r="BZ31" s="679">
        <v>20</v>
      </c>
      <c r="CA31" s="680">
        <v>298.29000000000002</v>
      </c>
      <c r="CB31" s="680">
        <v>239.87</v>
      </c>
      <c r="CC31" s="681">
        <v>323.08199999999999</v>
      </c>
      <c r="CD31" s="682">
        <v>355.35199999999998</v>
      </c>
      <c r="CF31" s="679">
        <v>20</v>
      </c>
      <c r="CG31" s="680"/>
      <c r="CH31" s="680"/>
      <c r="CI31" s="681"/>
      <c r="CJ31" s="682"/>
      <c r="CL31" s="679">
        <v>20</v>
      </c>
      <c r="CM31" s="680"/>
      <c r="CN31" s="680"/>
      <c r="CO31" s="681"/>
      <c r="CP31" s="682"/>
      <c r="CR31" s="679">
        <v>20</v>
      </c>
      <c r="CS31" s="680"/>
      <c r="CT31" s="680"/>
      <c r="CU31" s="681"/>
      <c r="CV31" s="682"/>
      <c r="CX31" s="679">
        <v>20</v>
      </c>
      <c r="CY31" s="680"/>
      <c r="CZ31" s="680"/>
      <c r="DA31" s="681"/>
      <c r="DB31" s="682"/>
      <c r="DD31" s="679">
        <v>20</v>
      </c>
      <c r="DE31" s="680"/>
      <c r="DF31" s="680"/>
      <c r="DG31" s="681"/>
      <c r="DH31" s="682"/>
      <c r="DJ31" s="679">
        <v>20</v>
      </c>
      <c r="DK31" s="680"/>
      <c r="DL31" s="680"/>
      <c r="DM31" s="681"/>
      <c r="DN31" s="682"/>
      <c r="DP31" s="679">
        <v>20</v>
      </c>
      <c r="DQ31" s="680"/>
      <c r="DR31" s="680"/>
      <c r="DS31" s="681"/>
      <c r="DT31" s="682"/>
      <c r="DV31" s="679">
        <v>20</v>
      </c>
      <c r="DW31" s="680"/>
      <c r="DX31" s="680"/>
      <c r="DY31" s="681"/>
      <c r="DZ31" s="682"/>
      <c r="EB31" s="619">
        <v>20</v>
      </c>
      <c r="EC31" s="620"/>
      <c r="ED31" s="620"/>
      <c r="EE31" s="621"/>
      <c r="EF31" s="623"/>
      <c r="EH31" s="619">
        <v>20</v>
      </c>
      <c r="EI31" s="620"/>
      <c r="EJ31" s="620"/>
      <c r="EK31" s="621"/>
      <c r="EL31" s="623"/>
      <c r="EN31" s="619">
        <v>20</v>
      </c>
      <c r="EO31" s="620"/>
      <c r="EP31" s="620"/>
      <c r="EQ31" s="621"/>
      <c r="ER31" s="623"/>
      <c r="ET31" s="619">
        <v>20</v>
      </c>
      <c r="EU31" s="620"/>
      <c r="EV31" s="620"/>
      <c r="EW31" s="621"/>
      <c r="EX31" s="623"/>
    </row>
    <row r="32" spans="12:154">
      <c r="L32" s="679">
        <v>21</v>
      </c>
      <c r="M32" s="680">
        <v>69.522000000000006</v>
      </c>
      <c r="N32" s="680">
        <v>39.076999999999998</v>
      </c>
      <c r="O32" s="681">
        <v>61.627000000000002</v>
      </c>
      <c r="P32" s="772">
        <v>66.183999999999997</v>
      </c>
      <c r="R32" s="679">
        <v>21</v>
      </c>
      <c r="S32" s="680">
        <v>4.8557300000000003</v>
      </c>
      <c r="T32" s="680">
        <v>2.5436000000000001</v>
      </c>
      <c r="U32" s="681">
        <v>5.1932400000000003</v>
      </c>
      <c r="V32" s="772">
        <v>11.80453</v>
      </c>
      <c r="X32" s="679">
        <v>21</v>
      </c>
      <c r="Y32" s="680">
        <v>18.72</v>
      </c>
      <c r="Z32" s="680">
        <v>21.658999999999999</v>
      </c>
      <c r="AA32" s="681">
        <v>23.376999999999999</v>
      </c>
      <c r="AB32" s="682">
        <v>22.983000000000001</v>
      </c>
      <c r="AD32" s="679">
        <v>21</v>
      </c>
      <c r="AE32" s="680">
        <v>366.83100000000002</v>
      </c>
      <c r="AF32" s="680">
        <v>290.95400000000001</v>
      </c>
      <c r="AG32" s="681">
        <v>390.39499999999998</v>
      </c>
      <c r="AH32" s="682">
        <v>399.608</v>
      </c>
      <c r="AJ32" s="679">
        <v>21</v>
      </c>
      <c r="AK32" s="680">
        <v>238.703</v>
      </c>
      <c r="AL32" s="680">
        <v>234.53299999999999</v>
      </c>
      <c r="AM32" s="681">
        <v>252.149</v>
      </c>
      <c r="AN32" s="682">
        <v>274.822</v>
      </c>
      <c r="AP32" s="679">
        <v>21</v>
      </c>
      <c r="AQ32" s="680">
        <v>65.75</v>
      </c>
      <c r="AR32" s="680">
        <v>20.54</v>
      </c>
      <c r="AS32" s="681">
        <v>40.909999999999997</v>
      </c>
      <c r="AT32" s="682">
        <v>62.1</v>
      </c>
      <c r="AV32" s="679">
        <v>21</v>
      </c>
      <c r="AW32" s="680">
        <v>187.5</v>
      </c>
      <c r="AX32" s="680">
        <v>165.86</v>
      </c>
      <c r="AY32" s="681">
        <v>208.1</v>
      </c>
      <c r="AZ32" s="682">
        <v>218.26</v>
      </c>
      <c r="BB32" s="679">
        <v>21</v>
      </c>
      <c r="BC32" s="680">
        <v>110.12</v>
      </c>
      <c r="BD32" s="680">
        <v>57.45</v>
      </c>
      <c r="BE32" s="681">
        <v>94.31</v>
      </c>
      <c r="BF32" s="682">
        <v>113.07</v>
      </c>
      <c r="BH32" s="679">
        <v>21</v>
      </c>
      <c r="BI32" s="680">
        <v>23.457709999999999</v>
      </c>
      <c r="BJ32" s="680">
        <v>21.803349999999998</v>
      </c>
      <c r="BK32" s="681">
        <v>20.163</v>
      </c>
      <c r="BL32" s="682">
        <v>28.44622</v>
      </c>
      <c r="BN32" s="679">
        <v>21</v>
      </c>
      <c r="BO32" s="680">
        <v>67.331999999999994</v>
      </c>
      <c r="BP32" s="680">
        <v>66.536000000000001</v>
      </c>
      <c r="BQ32" s="681">
        <v>67.331999999999994</v>
      </c>
      <c r="BR32" s="682">
        <v>67.006</v>
      </c>
      <c r="BT32" s="679">
        <v>21</v>
      </c>
      <c r="BU32" s="680">
        <v>270.2</v>
      </c>
      <c r="BV32" s="680">
        <v>230.02799999999999</v>
      </c>
      <c r="BW32" s="681">
        <v>276.75400000000002</v>
      </c>
      <c r="BX32" s="682">
        <v>280.75400000000002</v>
      </c>
      <c r="BZ32" s="679">
        <v>21</v>
      </c>
      <c r="CA32" s="680">
        <v>302.959</v>
      </c>
      <c r="CB32" s="680">
        <v>238.78800000000001</v>
      </c>
      <c r="CC32" s="681">
        <v>326.68</v>
      </c>
      <c r="CD32" s="682">
        <v>355.35199999999998</v>
      </c>
      <c r="CF32" s="679">
        <v>21</v>
      </c>
      <c r="CG32" s="680"/>
      <c r="CH32" s="680"/>
      <c r="CI32" s="681"/>
      <c r="CJ32" s="682"/>
      <c r="CL32" s="679">
        <v>21</v>
      </c>
      <c r="CM32" s="680"/>
      <c r="CN32" s="680"/>
      <c r="CO32" s="681"/>
      <c r="CP32" s="682"/>
      <c r="CR32" s="679">
        <v>21</v>
      </c>
      <c r="CS32" s="680"/>
      <c r="CT32" s="680"/>
      <c r="CU32" s="681"/>
      <c r="CV32" s="682"/>
      <c r="CX32" s="679">
        <v>21</v>
      </c>
      <c r="CY32" s="680"/>
      <c r="CZ32" s="680"/>
      <c r="DA32" s="681"/>
      <c r="DB32" s="682"/>
      <c r="DD32" s="679">
        <v>21</v>
      </c>
      <c r="DE32" s="680"/>
      <c r="DF32" s="680"/>
      <c r="DG32" s="681"/>
      <c r="DH32" s="682"/>
      <c r="DJ32" s="679">
        <v>21</v>
      </c>
      <c r="DK32" s="680"/>
      <c r="DL32" s="680"/>
      <c r="DM32" s="681"/>
      <c r="DN32" s="682"/>
      <c r="DP32" s="679">
        <v>21</v>
      </c>
      <c r="DQ32" s="680"/>
      <c r="DR32" s="680"/>
      <c r="DS32" s="681"/>
      <c r="DT32" s="682"/>
      <c r="DV32" s="679">
        <v>21</v>
      </c>
      <c r="DW32" s="680"/>
      <c r="DX32" s="680"/>
      <c r="DY32" s="681"/>
      <c r="DZ32" s="682"/>
      <c r="EB32" s="619">
        <v>21</v>
      </c>
      <c r="EC32" s="620"/>
      <c r="ED32" s="620"/>
      <c r="EE32" s="621"/>
      <c r="EF32" s="623"/>
      <c r="EH32" s="619">
        <v>21</v>
      </c>
      <c r="EI32" s="620"/>
      <c r="EJ32" s="620"/>
      <c r="EK32" s="621"/>
      <c r="EL32" s="623"/>
      <c r="EN32" s="619">
        <v>21</v>
      </c>
      <c r="EO32" s="620"/>
      <c r="EP32" s="620"/>
      <c r="EQ32" s="621"/>
      <c r="ER32" s="623"/>
      <c r="ET32" s="619">
        <v>21</v>
      </c>
      <c r="EU32" s="620"/>
      <c r="EV32" s="620"/>
      <c r="EW32" s="621"/>
      <c r="EX32" s="623"/>
    </row>
    <row r="33" spans="12:154">
      <c r="L33" s="679">
        <v>22</v>
      </c>
      <c r="M33" s="680">
        <v>69.659829999999999</v>
      </c>
      <c r="N33" s="680">
        <v>40.8902</v>
      </c>
      <c r="O33" s="681">
        <v>62.15</v>
      </c>
      <c r="P33" s="682"/>
      <c r="R33" s="679">
        <v>22</v>
      </c>
      <c r="S33" s="680">
        <v>5.3753900000000003</v>
      </c>
      <c r="T33" s="680">
        <v>1.0912500000000001</v>
      </c>
      <c r="U33" s="681">
        <v>3.7270599999999998</v>
      </c>
      <c r="V33" s="682"/>
      <c r="X33" s="679">
        <v>22</v>
      </c>
      <c r="Y33" s="680">
        <v>18.079999999999998</v>
      </c>
      <c r="Z33" s="680">
        <v>21.481000000000002</v>
      </c>
      <c r="AA33" s="681">
        <v>23.905999999999999</v>
      </c>
      <c r="AB33" s="682"/>
      <c r="AD33" s="679">
        <v>22</v>
      </c>
      <c r="AE33" s="680">
        <v>361.24</v>
      </c>
      <c r="AF33" s="680">
        <v>286.34399999999999</v>
      </c>
      <c r="AG33" s="681">
        <v>385.72699999999998</v>
      </c>
      <c r="AH33" s="682"/>
      <c r="AJ33" s="679">
        <v>22</v>
      </c>
      <c r="AK33" s="680">
        <v>238.11799999999999</v>
      </c>
      <c r="AL33" s="680">
        <v>234.279</v>
      </c>
      <c r="AM33" s="681">
        <v>251.62899999999999</v>
      </c>
      <c r="AN33" s="682"/>
      <c r="AP33" s="679">
        <v>22</v>
      </c>
      <c r="AQ33" s="680">
        <v>65.72</v>
      </c>
      <c r="AR33" s="680">
        <v>20.64</v>
      </c>
      <c r="AS33" s="681">
        <v>40.799999999999997</v>
      </c>
      <c r="AT33" s="682"/>
      <c r="AV33" s="679">
        <v>22</v>
      </c>
      <c r="AW33" s="680">
        <v>183.55</v>
      </c>
      <c r="AX33" s="680">
        <v>166.18</v>
      </c>
      <c r="AY33" s="681">
        <v>208.69</v>
      </c>
      <c r="AZ33" s="682"/>
      <c r="BB33" s="679">
        <v>22</v>
      </c>
      <c r="BC33" s="680">
        <v>110.12</v>
      </c>
      <c r="BD33" s="680">
        <v>57.73</v>
      </c>
      <c r="BE33" s="681">
        <v>94.6</v>
      </c>
      <c r="BF33" s="682"/>
      <c r="BH33" s="679">
        <v>22</v>
      </c>
      <c r="BI33" s="680">
        <v>23.573619999999998</v>
      </c>
      <c r="BJ33" s="680">
        <v>21.967120000000001</v>
      </c>
      <c r="BK33" s="681">
        <v>20.62039</v>
      </c>
      <c r="BL33" s="682"/>
      <c r="BN33" s="679">
        <v>22</v>
      </c>
      <c r="BO33" s="680">
        <v>67.331999999999994</v>
      </c>
      <c r="BP33" s="680">
        <v>66.716999999999999</v>
      </c>
      <c r="BQ33" s="681">
        <v>67.331999999999994</v>
      </c>
      <c r="BR33" s="682"/>
      <c r="BT33" s="679">
        <v>22</v>
      </c>
      <c r="BU33" s="680">
        <v>269.39</v>
      </c>
      <c r="BV33" s="680">
        <v>229.274</v>
      </c>
      <c r="BW33" s="681">
        <v>276.14800000000002</v>
      </c>
      <c r="BX33" s="682"/>
      <c r="BZ33" s="679">
        <v>22</v>
      </c>
      <c r="CA33" s="680">
        <v>306.47699999999998</v>
      </c>
      <c r="CB33" s="680">
        <v>237.16800000000001</v>
      </c>
      <c r="CC33" s="681">
        <v>329.68900000000002</v>
      </c>
      <c r="CD33" s="682"/>
      <c r="CF33" s="679">
        <v>22</v>
      </c>
      <c r="CG33" s="680"/>
      <c r="CH33" s="680"/>
      <c r="CI33" s="681"/>
      <c r="CJ33" s="682"/>
      <c r="CL33" s="679">
        <v>22</v>
      </c>
      <c r="CM33" s="680"/>
      <c r="CN33" s="680"/>
      <c r="CO33" s="681"/>
      <c r="CP33" s="682"/>
      <c r="CR33" s="679">
        <v>22</v>
      </c>
      <c r="CS33" s="680"/>
      <c r="CT33" s="680"/>
      <c r="CU33" s="681"/>
      <c r="CV33" s="682"/>
      <c r="CX33" s="679">
        <v>22</v>
      </c>
      <c r="CY33" s="680"/>
      <c r="CZ33" s="680"/>
      <c r="DA33" s="681"/>
      <c r="DB33" s="682"/>
      <c r="DD33" s="679">
        <v>22</v>
      </c>
      <c r="DE33" s="680"/>
      <c r="DF33" s="680"/>
      <c r="DG33" s="681"/>
      <c r="DH33" s="682"/>
      <c r="DJ33" s="679">
        <v>22</v>
      </c>
      <c r="DK33" s="680"/>
      <c r="DL33" s="680"/>
      <c r="DM33" s="681"/>
      <c r="DN33" s="682"/>
      <c r="DP33" s="679">
        <v>22</v>
      </c>
      <c r="DQ33" s="680"/>
      <c r="DR33" s="680"/>
      <c r="DS33" s="681"/>
      <c r="DT33" s="682"/>
      <c r="DV33" s="679">
        <v>22</v>
      </c>
      <c r="DW33" s="680"/>
      <c r="DX33" s="680"/>
      <c r="DY33" s="681"/>
      <c r="DZ33" s="682"/>
      <c r="EB33" s="619">
        <v>22</v>
      </c>
      <c r="EC33" s="620"/>
      <c r="ED33" s="620"/>
      <c r="EE33" s="621"/>
      <c r="EF33" s="623"/>
      <c r="EH33" s="619">
        <v>22</v>
      </c>
      <c r="EI33" s="620"/>
      <c r="EJ33" s="620"/>
      <c r="EK33" s="621"/>
      <c r="EL33" s="623"/>
      <c r="EN33" s="619">
        <v>22</v>
      </c>
      <c r="EO33" s="620"/>
      <c r="EP33" s="620"/>
      <c r="EQ33" s="621"/>
      <c r="ER33" s="623"/>
      <c r="ET33" s="619">
        <v>22</v>
      </c>
      <c r="EU33" s="620"/>
      <c r="EV33" s="620"/>
      <c r="EW33" s="621"/>
      <c r="EX33" s="623"/>
    </row>
    <row r="34" spans="12:154">
      <c r="L34" s="679">
        <v>23</v>
      </c>
      <c r="M34" s="680">
        <v>69.960059999999999</v>
      </c>
      <c r="N34" s="680">
        <v>41.637999999999998</v>
      </c>
      <c r="O34" s="681">
        <v>62.673000000000002</v>
      </c>
      <c r="P34" s="682"/>
      <c r="R34" s="679">
        <v>23</v>
      </c>
      <c r="S34" s="680">
        <v>5.0934400000000002</v>
      </c>
      <c r="T34" s="680">
        <v>1.12653</v>
      </c>
      <c r="U34" s="681">
        <v>4.7323500000000003</v>
      </c>
      <c r="V34" s="682"/>
      <c r="X34" s="679">
        <v>23</v>
      </c>
      <c r="Y34" s="680">
        <v>17.556000000000001</v>
      </c>
      <c r="Z34" s="680">
        <v>20.527999999999999</v>
      </c>
      <c r="AA34" s="681">
        <v>23.408000000000001</v>
      </c>
      <c r="AB34" s="682"/>
      <c r="AD34" s="679">
        <v>23</v>
      </c>
      <c r="AE34" s="680">
        <v>355.44200000000001</v>
      </c>
      <c r="AF34" s="680">
        <v>281.50400000000002</v>
      </c>
      <c r="AG34" s="681">
        <v>380.12700000000001</v>
      </c>
      <c r="AH34" s="682"/>
      <c r="AJ34" s="679">
        <v>23</v>
      </c>
      <c r="AK34" s="680">
        <v>237.53299999999999</v>
      </c>
      <c r="AL34" s="680">
        <v>233.827</v>
      </c>
      <c r="AM34" s="681">
        <v>251.17400000000001</v>
      </c>
      <c r="AN34" s="682"/>
      <c r="AP34" s="679">
        <v>23</v>
      </c>
      <c r="AQ34" s="680">
        <v>65.13</v>
      </c>
      <c r="AR34" s="680">
        <v>20.92</v>
      </c>
      <c r="AS34" s="681">
        <v>40.58</v>
      </c>
      <c r="AT34" s="682"/>
      <c r="AV34" s="679">
        <v>23</v>
      </c>
      <c r="AW34" s="680">
        <v>183.63</v>
      </c>
      <c r="AX34" s="680">
        <v>166.34</v>
      </c>
      <c r="AY34" s="681">
        <v>208.92</v>
      </c>
      <c r="AZ34" s="682"/>
      <c r="BB34" s="679">
        <v>23</v>
      </c>
      <c r="BC34" s="680">
        <v>109.38</v>
      </c>
      <c r="BD34" s="680">
        <v>57.73</v>
      </c>
      <c r="BE34" s="681">
        <v>94.6</v>
      </c>
      <c r="BF34" s="682"/>
      <c r="BH34" s="679">
        <v>23</v>
      </c>
      <c r="BI34" s="680">
        <v>23.70261</v>
      </c>
      <c r="BJ34" s="680">
        <v>22.030200000000001</v>
      </c>
      <c r="BK34" s="681">
        <v>20.949079999999999</v>
      </c>
      <c r="BL34" s="682"/>
      <c r="BN34" s="679">
        <v>23</v>
      </c>
      <c r="BO34" s="680">
        <v>66.102000000000004</v>
      </c>
      <c r="BP34" s="680">
        <v>66.536000000000001</v>
      </c>
      <c r="BQ34" s="681">
        <v>67.260000000000005</v>
      </c>
      <c r="BR34" s="682"/>
      <c r="BT34" s="679">
        <v>23</v>
      </c>
      <c r="BU34" s="680">
        <v>266.01799999999997</v>
      </c>
      <c r="BV34" s="680">
        <v>225.33</v>
      </c>
      <c r="BW34" s="681">
        <v>274.89</v>
      </c>
      <c r="BX34" s="682"/>
      <c r="BZ34" s="679">
        <v>23</v>
      </c>
      <c r="CA34" s="680">
        <v>304.13</v>
      </c>
      <c r="CB34" s="680">
        <v>237.16800000000001</v>
      </c>
      <c r="CC34" s="681">
        <v>330.89499999999998</v>
      </c>
      <c r="CD34" s="682"/>
      <c r="CF34" s="679">
        <v>23</v>
      </c>
      <c r="CG34" s="680"/>
      <c r="CH34" s="680"/>
      <c r="CI34" s="681"/>
      <c r="CJ34" s="682"/>
      <c r="CL34" s="679">
        <v>23</v>
      </c>
      <c r="CM34" s="680"/>
      <c r="CN34" s="680"/>
      <c r="CO34" s="681"/>
      <c r="CP34" s="682"/>
      <c r="CR34" s="679">
        <v>23</v>
      </c>
      <c r="CS34" s="680"/>
      <c r="CT34" s="680"/>
      <c r="CU34" s="681"/>
      <c r="CV34" s="682"/>
      <c r="CX34" s="679">
        <v>23</v>
      </c>
      <c r="CY34" s="680"/>
      <c r="CZ34" s="680"/>
      <c r="DA34" s="681"/>
      <c r="DB34" s="682"/>
      <c r="DD34" s="679">
        <v>23</v>
      </c>
      <c r="DE34" s="680"/>
      <c r="DF34" s="680"/>
      <c r="DG34" s="681"/>
      <c r="DH34" s="682"/>
      <c r="DJ34" s="679">
        <v>23</v>
      </c>
      <c r="DK34" s="680"/>
      <c r="DL34" s="680"/>
      <c r="DM34" s="681"/>
      <c r="DN34" s="682"/>
      <c r="DP34" s="679">
        <v>23</v>
      </c>
      <c r="DQ34" s="680"/>
      <c r="DR34" s="680"/>
      <c r="DS34" s="681"/>
      <c r="DT34" s="682"/>
      <c r="DV34" s="679">
        <v>23</v>
      </c>
      <c r="DW34" s="680"/>
      <c r="DX34" s="680"/>
      <c r="DY34" s="681"/>
      <c r="DZ34" s="682"/>
      <c r="EB34" s="619">
        <v>23</v>
      </c>
      <c r="EC34" s="620"/>
      <c r="ED34" s="620"/>
      <c r="EE34" s="621"/>
      <c r="EF34" s="623"/>
      <c r="EH34" s="619">
        <v>23</v>
      </c>
      <c r="EI34" s="620"/>
      <c r="EJ34" s="620"/>
      <c r="EK34" s="621"/>
      <c r="EL34" s="623"/>
      <c r="EN34" s="619">
        <v>23</v>
      </c>
      <c r="EO34" s="620"/>
      <c r="EP34" s="620"/>
      <c r="EQ34" s="621"/>
      <c r="ER34" s="623"/>
      <c r="ET34" s="619">
        <v>23</v>
      </c>
      <c r="EU34" s="620"/>
      <c r="EV34" s="620"/>
      <c r="EW34" s="621"/>
      <c r="EX34" s="623"/>
    </row>
    <row r="35" spans="12:154">
      <c r="L35" s="679">
        <v>24</v>
      </c>
      <c r="M35" s="680">
        <v>68.907259999999994</v>
      </c>
      <c r="N35" s="680">
        <v>40.918999999999997</v>
      </c>
      <c r="O35" s="681">
        <v>63.195999999999998</v>
      </c>
      <c r="P35" s="682"/>
      <c r="R35" s="679">
        <v>24</v>
      </c>
      <c r="S35" s="680">
        <v>3.66709</v>
      </c>
      <c r="T35" s="680">
        <v>3.2499500000000001</v>
      </c>
      <c r="U35" s="681">
        <v>5.8893199999999997</v>
      </c>
      <c r="V35" s="682"/>
      <c r="X35" s="679">
        <v>24</v>
      </c>
      <c r="Y35" s="680">
        <v>17.36</v>
      </c>
      <c r="Z35" s="680">
        <v>19.693999999999999</v>
      </c>
      <c r="AA35" s="681">
        <v>22.940999999999999</v>
      </c>
      <c r="AB35" s="682"/>
      <c r="AD35" s="679">
        <v>24</v>
      </c>
      <c r="AE35" s="680">
        <v>349.71600000000001</v>
      </c>
      <c r="AF35" s="680">
        <v>276.69200000000001</v>
      </c>
      <c r="AG35" s="681">
        <v>374.74799999999999</v>
      </c>
      <c r="AH35" s="682"/>
      <c r="AJ35" s="679">
        <v>24</v>
      </c>
      <c r="AK35" s="680">
        <v>236.947</v>
      </c>
      <c r="AL35" s="680">
        <v>233.37200000000001</v>
      </c>
      <c r="AM35" s="681">
        <v>250.72</v>
      </c>
      <c r="AN35" s="682"/>
      <c r="AP35" s="679">
        <v>24</v>
      </c>
      <c r="AQ35" s="680">
        <v>64.02</v>
      </c>
      <c r="AR35" s="680">
        <v>21.17</v>
      </c>
      <c r="AS35" s="681">
        <v>40.369999999999997</v>
      </c>
      <c r="AT35" s="682"/>
      <c r="AV35" s="679">
        <v>24</v>
      </c>
      <c r="AW35" s="680">
        <v>183.99</v>
      </c>
      <c r="AX35" s="680">
        <v>166.05</v>
      </c>
      <c r="AY35" s="681">
        <v>209.1</v>
      </c>
      <c r="AZ35" s="682"/>
      <c r="BB35" s="679">
        <v>24</v>
      </c>
      <c r="BC35" s="680">
        <v>104.53</v>
      </c>
      <c r="BD35" s="680">
        <v>57.17</v>
      </c>
      <c r="BE35" s="681">
        <v>94.31</v>
      </c>
      <c r="BF35" s="682"/>
      <c r="BH35" s="679">
        <v>24</v>
      </c>
      <c r="BI35" s="680">
        <v>23.767189999999999</v>
      </c>
      <c r="BJ35" s="680">
        <v>22.11861</v>
      </c>
      <c r="BK35" s="681">
        <v>21.478000000000002</v>
      </c>
      <c r="BL35" s="682"/>
      <c r="BN35" s="679">
        <v>24</v>
      </c>
      <c r="BO35" s="680">
        <v>65.849000000000004</v>
      </c>
      <c r="BP35" s="680">
        <v>66.245999999999995</v>
      </c>
      <c r="BQ35" s="681">
        <v>67.260000000000005</v>
      </c>
      <c r="BR35" s="682"/>
      <c r="BT35" s="679">
        <v>24</v>
      </c>
      <c r="BU35" s="680">
        <v>262.13</v>
      </c>
      <c r="BV35" s="680">
        <v>222.2</v>
      </c>
      <c r="BW35" s="681">
        <v>275.00299999999999</v>
      </c>
      <c r="BX35" s="682"/>
      <c r="BZ35" s="679">
        <v>24</v>
      </c>
      <c r="CA35" s="680">
        <v>295.96499999999997</v>
      </c>
      <c r="CB35" s="680">
        <v>237.16800000000001</v>
      </c>
      <c r="CC35" s="681">
        <v>327.28100000000001</v>
      </c>
      <c r="CD35" s="682"/>
      <c r="CF35" s="679">
        <v>24</v>
      </c>
      <c r="CG35" s="680"/>
      <c r="CH35" s="680"/>
      <c r="CI35" s="681"/>
      <c r="CJ35" s="682"/>
      <c r="CL35" s="679">
        <v>24</v>
      </c>
      <c r="CM35" s="680"/>
      <c r="CN35" s="680"/>
      <c r="CO35" s="681"/>
      <c r="CP35" s="682"/>
      <c r="CR35" s="679">
        <v>24</v>
      </c>
      <c r="CS35" s="680"/>
      <c r="CT35" s="680"/>
      <c r="CU35" s="681"/>
      <c r="CV35" s="682"/>
      <c r="CX35" s="679">
        <v>24</v>
      </c>
      <c r="CY35" s="680"/>
      <c r="CZ35" s="680"/>
      <c r="DA35" s="681"/>
      <c r="DB35" s="682"/>
      <c r="DD35" s="679">
        <v>24</v>
      </c>
      <c r="DE35" s="680"/>
      <c r="DF35" s="680"/>
      <c r="DG35" s="681"/>
      <c r="DH35" s="682"/>
      <c r="DJ35" s="679">
        <v>24</v>
      </c>
      <c r="DK35" s="680"/>
      <c r="DL35" s="680"/>
      <c r="DM35" s="681"/>
      <c r="DN35" s="682"/>
      <c r="DP35" s="679">
        <v>24</v>
      </c>
      <c r="DQ35" s="680"/>
      <c r="DR35" s="680"/>
      <c r="DS35" s="681"/>
      <c r="DT35" s="682"/>
      <c r="DV35" s="679">
        <v>24</v>
      </c>
      <c r="DW35" s="680"/>
      <c r="DX35" s="680"/>
      <c r="DY35" s="681"/>
      <c r="DZ35" s="682"/>
      <c r="EB35" s="619">
        <v>24</v>
      </c>
      <c r="EC35" s="620"/>
      <c r="ED35" s="620"/>
      <c r="EE35" s="621"/>
      <c r="EF35" s="623"/>
      <c r="EH35" s="619">
        <v>24</v>
      </c>
      <c r="EI35" s="620"/>
      <c r="EJ35" s="620"/>
      <c r="EK35" s="621"/>
      <c r="EL35" s="623"/>
      <c r="EN35" s="619">
        <v>24</v>
      </c>
      <c r="EO35" s="620"/>
      <c r="EP35" s="620"/>
      <c r="EQ35" s="621"/>
      <c r="ER35" s="623"/>
      <c r="ET35" s="619">
        <v>24</v>
      </c>
      <c r="EU35" s="620"/>
      <c r="EV35" s="620"/>
      <c r="EW35" s="621"/>
      <c r="EX35" s="623"/>
    </row>
    <row r="36" spans="12:154">
      <c r="L36" s="679">
        <v>25</v>
      </c>
      <c r="M36" s="680">
        <v>64.805999999999997</v>
      </c>
      <c r="N36" s="680">
        <v>41.066000000000003</v>
      </c>
      <c r="O36" s="681">
        <v>61.980780000000003</v>
      </c>
      <c r="P36" s="682"/>
      <c r="R36" s="679">
        <v>25</v>
      </c>
      <c r="S36" s="680">
        <v>2.8953799999999998</v>
      </c>
      <c r="T36" s="680">
        <v>4.1758199999999999</v>
      </c>
      <c r="U36" s="681">
        <v>6.3319900000000002</v>
      </c>
      <c r="V36" s="682"/>
      <c r="X36" s="679">
        <v>25</v>
      </c>
      <c r="Y36" s="680">
        <v>17.213000000000001</v>
      </c>
      <c r="Z36" s="680">
        <v>19.245000000000001</v>
      </c>
      <c r="AA36" s="681">
        <v>22.619</v>
      </c>
      <c r="AB36" s="682"/>
      <c r="AD36" s="679">
        <v>25</v>
      </c>
      <c r="AE36" s="680">
        <v>343.78100000000001</v>
      </c>
      <c r="AF36" s="680">
        <v>271.928</v>
      </c>
      <c r="AG36" s="681">
        <v>369.84699999999998</v>
      </c>
      <c r="AH36" s="682"/>
      <c r="AJ36" s="679">
        <v>25</v>
      </c>
      <c r="AK36" s="680">
        <v>237.00399999999999</v>
      </c>
      <c r="AL36" s="680">
        <v>232.92400000000001</v>
      </c>
      <c r="AM36" s="681">
        <v>250.2</v>
      </c>
      <c r="AN36" s="682"/>
      <c r="AP36" s="679">
        <v>25</v>
      </c>
      <c r="AQ36" s="680">
        <v>61.69</v>
      </c>
      <c r="AR36" s="680">
        <v>20.96</v>
      </c>
      <c r="AS36" s="681">
        <v>40.18</v>
      </c>
      <c r="AT36" s="682"/>
      <c r="AV36" s="679">
        <v>25</v>
      </c>
      <c r="AW36" s="680">
        <v>182.36</v>
      </c>
      <c r="AX36" s="680">
        <v>163.61000000000001</v>
      </c>
      <c r="AY36" s="681">
        <v>209.26</v>
      </c>
      <c r="AZ36" s="682"/>
      <c r="BB36" s="679">
        <v>25</v>
      </c>
      <c r="BC36" s="680">
        <v>99.26</v>
      </c>
      <c r="BD36" s="680">
        <v>57.1</v>
      </c>
      <c r="BE36" s="681">
        <v>94.31</v>
      </c>
      <c r="BF36" s="682"/>
      <c r="BH36" s="679">
        <v>25</v>
      </c>
      <c r="BI36" s="680">
        <v>23.83183</v>
      </c>
      <c r="BJ36" s="680">
        <v>22.181830000000001</v>
      </c>
      <c r="BK36" s="681">
        <v>22.01127</v>
      </c>
      <c r="BL36" s="682"/>
      <c r="BN36" s="679">
        <v>25</v>
      </c>
      <c r="BO36" s="680">
        <v>65.596000000000004</v>
      </c>
      <c r="BP36" s="680">
        <v>65.956999999999994</v>
      </c>
      <c r="BQ36" s="681">
        <v>67.150999999999996</v>
      </c>
      <c r="BR36" s="682"/>
      <c r="BT36" s="679">
        <v>25</v>
      </c>
      <c r="BU36" s="680">
        <v>258.60199999999998</v>
      </c>
      <c r="BV36" s="680">
        <v>217.72399999999999</v>
      </c>
      <c r="BW36" s="681">
        <v>270.87599999999998</v>
      </c>
      <c r="BX36" s="682"/>
      <c r="BZ36" s="679">
        <v>25</v>
      </c>
      <c r="CA36" s="680">
        <v>285.57900000000001</v>
      </c>
      <c r="CB36" s="680">
        <v>237.16800000000001</v>
      </c>
      <c r="CC36" s="681">
        <v>305.80900000000003</v>
      </c>
      <c r="CD36" s="682"/>
      <c r="CF36" s="679">
        <v>25</v>
      </c>
      <c r="CG36" s="680"/>
      <c r="CH36" s="680"/>
      <c r="CI36" s="681"/>
      <c r="CJ36" s="682"/>
      <c r="CL36" s="679">
        <v>25</v>
      </c>
      <c r="CM36" s="680"/>
      <c r="CN36" s="680"/>
      <c r="CO36" s="681"/>
      <c r="CP36" s="682"/>
      <c r="CR36" s="679">
        <v>25</v>
      </c>
      <c r="CS36" s="680"/>
      <c r="CT36" s="680"/>
      <c r="CU36" s="681"/>
      <c r="CV36" s="682"/>
      <c r="CX36" s="679">
        <v>25</v>
      </c>
      <c r="CY36" s="680"/>
      <c r="CZ36" s="680"/>
      <c r="DA36" s="681"/>
      <c r="DB36" s="682"/>
      <c r="DD36" s="679">
        <v>25</v>
      </c>
      <c r="DE36" s="680"/>
      <c r="DF36" s="680"/>
      <c r="DG36" s="681"/>
      <c r="DH36" s="682"/>
      <c r="DJ36" s="679">
        <v>25</v>
      </c>
      <c r="DK36" s="680"/>
      <c r="DL36" s="680"/>
      <c r="DM36" s="681"/>
      <c r="DN36" s="682"/>
      <c r="DP36" s="679">
        <v>25</v>
      </c>
      <c r="DQ36" s="680"/>
      <c r="DR36" s="680"/>
      <c r="DS36" s="681"/>
      <c r="DT36" s="682"/>
      <c r="DV36" s="679">
        <v>25</v>
      </c>
      <c r="DW36" s="680"/>
      <c r="DX36" s="680"/>
      <c r="DY36" s="681"/>
      <c r="DZ36" s="682"/>
      <c r="EB36" s="619">
        <v>25</v>
      </c>
      <c r="EC36" s="620"/>
      <c r="ED36" s="620"/>
      <c r="EE36" s="621"/>
      <c r="EF36" s="623"/>
      <c r="EH36" s="619">
        <v>25</v>
      </c>
      <c r="EI36" s="620"/>
      <c r="EJ36" s="620"/>
      <c r="EK36" s="621"/>
      <c r="EL36" s="623"/>
      <c r="EN36" s="619">
        <v>25</v>
      </c>
      <c r="EO36" s="620"/>
      <c r="EP36" s="620"/>
      <c r="EQ36" s="621"/>
      <c r="ER36" s="623"/>
      <c r="ET36" s="619">
        <v>25</v>
      </c>
      <c r="EU36" s="620"/>
      <c r="EV36" s="620"/>
      <c r="EW36" s="621"/>
      <c r="EX36" s="623"/>
    </row>
    <row r="37" spans="12:154">
      <c r="L37" s="679">
        <v>26</v>
      </c>
      <c r="M37" s="680">
        <v>61.132330000000003</v>
      </c>
      <c r="N37" s="680">
        <v>41.326000000000001</v>
      </c>
      <c r="O37" s="681">
        <v>62.097000000000001</v>
      </c>
      <c r="P37" s="682"/>
      <c r="R37" s="679">
        <v>26</v>
      </c>
      <c r="S37" s="680">
        <v>6.5664999999999996</v>
      </c>
      <c r="T37" s="680">
        <v>1.70645</v>
      </c>
      <c r="U37" s="681">
        <v>1.5789899999999999</v>
      </c>
      <c r="V37" s="682"/>
      <c r="X37" s="679">
        <v>26</v>
      </c>
      <c r="Y37" s="680">
        <v>16.940999999999999</v>
      </c>
      <c r="Z37" s="680">
        <v>19.297999999999998</v>
      </c>
      <c r="AA37" s="681">
        <v>22.073</v>
      </c>
      <c r="AB37" s="682"/>
      <c r="AD37" s="679">
        <v>26</v>
      </c>
      <c r="AE37" s="680">
        <v>338.74799999999999</v>
      </c>
      <c r="AF37" s="680">
        <v>267.02199999999999</v>
      </c>
      <c r="AG37" s="681">
        <v>364.88600000000002</v>
      </c>
      <c r="AH37" s="682"/>
      <c r="AJ37" s="679">
        <v>26</v>
      </c>
      <c r="AK37" s="680">
        <v>236.74799999999999</v>
      </c>
      <c r="AL37" s="680">
        <v>232.47300000000001</v>
      </c>
      <c r="AM37" s="681">
        <v>249.745</v>
      </c>
      <c r="AN37" s="682"/>
      <c r="AP37" s="679">
        <v>26</v>
      </c>
      <c r="AQ37" s="680">
        <v>56.96</v>
      </c>
      <c r="AR37" s="680">
        <v>20.89</v>
      </c>
      <c r="AS37" s="681">
        <v>39.94</v>
      </c>
      <c r="AT37" s="682"/>
      <c r="AV37" s="679">
        <v>26</v>
      </c>
      <c r="AW37" s="680">
        <v>182.08</v>
      </c>
      <c r="AX37" s="680">
        <v>160.47</v>
      </c>
      <c r="AY37" s="681">
        <v>209.31</v>
      </c>
      <c r="AZ37" s="682"/>
      <c r="BB37" s="679">
        <v>26</v>
      </c>
      <c r="BC37" s="680">
        <v>94.02</v>
      </c>
      <c r="BD37" s="680">
        <v>56.61</v>
      </c>
      <c r="BE37" s="681">
        <v>94.31</v>
      </c>
      <c r="BF37" s="682"/>
      <c r="BH37" s="679">
        <v>26</v>
      </c>
      <c r="BI37" s="680">
        <v>23.883579999999998</v>
      </c>
      <c r="BJ37" s="680">
        <v>22.23244</v>
      </c>
      <c r="BK37" s="681">
        <v>22.48095</v>
      </c>
      <c r="BL37" s="682"/>
      <c r="BN37" s="679">
        <v>26</v>
      </c>
      <c r="BO37" s="680">
        <v>65.271000000000001</v>
      </c>
      <c r="BP37" s="680">
        <v>65.668000000000006</v>
      </c>
      <c r="BQ37" s="681">
        <v>66.97</v>
      </c>
      <c r="BR37" s="682"/>
      <c r="BT37" s="679">
        <v>26</v>
      </c>
      <c r="BU37" s="680">
        <v>253.72200000000001</v>
      </c>
      <c r="BV37" s="680">
        <v>212.96700000000001</v>
      </c>
      <c r="BW37" s="681">
        <v>264.53699999999998</v>
      </c>
      <c r="BX37" s="682"/>
      <c r="BZ37" s="679">
        <v>26</v>
      </c>
      <c r="CA37" s="680">
        <v>274.75400000000002</v>
      </c>
      <c r="CB37" s="680">
        <v>237.16800000000001</v>
      </c>
      <c r="CC37" s="681">
        <v>294.80399999999997</v>
      </c>
      <c r="CD37" s="682"/>
      <c r="CF37" s="679">
        <v>26</v>
      </c>
      <c r="CG37" s="680"/>
      <c r="CH37" s="680"/>
      <c r="CI37" s="681"/>
      <c r="CJ37" s="682"/>
      <c r="CL37" s="679">
        <v>26</v>
      </c>
      <c r="CM37" s="680"/>
      <c r="CN37" s="680"/>
      <c r="CO37" s="681"/>
      <c r="CP37" s="682"/>
      <c r="CR37" s="679">
        <v>26</v>
      </c>
      <c r="CS37" s="680"/>
      <c r="CT37" s="680"/>
      <c r="CU37" s="681"/>
      <c r="CV37" s="682"/>
      <c r="CX37" s="679">
        <v>26</v>
      </c>
      <c r="CY37" s="680"/>
      <c r="CZ37" s="680"/>
      <c r="DA37" s="681"/>
      <c r="DB37" s="682"/>
      <c r="DD37" s="679">
        <v>26</v>
      </c>
      <c r="DE37" s="680"/>
      <c r="DF37" s="680"/>
      <c r="DG37" s="681"/>
      <c r="DH37" s="682"/>
      <c r="DJ37" s="679">
        <v>26</v>
      </c>
      <c r="DK37" s="680"/>
      <c r="DL37" s="680"/>
      <c r="DM37" s="681"/>
      <c r="DN37" s="682"/>
      <c r="DP37" s="679">
        <v>26</v>
      </c>
      <c r="DQ37" s="680"/>
      <c r="DR37" s="680"/>
      <c r="DS37" s="681"/>
      <c r="DT37" s="682"/>
      <c r="DV37" s="679">
        <v>26</v>
      </c>
      <c r="DW37" s="680"/>
      <c r="DX37" s="680"/>
      <c r="DY37" s="681"/>
      <c r="DZ37" s="682"/>
      <c r="EB37" s="619">
        <v>26</v>
      </c>
      <c r="EC37" s="620"/>
      <c r="ED37" s="620"/>
      <c r="EE37" s="621"/>
      <c r="EF37" s="623"/>
      <c r="EH37" s="619">
        <v>26</v>
      </c>
      <c r="EI37" s="620"/>
      <c r="EJ37" s="620"/>
      <c r="EK37" s="621"/>
      <c r="EL37" s="623"/>
      <c r="EN37" s="619">
        <v>26</v>
      </c>
      <c r="EO37" s="620"/>
      <c r="EP37" s="620"/>
      <c r="EQ37" s="621"/>
      <c r="ER37" s="623"/>
      <c r="ET37" s="619">
        <v>26</v>
      </c>
      <c r="EU37" s="620"/>
      <c r="EV37" s="620"/>
      <c r="EW37" s="621"/>
      <c r="EX37" s="623"/>
    </row>
    <row r="38" spans="12:154">
      <c r="L38" s="679">
        <v>27</v>
      </c>
      <c r="M38" s="680">
        <v>56.971089999999997</v>
      </c>
      <c r="N38" s="680">
        <v>41.364260000000002</v>
      </c>
      <c r="O38" s="681">
        <v>62.957000000000001</v>
      </c>
      <c r="P38" s="682"/>
      <c r="R38" s="679">
        <v>27</v>
      </c>
      <c r="S38" s="680">
        <v>2.6896300000000002</v>
      </c>
      <c r="T38" s="680">
        <v>2.9669400000000001</v>
      </c>
      <c r="U38" s="681">
        <v>3.1461399999999999</v>
      </c>
      <c r="V38" s="682"/>
      <c r="X38" s="679">
        <v>27</v>
      </c>
      <c r="Y38" s="680">
        <v>16.646000000000001</v>
      </c>
      <c r="Z38" s="680">
        <v>19.651</v>
      </c>
      <c r="AA38" s="681">
        <v>21.271999999999998</v>
      </c>
      <c r="AB38" s="682"/>
      <c r="AD38" s="679">
        <v>27</v>
      </c>
      <c r="AE38" s="680">
        <v>333.93799999999999</v>
      </c>
      <c r="AF38" s="680">
        <v>262.37</v>
      </c>
      <c r="AG38" s="681">
        <v>359.62599999999998</v>
      </c>
      <c r="AH38" s="682"/>
      <c r="AJ38" s="679">
        <v>27</v>
      </c>
      <c r="AK38" s="680">
        <v>236.29599999999999</v>
      </c>
      <c r="AL38" s="680">
        <v>232.02099999999999</v>
      </c>
      <c r="AM38" s="681">
        <v>249.35599999999999</v>
      </c>
      <c r="AN38" s="682"/>
      <c r="AP38" s="679">
        <v>27</v>
      </c>
      <c r="AQ38" s="680">
        <v>54.69</v>
      </c>
      <c r="AR38" s="680">
        <v>20.22</v>
      </c>
      <c r="AS38" s="681">
        <v>39.659999999999997</v>
      </c>
      <c r="AT38" s="682"/>
      <c r="AV38" s="679">
        <v>27</v>
      </c>
      <c r="AW38" s="680">
        <v>181.86</v>
      </c>
      <c r="AX38" s="680">
        <v>151.53</v>
      </c>
      <c r="AY38" s="681">
        <v>210.68</v>
      </c>
      <c r="AZ38" s="682"/>
      <c r="BB38" s="679">
        <v>27</v>
      </c>
      <c r="BC38" s="680">
        <v>92.71</v>
      </c>
      <c r="BD38" s="680">
        <v>56.61</v>
      </c>
      <c r="BE38" s="681">
        <v>94.31</v>
      </c>
      <c r="BF38" s="682"/>
      <c r="BH38" s="679">
        <v>27</v>
      </c>
      <c r="BI38" s="680">
        <v>23.909459999999999</v>
      </c>
      <c r="BJ38" s="680">
        <v>22.270420000000001</v>
      </c>
      <c r="BK38" s="681">
        <v>20.485520000000001</v>
      </c>
      <c r="BL38" s="682"/>
      <c r="BN38" s="679">
        <v>27</v>
      </c>
      <c r="BO38" s="680">
        <v>64.802999999999997</v>
      </c>
      <c r="BP38" s="680">
        <v>65.307000000000002</v>
      </c>
      <c r="BQ38" s="681">
        <v>66.861000000000004</v>
      </c>
      <c r="BR38" s="682"/>
      <c r="BT38" s="679">
        <v>27</v>
      </c>
      <c r="BU38" s="680">
        <v>246.78</v>
      </c>
      <c r="BV38" s="680">
        <v>206.529</v>
      </c>
      <c r="BW38" s="681">
        <v>261.25</v>
      </c>
      <c r="BX38" s="682"/>
      <c r="BZ38" s="679">
        <v>27</v>
      </c>
      <c r="CA38" s="680">
        <v>261.839</v>
      </c>
      <c r="CB38" s="680">
        <v>237.16800000000001</v>
      </c>
      <c r="CC38" s="681">
        <v>279.86399999999998</v>
      </c>
      <c r="CD38" s="682"/>
      <c r="CF38" s="679">
        <v>27</v>
      </c>
      <c r="CG38" s="680"/>
      <c r="CH38" s="680"/>
      <c r="CI38" s="681"/>
      <c r="CJ38" s="682"/>
      <c r="CL38" s="679">
        <v>27</v>
      </c>
      <c r="CM38" s="680"/>
      <c r="CN38" s="680"/>
      <c r="CO38" s="681"/>
      <c r="CP38" s="682"/>
      <c r="CR38" s="679">
        <v>27</v>
      </c>
      <c r="CS38" s="680"/>
      <c r="CT38" s="680"/>
      <c r="CU38" s="681"/>
      <c r="CV38" s="682"/>
      <c r="CX38" s="679">
        <v>27</v>
      </c>
      <c r="CY38" s="680"/>
      <c r="CZ38" s="680"/>
      <c r="DA38" s="681"/>
      <c r="DB38" s="682"/>
      <c r="DD38" s="679">
        <v>27</v>
      </c>
      <c r="DE38" s="680"/>
      <c r="DF38" s="680"/>
      <c r="DG38" s="681"/>
      <c r="DH38" s="682"/>
      <c r="DJ38" s="679">
        <v>27</v>
      </c>
      <c r="DK38" s="680"/>
      <c r="DL38" s="680"/>
      <c r="DM38" s="681"/>
      <c r="DN38" s="682"/>
      <c r="DP38" s="679">
        <v>27</v>
      </c>
      <c r="DQ38" s="680"/>
      <c r="DR38" s="680"/>
      <c r="DS38" s="681"/>
      <c r="DT38" s="682"/>
      <c r="DV38" s="679">
        <v>27</v>
      </c>
      <c r="DW38" s="680"/>
      <c r="DX38" s="680"/>
      <c r="DY38" s="681"/>
      <c r="DZ38" s="682"/>
      <c r="EB38" s="619">
        <v>27</v>
      </c>
      <c r="EC38" s="620"/>
      <c r="ED38" s="620"/>
      <c r="EE38" s="621"/>
      <c r="EF38" s="623"/>
      <c r="EH38" s="619">
        <v>27</v>
      </c>
      <c r="EI38" s="620"/>
      <c r="EJ38" s="620"/>
      <c r="EK38" s="621"/>
      <c r="EL38" s="623"/>
      <c r="EN38" s="619">
        <v>27</v>
      </c>
      <c r="EO38" s="620"/>
      <c r="EP38" s="620"/>
      <c r="EQ38" s="621"/>
      <c r="ER38" s="623"/>
      <c r="ET38" s="619">
        <v>27</v>
      </c>
      <c r="EU38" s="620"/>
      <c r="EV38" s="620"/>
      <c r="EW38" s="621"/>
      <c r="EX38" s="623"/>
    </row>
    <row r="39" spans="12:154">
      <c r="L39" s="679">
        <v>28</v>
      </c>
      <c r="M39" s="680">
        <v>51.164000000000001</v>
      </c>
      <c r="N39" s="680">
        <v>41.390999999999998</v>
      </c>
      <c r="O39" s="681">
        <v>63.361440000000002</v>
      </c>
      <c r="P39" s="682"/>
      <c r="R39" s="679">
        <v>28</v>
      </c>
      <c r="S39" s="680">
        <v>6.0178700000000003</v>
      </c>
      <c r="T39" s="680">
        <v>4.0349500000000003</v>
      </c>
      <c r="U39" s="681">
        <v>5.0529400000000004</v>
      </c>
      <c r="V39" s="682"/>
      <c r="X39" s="679">
        <v>28</v>
      </c>
      <c r="Y39" s="680">
        <v>16.148</v>
      </c>
      <c r="Z39" s="680">
        <v>19.282</v>
      </c>
      <c r="AA39" s="681">
        <v>20.292999999999999</v>
      </c>
      <c r="AB39" s="682"/>
      <c r="AD39" s="679">
        <v>28</v>
      </c>
      <c r="AE39" s="680">
        <v>326.92200000000003</v>
      </c>
      <c r="AF39" s="680">
        <v>258.77499999999998</v>
      </c>
      <c r="AG39" s="681">
        <v>354.04700000000003</v>
      </c>
      <c r="AH39" s="682"/>
      <c r="AJ39" s="679">
        <v>28</v>
      </c>
      <c r="AK39" s="680">
        <v>235.649</v>
      </c>
      <c r="AL39" s="680">
        <v>231.69900000000001</v>
      </c>
      <c r="AM39" s="681">
        <v>249.09200000000001</v>
      </c>
      <c r="AN39" s="682"/>
      <c r="AP39" s="679">
        <v>28</v>
      </c>
      <c r="AQ39" s="680">
        <v>55.6</v>
      </c>
      <c r="AR39" s="680">
        <v>19.739999999999998</v>
      </c>
      <c r="AS39" s="681">
        <v>39.28</v>
      </c>
      <c r="AT39" s="682"/>
      <c r="AV39" s="679">
        <v>28</v>
      </c>
      <c r="AW39" s="680">
        <v>181.48</v>
      </c>
      <c r="AX39" s="680">
        <v>146.47</v>
      </c>
      <c r="AY39" s="681">
        <v>209.05</v>
      </c>
      <c r="AZ39" s="682"/>
      <c r="BB39" s="679">
        <v>28</v>
      </c>
      <c r="BC39" s="680">
        <v>92.56</v>
      </c>
      <c r="BD39" s="680">
        <v>56.05</v>
      </c>
      <c r="BE39" s="681">
        <v>94.31</v>
      </c>
      <c r="BF39" s="682"/>
      <c r="BH39" s="679">
        <v>28</v>
      </c>
      <c r="BI39" s="680">
        <v>23.948309999999999</v>
      </c>
      <c r="BJ39" s="680">
        <v>20.965240000000001</v>
      </c>
      <c r="BK39" s="681">
        <v>20.5017</v>
      </c>
      <c r="BL39" s="682"/>
      <c r="BN39" s="679">
        <v>28</v>
      </c>
      <c r="BO39" s="680">
        <v>64.442999999999998</v>
      </c>
      <c r="BP39" s="680">
        <v>64.406999999999996</v>
      </c>
      <c r="BQ39" s="681">
        <v>66.644000000000005</v>
      </c>
      <c r="BR39" s="682"/>
      <c r="BT39" s="679">
        <v>28</v>
      </c>
      <c r="BU39" s="680">
        <v>241.68</v>
      </c>
      <c r="BV39" s="680">
        <v>202.28200000000001</v>
      </c>
      <c r="BW39" s="681">
        <v>254.369</v>
      </c>
      <c r="BX39" s="682"/>
      <c r="BZ39" s="679">
        <v>28</v>
      </c>
      <c r="CA39" s="680">
        <v>249.13</v>
      </c>
      <c r="CB39" s="680">
        <v>224.33500000000001</v>
      </c>
      <c r="CC39" s="681">
        <v>265.18799999999999</v>
      </c>
      <c r="CD39" s="682"/>
      <c r="CF39" s="679">
        <v>28</v>
      </c>
      <c r="CG39" s="680"/>
      <c r="CH39" s="680"/>
      <c r="CI39" s="681"/>
      <c r="CJ39" s="682"/>
      <c r="CL39" s="679">
        <v>28</v>
      </c>
      <c r="CM39" s="680"/>
      <c r="CN39" s="680"/>
      <c r="CO39" s="681"/>
      <c r="CP39" s="682"/>
      <c r="CR39" s="679">
        <v>28</v>
      </c>
      <c r="CS39" s="680"/>
      <c r="CT39" s="680"/>
      <c r="CU39" s="681"/>
      <c r="CV39" s="682"/>
      <c r="CX39" s="679">
        <v>28</v>
      </c>
      <c r="CY39" s="680"/>
      <c r="CZ39" s="680"/>
      <c r="DA39" s="681"/>
      <c r="DB39" s="682"/>
      <c r="DD39" s="679">
        <v>28</v>
      </c>
      <c r="DE39" s="680"/>
      <c r="DF39" s="680"/>
      <c r="DG39" s="681"/>
      <c r="DH39" s="682"/>
      <c r="DJ39" s="679">
        <v>28</v>
      </c>
      <c r="DK39" s="680"/>
      <c r="DL39" s="680"/>
      <c r="DM39" s="681"/>
      <c r="DN39" s="682"/>
      <c r="DP39" s="679">
        <v>28</v>
      </c>
      <c r="DQ39" s="680"/>
      <c r="DR39" s="680"/>
      <c r="DS39" s="681"/>
      <c r="DT39" s="682"/>
      <c r="DV39" s="679">
        <v>28</v>
      </c>
      <c r="DW39" s="680"/>
      <c r="DX39" s="680"/>
      <c r="DY39" s="681"/>
      <c r="DZ39" s="682"/>
      <c r="EB39" s="619">
        <v>28</v>
      </c>
      <c r="EC39" s="620"/>
      <c r="ED39" s="620"/>
      <c r="EE39" s="621"/>
      <c r="EF39" s="623"/>
      <c r="EH39" s="619">
        <v>28</v>
      </c>
      <c r="EI39" s="620"/>
      <c r="EJ39" s="620"/>
      <c r="EK39" s="621"/>
      <c r="EL39" s="623"/>
      <c r="EN39" s="619">
        <v>28</v>
      </c>
      <c r="EO39" s="620"/>
      <c r="EP39" s="620"/>
      <c r="EQ39" s="621"/>
      <c r="ER39" s="623"/>
      <c r="ET39" s="619">
        <v>28</v>
      </c>
      <c r="EU39" s="620"/>
      <c r="EV39" s="620"/>
      <c r="EW39" s="621"/>
      <c r="EX39" s="623"/>
    </row>
    <row r="40" spans="12:154">
      <c r="L40" s="679">
        <v>29</v>
      </c>
      <c r="M40" s="680">
        <v>48.278820000000003</v>
      </c>
      <c r="N40" s="680">
        <v>41.505000000000003</v>
      </c>
      <c r="O40" s="681">
        <v>61.584000000000003</v>
      </c>
      <c r="P40" s="682"/>
      <c r="R40" s="679">
        <v>29</v>
      </c>
      <c r="S40" s="680">
        <v>4.0867800000000001</v>
      </c>
      <c r="T40" s="680">
        <v>7.3959700000000002</v>
      </c>
      <c r="U40" s="681">
        <v>5.2208199999999998</v>
      </c>
      <c r="V40" s="682"/>
      <c r="X40" s="679">
        <v>29</v>
      </c>
      <c r="Y40" s="680">
        <v>15.862</v>
      </c>
      <c r="Z40" s="680">
        <v>19.079999999999998</v>
      </c>
      <c r="AA40" s="681">
        <v>19.414000000000001</v>
      </c>
      <c r="AB40" s="682"/>
      <c r="AD40" s="679">
        <v>29</v>
      </c>
      <c r="AE40" s="680">
        <v>320.94</v>
      </c>
      <c r="AF40" s="680">
        <v>253.39599999999999</v>
      </c>
      <c r="AG40" s="681">
        <v>348.47399999999999</v>
      </c>
      <c r="AH40" s="682"/>
      <c r="AJ40" s="679">
        <v>29</v>
      </c>
      <c r="AK40" s="680">
        <v>235.18899999999999</v>
      </c>
      <c r="AL40" s="680">
        <v>231.31200000000001</v>
      </c>
      <c r="AM40" s="681">
        <v>248.64099999999999</v>
      </c>
      <c r="AN40" s="682"/>
      <c r="AP40" s="679">
        <v>29</v>
      </c>
      <c r="AQ40" s="680">
        <v>53.7</v>
      </c>
      <c r="AR40" s="680">
        <v>18.75</v>
      </c>
      <c r="AS40" s="681">
        <v>38.18</v>
      </c>
      <c r="AT40" s="682"/>
      <c r="AV40" s="679">
        <v>29</v>
      </c>
      <c r="AW40" s="680">
        <v>180.88</v>
      </c>
      <c r="AX40" s="680">
        <v>141.34</v>
      </c>
      <c r="AY40" s="681">
        <v>208.93</v>
      </c>
      <c r="AZ40" s="682"/>
      <c r="BB40" s="679">
        <v>29</v>
      </c>
      <c r="BC40" s="680">
        <v>91.69</v>
      </c>
      <c r="BD40" s="680">
        <v>54.37</v>
      </c>
      <c r="BE40" s="681">
        <v>94.31</v>
      </c>
      <c r="BF40" s="682"/>
      <c r="BH40" s="679">
        <v>29</v>
      </c>
      <c r="BI40" s="680">
        <v>24.000139999999998</v>
      </c>
      <c r="BJ40" s="680">
        <v>17.818259999999999</v>
      </c>
      <c r="BK40" s="681">
        <v>20.568439999999999</v>
      </c>
      <c r="BL40" s="682"/>
      <c r="BN40" s="679">
        <v>29</v>
      </c>
      <c r="BO40" s="680">
        <v>62.325000000000003</v>
      </c>
      <c r="BP40" s="680">
        <v>58.485999999999997</v>
      </c>
      <c r="BQ40" s="681">
        <v>65.271000000000001</v>
      </c>
      <c r="BR40" s="682"/>
      <c r="BT40" s="679">
        <v>29</v>
      </c>
      <c r="BU40" s="680">
        <v>236.73</v>
      </c>
      <c r="BV40" s="680">
        <v>199.15700000000001</v>
      </c>
      <c r="BW40" s="681">
        <v>250.77500000000001</v>
      </c>
      <c r="BX40" s="682"/>
      <c r="BZ40" s="679">
        <v>29</v>
      </c>
      <c r="CA40" s="680">
        <v>235.55199999999999</v>
      </c>
      <c r="CB40" s="680">
        <v>237.16800000000001</v>
      </c>
      <c r="CC40" s="681">
        <v>252.17099999999999</v>
      </c>
      <c r="CD40" s="682"/>
      <c r="CF40" s="679">
        <v>29</v>
      </c>
      <c r="CG40" s="680"/>
      <c r="CH40" s="680"/>
      <c r="CI40" s="681"/>
      <c r="CJ40" s="682"/>
      <c r="CL40" s="679">
        <v>29</v>
      </c>
      <c r="CM40" s="680"/>
      <c r="CN40" s="680"/>
      <c r="CO40" s="681"/>
      <c r="CP40" s="682"/>
      <c r="CR40" s="679">
        <v>29</v>
      </c>
      <c r="CS40" s="680"/>
      <c r="CT40" s="680"/>
      <c r="CU40" s="681"/>
      <c r="CV40" s="682"/>
      <c r="CX40" s="679">
        <v>29</v>
      </c>
      <c r="CY40" s="680"/>
      <c r="CZ40" s="680"/>
      <c r="DA40" s="681"/>
      <c r="DB40" s="682"/>
      <c r="DD40" s="679">
        <v>29</v>
      </c>
      <c r="DE40" s="680"/>
      <c r="DF40" s="680"/>
      <c r="DG40" s="681"/>
      <c r="DH40" s="682"/>
      <c r="DJ40" s="679">
        <v>29</v>
      </c>
      <c r="DK40" s="680"/>
      <c r="DL40" s="680"/>
      <c r="DM40" s="681"/>
      <c r="DN40" s="682"/>
      <c r="DP40" s="679">
        <v>29</v>
      </c>
      <c r="DQ40" s="680"/>
      <c r="DR40" s="680"/>
      <c r="DS40" s="681"/>
      <c r="DT40" s="682"/>
      <c r="DV40" s="679">
        <v>29</v>
      </c>
      <c r="DW40" s="680"/>
      <c r="DX40" s="680"/>
      <c r="DY40" s="681"/>
      <c r="DZ40" s="682"/>
      <c r="EB40" s="619">
        <v>29</v>
      </c>
      <c r="EC40" s="620"/>
      <c r="ED40" s="620"/>
      <c r="EE40" s="621"/>
      <c r="EF40" s="623"/>
      <c r="EH40" s="619">
        <v>29</v>
      </c>
      <c r="EI40" s="620"/>
      <c r="EJ40" s="620"/>
      <c r="EK40" s="621"/>
      <c r="EL40" s="623"/>
      <c r="EN40" s="619">
        <v>29</v>
      </c>
      <c r="EO40" s="620"/>
      <c r="EP40" s="620"/>
      <c r="EQ40" s="621"/>
      <c r="ER40" s="623"/>
      <c r="ET40" s="619">
        <v>29</v>
      </c>
      <c r="EU40" s="620"/>
      <c r="EV40" s="620"/>
      <c r="EW40" s="621"/>
      <c r="EX40" s="623"/>
    </row>
    <row r="41" spans="12:154">
      <c r="L41" s="679">
        <v>30</v>
      </c>
      <c r="M41" s="680">
        <v>44.666820000000001</v>
      </c>
      <c r="N41" s="680">
        <v>38.171999999999997</v>
      </c>
      <c r="O41" s="681">
        <v>58.3611</v>
      </c>
      <c r="P41" s="682"/>
      <c r="R41" s="679">
        <v>30</v>
      </c>
      <c r="S41" s="680">
        <v>5.9424700000000001</v>
      </c>
      <c r="T41" s="680">
        <v>11.44375</v>
      </c>
      <c r="U41" s="681">
        <v>8.7349599999999992</v>
      </c>
      <c r="V41" s="682"/>
      <c r="X41" s="679">
        <v>30</v>
      </c>
      <c r="Y41" s="680">
        <v>15.571</v>
      </c>
      <c r="Z41" s="680">
        <v>17.611000000000001</v>
      </c>
      <c r="AA41" s="681">
        <v>18.855</v>
      </c>
      <c r="AB41" s="682"/>
      <c r="AD41" s="679">
        <v>30</v>
      </c>
      <c r="AE41" s="680">
        <v>315.70600000000002</v>
      </c>
      <c r="AF41" s="680">
        <v>248.548</v>
      </c>
      <c r="AG41" s="681">
        <v>342.58</v>
      </c>
      <c r="AH41" s="682"/>
      <c r="AJ41" s="679">
        <v>30</v>
      </c>
      <c r="AK41" s="680">
        <v>234.667</v>
      </c>
      <c r="AL41" s="680">
        <v>231.053</v>
      </c>
      <c r="AM41" s="681">
        <v>248.251</v>
      </c>
      <c r="AN41" s="682"/>
      <c r="AP41" s="679">
        <v>30</v>
      </c>
      <c r="AQ41" s="680">
        <v>47.68</v>
      </c>
      <c r="AR41" s="680">
        <v>15.821</v>
      </c>
      <c r="AS41" s="681">
        <v>37</v>
      </c>
      <c r="AT41" s="682"/>
      <c r="AV41" s="679">
        <v>30</v>
      </c>
      <c r="AW41" s="680">
        <v>177.18</v>
      </c>
      <c r="AX41" s="680">
        <v>131.79</v>
      </c>
      <c r="AY41" s="681">
        <v>207.48</v>
      </c>
      <c r="AZ41" s="682"/>
      <c r="BB41" s="679">
        <v>30</v>
      </c>
      <c r="BC41" s="680">
        <v>91.4</v>
      </c>
      <c r="BD41" s="680">
        <v>50.18</v>
      </c>
      <c r="BE41" s="681">
        <v>92.56</v>
      </c>
      <c r="BF41" s="682"/>
      <c r="BH41" s="679">
        <v>30</v>
      </c>
      <c r="BI41" s="680">
        <v>24.026060000000001</v>
      </c>
      <c r="BJ41" s="680">
        <v>14.810510000000001</v>
      </c>
      <c r="BK41" s="681">
        <v>22.21725</v>
      </c>
      <c r="BL41" s="682"/>
      <c r="BN41" s="679">
        <v>30</v>
      </c>
      <c r="BO41" s="680">
        <v>59.652000000000001</v>
      </c>
      <c r="BP41" s="680">
        <v>50.963000000000001</v>
      </c>
      <c r="BQ41" s="681">
        <v>61.753</v>
      </c>
      <c r="BR41" s="682"/>
      <c r="BT41" s="679">
        <v>30</v>
      </c>
      <c r="BU41" s="680">
        <v>232.23</v>
      </c>
      <c r="BV41" s="680">
        <v>195.05699999999999</v>
      </c>
      <c r="BW41" s="681">
        <v>244.952</v>
      </c>
      <c r="BX41" s="682"/>
      <c r="BZ41" s="679">
        <v>30</v>
      </c>
      <c r="CA41" s="680">
        <v>220.107</v>
      </c>
      <c r="CB41" s="680">
        <v>204.99100000000001</v>
      </c>
      <c r="CC41" s="681">
        <v>233.93899999999999</v>
      </c>
      <c r="CD41" s="682"/>
      <c r="CF41" s="679">
        <v>30</v>
      </c>
      <c r="CG41" s="680"/>
      <c r="CH41" s="680"/>
      <c r="CI41" s="681"/>
      <c r="CJ41" s="682"/>
      <c r="CL41" s="679">
        <v>30</v>
      </c>
      <c r="CM41" s="680"/>
      <c r="CN41" s="680"/>
      <c r="CO41" s="681"/>
      <c r="CP41" s="682"/>
      <c r="CR41" s="679">
        <v>30</v>
      </c>
      <c r="CS41" s="680"/>
      <c r="CT41" s="680"/>
      <c r="CU41" s="681"/>
      <c r="CV41" s="682"/>
      <c r="CX41" s="679">
        <v>30</v>
      </c>
      <c r="CY41" s="680"/>
      <c r="CZ41" s="680"/>
      <c r="DA41" s="681"/>
      <c r="DB41" s="682"/>
      <c r="DD41" s="679">
        <v>30</v>
      </c>
      <c r="DE41" s="680"/>
      <c r="DF41" s="680"/>
      <c r="DG41" s="681"/>
      <c r="DH41" s="682"/>
      <c r="DJ41" s="679">
        <v>30</v>
      </c>
      <c r="DK41" s="680"/>
      <c r="DL41" s="680"/>
      <c r="DM41" s="681"/>
      <c r="DN41" s="682"/>
      <c r="DP41" s="679">
        <v>30</v>
      </c>
      <c r="DQ41" s="680"/>
      <c r="DR41" s="680"/>
      <c r="DS41" s="681"/>
      <c r="DT41" s="682"/>
      <c r="DV41" s="679">
        <v>30</v>
      </c>
      <c r="DW41" s="680"/>
      <c r="DX41" s="680"/>
      <c r="DY41" s="681"/>
      <c r="DZ41" s="682"/>
      <c r="EB41" s="619">
        <v>30</v>
      </c>
      <c r="EC41" s="620"/>
      <c r="ED41" s="620"/>
      <c r="EE41" s="621"/>
      <c r="EF41" s="623"/>
      <c r="EH41" s="619">
        <v>30</v>
      </c>
      <c r="EI41" s="620"/>
      <c r="EJ41" s="620"/>
      <c r="EK41" s="621"/>
      <c r="EL41" s="623"/>
      <c r="EN41" s="619">
        <v>30</v>
      </c>
      <c r="EO41" s="620"/>
      <c r="EP41" s="620"/>
      <c r="EQ41" s="621"/>
      <c r="ER41" s="623"/>
      <c r="ET41" s="619">
        <v>30</v>
      </c>
      <c r="EU41" s="620"/>
      <c r="EV41" s="620"/>
      <c r="EW41" s="621"/>
      <c r="EX41" s="623"/>
    </row>
    <row r="42" spans="12:154">
      <c r="L42" s="679">
        <v>31</v>
      </c>
      <c r="M42" s="680">
        <v>37.41572</v>
      </c>
      <c r="N42" s="680">
        <v>24.141680000000001</v>
      </c>
      <c r="O42" s="681">
        <v>55.052599999999998</v>
      </c>
      <c r="P42" s="682"/>
      <c r="R42" s="679">
        <v>31</v>
      </c>
      <c r="S42" s="680">
        <v>7.4400399999999998</v>
      </c>
      <c r="T42" s="680">
        <v>8.5923200000000008</v>
      </c>
      <c r="U42" s="681">
        <v>2.6123500000000002</v>
      </c>
      <c r="V42" s="682"/>
      <c r="X42" s="679">
        <v>31</v>
      </c>
      <c r="Y42" s="680">
        <v>13.712</v>
      </c>
      <c r="Z42" s="680">
        <v>16.771999999999998</v>
      </c>
      <c r="AA42" s="681">
        <v>18.468</v>
      </c>
      <c r="AB42" s="682"/>
      <c r="AD42" s="679">
        <v>31</v>
      </c>
      <c r="AE42" s="680">
        <v>307.63</v>
      </c>
      <c r="AF42" s="680">
        <v>244.14400000000001</v>
      </c>
      <c r="AG42" s="681">
        <v>336.89400000000001</v>
      </c>
      <c r="AH42" s="682"/>
      <c r="AJ42" s="679">
        <v>31</v>
      </c>
      <c r="AK42" s="680">
        <v>234.089</v>
      </c>
      <c r="AL42" s="680">
        <v>230.614</v>
      </c>
      <c r="AM42" s="681">
        <v>247.732</v>
      </c>
      <c r="AN42" s="682"/>
      <c r="AP42" s="679">
        <v>31</v>
      </c>
      <c r="AQ42" s="680">
        <v>43.15</v>
      </c>
      <c r="AR42" s="680">
        <v>14.951000000000001</v>
      </c>
      <c r="AS42" s="681">
        <v>35.64</v>
      </c>
      <c r="AT42" s="682"/>
      <c r="AV42" s="679">
        <v>31</v>
      </c>
      <c r="AW42" s="680">
        <v>174.62</v>
      </c>
      <c r="AX42" s="680">
        <v>122.2</v>
      </c>
      <c r="AY42" s="681">
        <v>199.74</v>
      </c>
      <c r="AZ42" s="682"/>
      <c r="BB42" s="679">
        <v>31</v>
      </c>
      <c r="BC42" s="680">
        <v>90.82</v>
      </c>
      <c r="BD42" s="680">
        <v>44.63</v>
      </c>
      <c r="BE42" s="681">
        <v>91.69</v>
      </c>
      <c r="BF42" s="682"/>
      <c r="BH42" s="679">
        <v>31</v>
      </c>
      <c r="BI42" s="680">
        <v>24.03903</v>
      </c>
      <c r="BJ42" s="680">
        <v>13.64255</v>
      </c>
      <c r="BK42" s="681">
        <v>20.625340000000001</v>
      </c>
      <c r="BL42" s="682"/>
      <c r="BN42" s="679">
        <v>31</v>
      </c>
      <c r="BO42" s="680">
        <v>56.069000000000003</v>
      </c>
      <c r="BP42" s="680">
        <v>43.78</v>
      </c>
      <c r="BQ42" s="681">
        <v>58.415999999999997</v>
      </c>
      <c r="BR42" s="682"/>
      <c r="BT42" s="679">
        <v>31</v>
      </c>
      <c r="BU42" s="680">
        <v>226.416</v>
      </c>
      <c r="BV42" s="680">
        <v>191.31</v>
      </c>
      <c r="BW42" s="681">
        <v>238.69800000000001</v>
      </c>
      <c r="BX42" s="682"/>
      <c r="BZ42" s="679">
        <v>31</v>
      </c>
      <c r="CA42" s="680">
        <v>204.476</v>
      </c>
      <c r="CB42" s="680">
        <v>181.19200000000001</v>
      </c>
      <c r="CC42" s="681">
        <v>223.80500000000001</v>
      </c>
      <c r="CD42" s="682"/>
      <c r="CF42" s="679">
        <v>31</v>
      </c>
      <c r="CG42" s="680"/>
      <c r="CH42" s="680"/>
      <c r="CI42" s="681"/>
      <c r="CJ42" s="682"/>
      <c r="CL42" s="679">
        <v>31</v>
      </c>
      <c r="CM42" s="680"/>
      <c r="CN42" s="680"/>
      <c r="CO42" s="681"/>
      <c r="CP42" s="682"/>
      <c r="CR42" s="679">
        <v>31</v>
      </c>
      <c r="CS42" s="680"/>
      <c r="CT42" s="680"/>
      <c r="CU42" s="681"/>
      <c r="CV42" s="682"/>
      <c r="CX42" s="679">
        <v>31</v>
      </c>
      <c r="CY42" s="680"/>
      <c r="CZ42" s="680"/>
      <c r="DA42" s="681"/>
      <c r="DB42" s="682"/>
      <c r="DD42" s="679">
        <v>31</v>
      </c>
      <c r="DE42" s="680"/>
      <c r="DF42" s="680"/>
      <c r="DG42" s="681"/>
      <c r="DH42" s="682"/>
      <c r="DJ42" s="679">
        <v>31</v>
      </c>
      <c r="DK42" s="680"/>
      <c r="DL42" s="680"/>
      <c r="DM42" s="681"/>
      <c r="DN42" s="682"/>
      <c r="DP42" s="679">
        <v>31</v>
      </c>
      <c r="DQ42" s="680"/>
      <c r="DR42" s="680"/>
      <c r="DS42" s="681"/>
      <c r="DT42" s="682"/>
      <c r="DV42" s="679">
        <v>31</v>
      </c>
      <c r="DW42" s="680"/>
      <c r="DX42" s="680"/>
      <c r="DY42" s="681"/>
      <c r="DZ42" s="682"/>
      <c r="EB42" s="619">
        <v>31</v>
      </c>
      <c r="EC42" s="620"/>
      <c r="ED42" s="620"/>
      <c r="EE42" s="621"/>
      <c r="EF42" s="623"/>
      <c r="EH42" s="619">
        <v>31</v>
      </c>
      <c r="EI42" s="620"/>
      <c r="EJ42" s="620"/>
      <c r="EK42" s="621"/>
      <c r="EL42" s="623"/>
      <c r="EN42" s="619">
        <v>31</v>
      </c>
      <c r="EO42" s="620"/>
      <c r="EP42" s="620"/>
      <c r="EQ42" s="621"/>
      <c r="ER42" s="623"/>
      <c r="ET42" s="619">
        <v>31</v>
      </c>
      <c r="EU42" s="620"/>
      <c r="EV42" s="620"/>
      <c r="EW42" s="621"/>
      <c r="EX42" s="623"/>
    </row>
    <row r="43" spans="12:154">
      <c r="L43" s="679">
        <v>32</v>
      </c>
      <c r="M43" s="680">
        <v>35.721240000000002</v>
      </c>
      <c r="N43" s="680">
        <v>18.547999999999998</v>
      </c>
      <c r="O43" s="681">
        <v>53.03</v>
      </c>
      <c r="P43" s="682"/>
      <c r="R43" s="679">
        <v>32</v>
      </c>
      <c r="S43" s="680">
        <v>5.7191099999999997</v>
      </c>
      <c r="T43" s="680">
        <v>5.5311000000000003</v>
      </c>
      <c r="U43" s="681">
        <v>3.99831</v>
      </c>
      <c r="V43" s="682"/>
      <c r="X43" s="679">
        <v>32</v>
      </c>
      <c r="Y43" s="680">
        <v>13.773</v>
      </c>
      <c r="Z43" s="680">
        <v>13.62</v>
      </c>
      <c r="AA43" s="681">
        <v>18.652999999999999</v>
      </c>
      <c r="AB43" s="682"/>
      <c r="AD43" s="679">
        <v>32</v>
      </c>
      <c r="AE43" s="680">
        <v>300.04599999999999</v>
      </c>
      <c r="AF43" s="680">
        <v>239.78899999999999</v>
      </c>
      <c r="AG43" s="681">
        <v>331.45100000000002</v>
      </c>
      <c r="AH43" s="682"/>
      <c r="AJ43" s="679">
        <v>32</v>
      </c>
      <c r="AK43" s="680">
        <v>233.56899999999999</v>
      </c>
      <c r="AL43" s="680">
        <v>230.35599999999999</v>
      </c>
      <c r="AM43" s="681">
        <v>247.15100000000001</v>
      </c>
      <c r="AN43" s="682"/>
      <c r="AP43" s="679">
        <v>32</v>
      </c>
      <c r="AQ43" s="680">
        <v>39.96</v>
      </c>
      <c r="AR43" s="680">
        <v>13.531000000000001</v>
      </c>
      <c r="AS43" s="681">
        <v>34.49</v>
      </c>
      <c r="AT43" s="682"/>
      <c r="AV43" s="679">
        <v>32</v>
      </c>
      <c r="AW43" s="680">
        <v>167.3</v>
      </c>
      <c r="AX43" s="680">
        <v>112.36</v>
      </c>
      <c r="AY43" s="681">
        <v>189.72</v>
      </c>
      <c r="AZ43" s="682"/>
      <c r="BB43" s="679">
        <v>32</v>
      </c>
      <c r="BC43" s="680">
        <v>89.95</v>
      </c>
      <c r="BD43" s="680">
        <v>41.86</v>
      </c>
      <c r="BE43" s="681">
        <v>87.64</v>
      </c>
      <c r="BF43" s="682"/>
      <c r="BH43" s="679">
        <v>32</v>
      </c>
      <c r="BI43" s="680">
        <v>24.090920000000001</v>
      </c>
      <c r="BJ43" s="680">
        <v>13.430809999999999</v>
      </c>
      <c r="BK43" s="681">
        <v>19.64725</v>
      </c>
      <c r="BL43" s="682"/>
      <c r="BN43" s="679">
        <v>32</v>
      </c>
      <c r="BO43" s="680">
        <v>52.182000000000002</v>
      </c>
      <c r="BP43" s="680">
        <v>37.536000000000001</v>
      </c>
      <c r="BQ43" s="681">
        <v>55.097999999999999</v>
      </c>
      <c r="BR43" s="682"/>
      <c r="BT43" s="679">
        <v>32</v>
      </c>
      <c r="BU43" s="680">
        <v>216.404</v>
      </c>
      <c r="BV43" s="680">
        <v>184.37299999999999</v>
      </c>
      <c r="BW43" s="681">
        <v>232.90899999999999</v>
      </c>
      <c r="BX43" s="682"/>
      <c r="BZ43" s="679">
        <v>32</v>
      </c>
      <c r="CA43" s="680">
        <v>190.20400000000001</v>
      </c>
      <c r="CB43" s="680">
        <v>164.99799999999999</v>
      </c>
      <c r="CC43" s="681">
        <v>213.29</v>
      </c>
      <c r="CD43" s="682"/>
      <c r="CF43" s="679">
        <v>32</v>
      </c>
      <c r="CG43" s="680"/>
      <c r="CH43" s="680"/>
      <c r="CI43" s="681"/>
      <c r="CJ43" s="682"/>
      <c r="CL43" s="679">
        <v>32</v>
      </c>
      <c r="CM43" s="680"/>
      <c r="CN43" s="680"/>
      <c r="CO43" s="681"/>
      <c r="CP43" s="682"/>
      <c r="CR43" s="679">
        <v>32</v>
      </c>
      <c r="CS43" s="680"/>
      <c r="CT43" s="680"/>
      <c r="CU43" s="681"/>
      <c r="CV43" s="682"/>
      <c r="CX43" s="679">
        <v>32</v>
      </c>
      <c r="CY43" s="680"/>
      <c r="CZ43" s="680"/>
      <c r="DA43" s="681"/>
      <c r="DB43" s="682"/>
      <c r="DD43" s="679">
        <v>32</v>
      </c>
      <c r="DE43" s="680"/>
      <c r="DF43" s="680"/>
      <c r="DG43" s="681"/>
      <c r="DH43" s="682"/>
      <c r="DJ43" s="679">
        <v>32</v>
      </c>
      <c r="DK43" s="680"/>
      <c r="DL43" s="680"/>
      <c r="DM43" s="681"/>
      <c r="DN43" s="682"/>
      <c r="DP43" s="679">
        <v>32</v>
      </c>
      <c r="DQ43" s="680"/>
      <c r="DR43" s="680"/>
      <c r="DS43" s="681"/>
      <c r="DT43" s="682"/>
      <c r="DV43" s="679">
        <v>32</v>
      </c>
      <c r="DW43" s="680"/>
      <c r="DX43" s="680"/>
      <c r="DY43" s="681"/>
      <c r="DZ43" s="682"/>
      <c r="EB43" s="619">
        <v>32</v>
      </c>
      <c r="EC43" s="620"/>
      <c r="ED43" s="620"/>
      <c r="EE43" s="621"/>
      <c r="EF43" s="623"/>
      <c r="EH43" s="619">
        <v>32</v>
      </c>
      <c r="EI43" s="620"/>
      <c r="EJ43" s="620"/>
      <c r="EK43" s="621"/>
      <c r="EL43" s="623"/>
      <c r="EN43" s="619">
        <v>32</v>
      </c>
      <c r="EO43" s="620"/>
      <c r="EP43" s="620"/>
      <c r="EQ43" s="621"/>
      <c r="ER43" s="623"/>
      <c r="ET43" s="619">
        <v>32</v>
      </c>
      <c r="EU43" s="620"/>
      <c r="EV43" s="620"/>
      <c r="EW43" s="621"/>
      <c r="EX43" s="623"/>
    </row>
    <row r="44" spans="12:154">
      <c r="L44" s="679">
        <v>33</v>
      </c>
      <c r="M44" s="680">
        <v>29.614999999999998</v>
      </c>
      <c r="N44" s="680">
        <v>14.195</v>
      </c>
      <c r="O44" s="681">
        <v>51.814</v>
      </c>
      <c r="P44" s="682"/>
      <c r="R44" s="679">
        <v>33</v>
      </c>
      <c r="S44" s="680">
        <v>3.8620199999999998</v>
      </c>
      <c r="T44" s="680">
        <v>3.5014099999999999</v>
      </c>
      <c r="U44" s="681">
        <v>5.7900600000000004</v>
      </c>
      <c r="V44" s="682"/>
      <c r="X44" s="679">
        <v>33</v>
      </c>
      <c r="Y44" s="680">
        <v>13.949</v>
      </c>
      <c r="Z44" s="680">
        <v>13.686999999999999</v>
      </c>
      <c r="AA44" s="681">
        <v>17.952000000000002</v>
      </c>
      <c r="AB44" s="682"/>
      <c r="AD44" s="679">
        <v>33</v>
      </c>
      <c r="AE44" s="680">
        <v>292.548</v>
      </c>
      <c r="AF44" s="680">
        <v>234.19800000000001</v>
      </c>
      <c r="AG44" s="681">
        <v>325.71100000000001</v>
      </c>
      <c r="AH44" s="682"/>
      <c r="AJ44" s="679">
        <v>33</v>
      </c>
      <c r="AK44" s="680">
        <v>233.05699999999999</v>
      </c>
      <c r="AL44" s="680">
        <v>229.917</v>
      </c>
      <c r="AM44" s="681">
        <v>246.62700000000001</v>
      </c>
      <c r="AN44" s="682"/>
      <c r="AP44" s="679">
        <v>33</v>
      </c>
      <c r="AQ44" s="680">
        <v>35.93</v>
      </c>
      <c r="AR44" s="680">
        <v>11.861000000000001</v>
      </c>
      <c r="AS44" s="681">
        <v>32.97</v>
      </c>
      <c r="AT44" s="682"/>
      <c r="AV44" s="679">
        <v>33</v>
      </c>
      <c r="AW44" s="680">
        <v>157.97999999999999</v>
      </c>
      <c r="AX44" s="680">
        <v>100.25</v>
      </c>
      <c r="AY44" s="681">
        <v>181.2</v>
      </c>
      <c r="AZ44" s="682"/>
      <c r="BB44" s="679">
        <v>33</v>
      </c>
      <c r="BC44" s="680">
        <v>85.91</v>
      </c>
      <c r="BD44" s="680">
        <v>39.79</v>
      </c>
      <c r="BE44" s="681">
        <v>84.76</v>
      </c>
      <c r="BF44" s="682"/>
      <c r="BH44" s="679">
        <v>33</v>
      </c>
      <c r="BI44" s="680">
        <v>23.303439999999998</v>
      </c>
      <c r="BJ44" s="680">
        <v>13.27511</v>
      </c>
      <c r="BK44" s="681">
        <v>16.274529999999999</v>
      </c>
      <c r="BL44" s="682"/>
      <c r="BN44" s="679">
        <v>33</v>
      </c>
      <c r="BO44" s="680">
        <v>47.493000000000002</v>
      </c>
      <c r="BP44" s="680">
        <v>35.412999999999997</v>
      </c>
      <c r="BQ44" s="681">
        <v>51.841999999999999</v>
      </c>
      <c r="BR44" s="682"/>
      <c r="BT44" s="679">
        <v>33</v>
      </c>
      <c r="BU44" s="680">
        <v>210.66</v>
      </c>
      <c r="BV44" s="680">
        <v>180.17400000000001</v>
      </c>
      <c r="BW44" s="681">
        <v>226.97499999999999</v>
      </c>
      <c r="BX44" s="682"/>
      <c r="BZ44" s="679">
        <v>33</v>
      </c>
      <c r="CA44" s="680">
        <v>178.71100000000001</v>
      </c>
      <c r="CB44" s="680">
        <v>164.03</v>
      </c>
      <c r="CC44" s="681">
        <v>197.81100000000001</v>
      </c>
      <c r="CD44" s="682"/>
      <c r="CF44" s="679">
        <v>33</v>
      </c>
      <c r="CG44" s="680"/>
      <c r="CH44" s="680"/>
      <c r="CI44" s="681"/>
      <c r="CJ44" s="682"/>
      <c r="CL44" s="679">
        <v>33</v>
      </c>
      <c r="CM44" s="680"/>
      <c r="CN44" s="680"/>
      <c r="CO44" s="681"/>
      <c r="CP44" s="682"/>
      <c r="CR44" s="679">
        <v>33</v>
      </c>
      <c r="CS44" s="680"/>
      <c r="CT44" s="680"/>
      <c r="CU44" s="681"/>
      <c r="CV44" s="682"/>
      <c r="CX44" s="679">
        <v>33</v>
      </c>
      <c r="CY44" s="680"/>
      <c r="CZ44" s="680"/>
      <c r="DA44" s="681"/>
      <c r="DB44" s="682"/>
      <c r="DD44" s="679">
        <v>33</v>
      </c>
      <c r="DE44" s="680"/>
      <c r="DF44" s="680"/>
      <c r="DG44" s="681"/>
      <c r="DH44" s="682"/>
      <c r="DJ44" s="679">
        <v>33</v>
      </c>
      <c r="DK44" s="680"/>
      <c r="DL44" s="680"/>
      <c r="DM44" s="681"/>
      <c r="DN44" s="682"/>
      <c r="DP44" s="679">
        <v>33</v>
      </c>
      <c r="DQ44" s="680"/>
      <c r="DR44" s="680"/>
      <c r="DS44" s="681"/>
      <c r="DT44" s="682"/>
      <c r="DV44" s="679">
        <v>33</v>
      </c>
      <c r="DW44" s="680"/>
      <c r="DX44" s="680"/>
      <c r="DY44" s="681"/>
      <c r="DZ44" s="682"/>
      <c r="EB44" s="619">
        <v>33</v>
      </c>
      <c r="EC44" s="620"/>
      <c r="ED44" s="620"/>
      <c r="EE44" s="621"/>
      <c r="EF44" s="623"/>
      <c r="EH44" s="619">
        <v>33</v>
      </c>
      <c r="EI44" s="620"/>
      <c r="EJ44" s="620"/>
      <c r="EK44" s="621"/>
      <c r="EL44" s="623"/>
      <c r="EN44" s="619">
        <v>33</v>
      </c>
      <c r="EO44" s="620"/>
      <c r="EP44" s="620"/>
      <c r="EQ44" s="621"/>
      <c r="ER44" s="623"/>
      <c r="ET44" s="619">
        <v>33</v>
      </c>
      <c r="EU44" s="620"/>
      <c r="EV44" s="620"/>
      <c r="EW44" s="621"/>
      <c r="EX44" s="623"/>
    </row>
    <row r="45" spans="12:154">
      <c r="L45" s="679">
        <v>34</v>
      </c>
      <c r="M45" s="680">
        <v>25.618569999999998</v>
      </c>
      <c r="N45" s="680">
        <v>9.2729999999999997</v>
      </c>
      <c r="O45" s="681">
        <v>44.945999999999998</v>
      </c>
      <c r="P45" s="682"/>
      <c r="R45" s="679">
        <v>34</v>
      </c>
      <c r="S45" s="680">
        <v>7.01654</v>
      </c>
      <c r="T45" s="680">
        <v>9.7065000000000001</v>
      </c>
      <c r="U45" s="681">
        <v>5.5959399999999997</v>
      </c>
      <c r="V45" s="682"/>
      <c r="X45" s="679">
        <v>34</v>
      </c>
      <c r="Y45" s="680">
        <v>14.016</v>
      </c>
      <c r="Z45" s="680">
        <v>13.763</v>
      </c>
      <c r="AA45" s="681">
        <v>17.962</v>
      </c>
      <c r="AB45" s="682"/>
      <c r="AD45" s="679">
        <v>34</v>
      </c>
      <c r="AE45" s="680">
        <v>284.68</v>
      </c>
      <c r="AF45" s="680">
        <v>228.577</v>
      </c>
      <c r="AG45" s="681">
        <v>319.43799999999999</v>
      </c>
      <c r="AH45" s="682"/>
      <c r="AJ45" s="679">
        <v>34</v>
      </c>
      <c r="AK45" s="680">
        <v>232.53700000000001</v>
      </c>
      <c r="AL45" s="680">
        <v>229.47300000000001</v>
      </c>
      <c r="AM45" s="681">
        <v>246.04300000000001</v>
      </c>
      <c r="AN45" s="682"/>
      <c r="AP45" s="679">
        <v>34</v>
      </c>
      <c r="AQ45" s="680">
        <v>33.729999999999997</v>
      </c>
      <c r="AR45" s="680">
        <v>10.391</v>
      </c>
      <c r="AS45" s="681">
        <v>32.369999999999997</v>
      </c>
      <c r="AT45" s="682"/>
      <c r="AV45" s="679">
        <v>34</v>
      </c>
      <c r="AW45" s="680">
        <v>147.35</v>
      </c>
      <c r="AX45" s="680">
        <v>93.69</v>
      </c>
      <c r="AY45" s="681">
        <v>174.66</v>
      </c>
      <c r="AZ45" s="682"/>
      <c r="BB45" s="679">
        <v>34</v>
      </c>
      <c r="BC45" s="680">
        <v>81.02</v>
      </c>
      <c r="BD45" s="680">
        <v>37.17</v>
      </c>
      <c r="BE45" s="681">
        <v>81.59</v>
      </c>
      <c r="BF45" s="682"/>
      <c r="BH45" s="679">
        <v>34</v>
      </c>
      <c r="BI45" s="680">
        <v>20.087879999999998</v>
      </c>
      <c r="BJ45" s="680">
        <v>13.108599999999999</v>
      </c>
      <c r="BK45" s="681">
        <v>12.72129</v>
      </c>
      <c r="BL45" s="682"/>
      <c r="BN45" s="679">
        <v>34</v>
      </c>
      <c r="BO45" s="680">
        <v>42.947000000000003</v>
      </c>
      <c r="BP45" s="680">
        <v>33.356000000000002</v>
      </c>
      <c r="BQ45" s="681">
        <v>48.752000000000002</v>
      </c>
      <c r="BR45" s="682"/>
      <c r="BT45" s="679">
        <v>34</v>
      </c>
      <c r="BU45" s="680">
        <v>205.01</v>
      </c>
      <c r="BV45" s="680">
        <v>176.72300000000001</v>
      </c>
      <c r="BW45" s="681">
        <v>220.91900000000001</v>
      </c>
      <c r="BX45" s="682"/>
      <c r="BZ45" s="679">
        <v>34</v>
      </c>
      <c r="CA45" s="680">
        <v>173.77799999999999</v>
      </c>
      <c r="CB45" s="680">
        <v>164.03</v>
      </c>
      <c r="CC45" s="681">
        <v>183.68199999999999</v>
      </c>
      <c r="CD45" s="682"/>
      <c r="CF45" s="679">
        <v>34</v>
      </c>
      <c r="CG45" s="680"/>
      <c r="CH45" s="680"/>
      <c r="CI45" s="681"/>
      <c r="CJ45" s="682"/>
      <c r="CL45" s="679">
        <v>34</v>
      </c>
      <c r="CM45" s="680"/>
      <c r="CN45" s="680"/>
      <c r="CO45" s="681"/>
      <c r="CP45" s="682"/>
      <c r="CR45" s="679">
        <v>34</v>
      </c>
      <c r="CS45" s="680"/>
      <c r="CT45" s="680"/>
      <c r="CU45" s="681"/>
      <c r="CV45" s="682"/>
      <c r="CX45" s="679">
        <v>34</v>
      </c>
      <c r="CY45" s="680"/>
      <c r="CZ45" s="680"/>
      <c r="DA45" s="681"/>
      <c r="DB45" s="682"/>
      <c r="DD45" s="679">
        <v>34</v>
      </c>
      <c r="DE45" s="680"/>
      <c r="DF45" s="680"/>
      <c r="DG45" s="681"/>
      <c r="DH45" s="682"/>
      <c r="DJ45" s="679">
        <v>34</v>
      </c>
      <c r="DK45" s="680"/>
      <c r="DL45" s="680"/>
      <c r="DM45" s="681"/>
      <c r="DN45" s="682"/>
      <c r="DP45" s="679">
        <v>34</v>
      </c>
      <c r="DQ45" s="680"/>
      <c r="DR45" s="680"/>
      <c r="DS45" s="681"/>
      <c r="DT45" s="682"/>
      <c r="DV45" s="679">
        <v>34</v>
      </c>
      <c r="DW45" s="680"/>
      <c r="DX45" s="680"/>
      <c r="DY45" s="681"/>
      <c r="DZ45" s="682"/>
      <c r="EB45" s="619">
        <v>34</v>
      </c>
      <c r="EC45" s="620"/>
      <c r="ED45" s="620"/>
      <c r="EE45" s="621"/>
      <c r="EF45" s="623"/>
      <c r="EH45" s="619">
        <v>34</v>
      </c>
      <c r="EI45" s="620"/>
      <c r="EJ45" s="620"/>
      <c r="EK45" s="621"/>
      <c r="EL45" s="623"/>
      <c r="EN45" s="619">
        <v>34</v>
      </c>
      <c r="EO45" s="620"/>
      <c r="EP45" s="620"/>
      <c r="EQ45" s="621"/>
      <c r="ER45" s="623"/>
      <c r="ET45" s="619">
        <v>34</v>
      </c>
      <c r="EU45" s="620"/>
      <c r="EV45" s="620"/>
      <c r="EW45" s="621"/>
      <c r="EX45" s="623"/>
    </row>
    <row r="46" spans="12:154">
      <c r="L46" s="679">
        <v>35</v>
      </c>
      <c r="M46" s="683">
        <v>14.99722</v>
      </c>
      <c r="N46" s="680">
        <v>4.4256500000000001</v>
      </c>
      <c r="O46" s="681">
        <v>38.114539999999998</v>
      </c>
      <c r="P46" s="682"/>
      <c r="R46" s="679">
        <v>35</v>
      </c>
      <c r="S46" s="683">
        <v>7.6069100000000001</v>
      </c>
      <c r="T46" s="680">
        <v>10.17489</v>
      </c>
      <c r="U46" s="681">
        <v>3.8451</v>
      </c>
      <c r="V46" s="682"/>
      <c r="X46" s="679">
        <v>35</v>
      </c>
      <c r="Y46" s="683">
        <v>13.984</v>
      </c>
      <c r="Z46" s="680">
        <v>13.66</v>
      </c>
      <c r="AA46" s="681">
        <v>18.382999999999999</v>
      </c>
      <c r="AB46" s="682"/>
      <c r="AD46" s="679">
        <v>35</v>
      </c>
      <c r="AE46" s="683">
        <v>277.25400000000002</v>
      </c>
      <c r="AF46" s="680">
        <v>222.876</v>
      </c>
      <c r="AG46" s="681">
        <v>313.15800000000002</v>
      </c>
      <c r="AH46" s="682"/>
      <c r="AJ46" s="679">
        <v>35</v>
      </c>
      <c r="AK46" s="683">
        <v>232.02099999999999</v>
      </c>
      <c r="AL46" s="680">
        <v>229.09299999999999</v>
      </c>
      <c r="AM46" s="681">
        <v>245.71799999999999</v>
      </c>
      <c r="AN46" s="682"/>
      <c r="AP46" s="679">
        <v>35</v>
      </c>
      <c r="AQ46" s="683">
        <v>28.89</v>
      </c>
      <c r="AR46" s="680">
        <v>8.9220000000000006</v>
      </c>
      <c r="AS46" s="681">
        <v>30.12</v>
      </c>
      <c r="AT46" s="682"/>
      <c r="AV46" s="679">
        <v>35</v>
      </c>
      <c r="AW46" s="683">
        <v>135.57</v>
      </c>
      <c r="AX46" s="680">
        <v>87.4</v>
      </c>
      <c r="AY46" s="681">
        <v>163.89</v>
      </c>
      <c r="AZ46" s="682"/>
      <c r="BB46" s="679">
        <v>35</v>
      </c>
      <c r="BC46" s="683">
        <v>74.150000000000006</v>
      </c>
      <c r="BD46" s="680">
        <v>36.08</v>
      </c>
      <c r="BE46" s="681">
        <v>76.150000000000006</v>
      </c>
      <c r="BF46" s="682"/>
      <c r="BH46" s="679">
        <v>35</v>
      </c>
      <c r="BI46" s="683">
        <v>16.729209999999998</v>
      </c>
      <c r="BJ46" s="680">
        <v>12.931330000000001</v>
      </c>
      <c r="BK46" s="681">
        <v>10.002549999999999</v>
      </c>
      <c r="BL46" s="682"/>
      <c r="BN46" s="679">
        <v>35</v>
      </c>
      <c r="BO46" s="683">
        <v>38.334000000000003</v>
      </c>
      <c r="BP46" s="680">
        <v>30.838999999999999</v>
      </c>
      <c r="BQ46" s="681">
        <v>46.31</v>
      </c>
      <c r="BR46" s="682"/>
      <c r="BT46" s="679">
        <v>35</v>
      </c>
      <c r="BU46" s="683">
        <v>198.78</v>
      </c>
      <c r="BV46" s="680">
        <v>171.739</v>
      </c>
      <c r="BW46" s="681">
        <v>214.08799999999999</v>
      </c>
      <c r="BX46" s="682"/>
      <c r="BZ46" s="679">
        <v>35</v>
      </c>
      <c r="CA46" s="683">
        <v>169.37899999999999</v>
      </c>
      <c r="CB46" s="680">
        <v>164.03</v>
      </c>
      <c r="CC46" s="681">
        <v>171.816</v>
      </c>
      <c r="CD46" s="682"/>
      <c r="CF46" s="679">
        <v>35</v>
      </c>
      <c r="CG46" s="683"/>
      <c r="CH46" s="680"/>
      <c r="CI46" s="681"/>
      <c r="CJ46" s="682"/>
      <c r="CL46" s="679">
        <v>35</v>
      </c>
      <c r="CM46" s="683"/>
      <c r="CN46" s="680"/>
      <c r="CO46" s="681"/>
      <c r="CP46" s="682"/>
      <c r="CR46" s="679">
        <v>35</v>
      </c>
      <c r="CS46" s="683"/>
      <c r="CT46" s="680"/>
      <c r="CU46" s="681"/>
      <c r="CV46" s="682"/>
      <c r="CX46" s="679">
        <v>35</v>
      </c>
      <c r="CY46" s="683"/>
      <c r="CZ46" s="680"/>
      <c r="DA46" s="681"/>
      <c r="DB46" s="682"/>
      <c r="DD46" s="679">
        <v>35</v>
      </c>
      <c r="DE46" s="683"/>
      <c r="DF46" s="680"/>
      <c r="DG46" s="681"/>
      <c r="DH46" s="682"/>
      <c r="DJ46" s="679">
        <v>35</v>
      </c>
      <c r="DK46" s="683"/>
      <c r="DL46" s="680"/>
      <c r="DM46" s="681"/>
      <c r="DN46" s="682"/>
      <c r="DP46" s="679">
        <v>35</v>
      </c>
      <c r="DQ46" s="683"/>
      <c r="DR46" s="680"/>
      <c r="DS46" s="681"/>
      <c r="DT46" s="682"/>
      <c r="DV46" s="679">
        <v>35</v>
      </c>
      <c r="DW46" s="683"/>
      <c r="DX46" s="680"/>
      <c r="DY46" s="681"/>
      <c r="DZ46" s="682"/>
      <c r="EB46" s="619">
        <v>35</v>
      </c>
      <c r="EC46" s="626"/>
      <c r="ED46" s="620"/>
      <c r="EE46" s="621"/>
      <c r="EF46" s="623"/>
      <c r="EH46" s="619">
        <v>35</v>
      </c>
      <c r="EI46" s="626"/>
      <c r="EJ46" s="620"/>
      <c r="EK46" s="621"/>
      <c r="EL46" s="623"/>
      <c r="EN46" s="619">
        <v>35</v>
      </c>
      <c r="EO46" s="626"/>
      <c r="EP46" s="620"/>
      <c r="EQ46" s="621"/>
      <c r="ER46" s="623"/>
      <c r="ET46" s="619">
        <v>35</v>
      </c>
      <c r="EU46" s="626"/>
      <c r="EV46" s="620"/>
      <c r="EW46" s="621"/>
      <c r="EX46" s="623"/>
    </row>
    <row r="47" spans="12:154">
      <c r="L47" s="679">
        <v>36</v>
      </c>
      <c r="M47" s="683">
        <v>10.70562</v>
      </c>
      <c r="N47" s="680">
        <v>0.46200000000000002</v>
      </c>
      <c r="O47" s="681">
        <v>33.301000000000002</v>
      </c>
      <c r="P47" s="682"/>
      <c r="R47" s="679">
        <v>36</v>
      </c>
      <c r="S47" s="683">
        <v>4.4198300000000001</v>
      </c>
      <c r="T47" s="680">
        <v>10.21598</v>
      </c>
      <c r="U47" s="681">
        <v>6.4258499999999996</v>
      </c>
      <c r="V47" s="682"/>
      <c r="X47" s="679">
        <v>36</v>
      </c>
      <c r="Y47" s="683">
        <v>12.925000000000001</v>
      </c>
      <c r="Z47" s="680">
        <v>14.151999999999999</v>
      </c>
      <c r="AA47" s="681">
        <v>19.044</v>
      </c>
      <c r="AB47" s="682"/>
      <c r="AD47" s="679">
        <v>36</v>
      </c>
      <c r="AE47" s="683">
        <v>269.42</v>
      </c>
      <c r="AF47" s="680">
        <v>216.922</v>
      </c>
      <c r="AG47" s="681">
        <v>306.17099999999999</v>
      </c>
      <c r="AH47" s="682"/>
      <c r="AJ47" s="679">
        <v>36</v>
      </c>
      <c r="AK47" s="683">
        <v>231.316</v>
      </c>
      <c r="AL47" s="680">
        <v>228.65</v>
      </c>
      <c r="AM47" s="681">
        <v>245.00399999999999</v>
      </c>
      <c r="AN47" s="682"/>
      <c r="AP47" s="679">
        <v>36</v>
      </c>
      <c r="AQ47" s="683">
        <v>23.59</v>
      </c>
      <c r="AR47" s="680">
        <v>7.3719999999999999</v>
      </c>
      <c r="AS47" s="681">
        <v>28.15</v>
      </c>
      <c r="AT47" s="682"/>
      <c r="AV47" s="679">
        <v>36</v>
      </c>
      <c r="AW47" s="683">
        <v>124.28</v>
      </c>
      <c r="AX47" s="680">
        <v>80.23</v>
      </c>
      <c r="AY47" s="681">
        <v>148.07</v>
      </c>
      <c r="AZ47" s="682"/>
      <c r="BB47" s="679">
        <v>36</v>
      </c>
      <c r="BC47" s="683">
        <v>68.03</v>
      </c>
      <c r="BD47" s="680">
        <v>34.159999999999997</v>
      </c>
      <c r="BE47" s="681">
        <v>71.010000000000005</v>
      </c>
      <c r="BF47" s="682"/>
      <c r="BH47" s="679">
        <v>36</v>
      </c>
      <c r="BI47" s="683">
        <v>14.49457</v>
      </c>
      <c r="BJ47" s="680">
        <v>12.787559999999999</v>
      </c>
      <c r="BK47" s="681">
        <v>7.3456099999999998</v>
      </c>
      <c r="BL47" s="682"/>
      <c r="BN47" s="679">
        <v>36</v>
      </c>
      <c r="BO47" s="683">
        <v>33.89</v>
      </c>
      <c r="BP47" s="680">
        <v>28.798999999999999</v>
      </c>
      <c r="BQ47" s="681">
        <v>43.908999999999999</v>
      </c>
      <c r="BR47" s="682"/>
      <c r="BT47" s="679">
        <v>36</v>
      </c>
      <c r="BU47" s="683">
        <v>189.03</v>
      </c>
      <c r="BV47" s="680">
        <v>163.48400000000001</v>
      </c>
      <c r="BW47" s="681">
        <v>212.82900000000001</v>
      </c>
      <c r="BX47" s="682"/>
      <c r="BZ47" s="679">
        <v>36</v>
      </c>
      <c r="CA47" s="683">
        <v>165.482</v>
      </c>
      <c r="CB47" s="680">
        <v>132.05799999999999</v>
      </c>
      <c r="CC47" s="681">
        <v>161.136</v>
      </c>
      <c r="CD47" s="682"/>
      <c r="CF47" s="679">
        <v>36</v>
      </c>
      <c r="CG47" s="683"/>
      <c r="CH47" s="680"/>
      <c r="CI47" s="681"/>
      <c r="CJ47" s="682"/>
      <c r="CL47" s="679">
        <v>36</v>
      </c>
      <c r="CM47" s="683"/>
      <c r="CN47" s="680"/>
      <c r="CO47" s="681"/>
      <c r="CP47" s="682"/>
      <c r="CR47" s="679">
        <v>36</v>
      </c>
      <c r="CS47" s="683"/>
      <c r="CT47" s="680"/>
      <c r="CU47" s="681"/>
      <c r="CV47" s="682"/>
      <c r="CX47" s="679">
        <v>36</v>
      </c>
      <c r="CY47" s="683"/>
      <c r="CZ47" s="680"/>
      <c r="DA47" s="681"/>
      <c r="DB47" s="682"/>
      <c r="DD47" s="679">
        <v>36</v>
      </c>
      <c r="DE47" s="683"/>
      <c r="DF47" s="680"/>
      <c r="DG47" s="681"/>
      <c r="DH47" s="682"/>
      <c r="DJ47" s="679">
        <v>36</v>
      </c>
      <c r="DK47" s="683"/>
      <c r="DL47" s="680"/>
      <c r="DM47" s="681"/>
      <c r="DN47" s="682"/>
      <c r="DP47" s="679">
        <v>36</v>
      </c>
      <c r="DQ47" s="683"/>
      <c r="DR47" s="680"/>
      <c r="DS47" s="681"/>
      <c r="DT47" s="682"/>
      <c r="DV47" s="679">
        <v>36</v>
      </c>
      <c r="DW47" s="683"/>
      <c r="DX47" s="680"/>
      <c r="DY47" s="681"/>
      <c r="DZ47" s="682"/>
      <c r="EB47" s="619">
        <v>36</v>
      </c>
      <c r="EC47" s="626"/>
      <c r="ED47" s="620"/>
      <c r="EE47" s="621"/>
      <c r="EF47" s="623"/>
      <c r="EH47" s="619">
        <v>36</v>
      </c>
      <c r="EI47" s="626"/>
      <c r="EJ47" s="620"/>
      <c r="EK47" s="621"/>
      <c r="EL47" s="623"/>
      <c r="EN47" s="619">
        <v>36</v>
      </c>
      <c r="EO47" s="626"/>
      <c r="EP47" s="620"/>
      <c r="EQ47" s="621"/>
      <c r="ER47" s="623"/>
      <c r="ET47" s="619">
        <v>36</v>
      </c>
      <c r="EU47" s="626"/>
      <c r="EV47" s="620"/>
      <c r="EW47" s="621"/>
      <c r="EX47" s="623"/>
    </row>
    <row r="48" spans="12:154">
      <c r="L48" s="679">
        <v>37</v>
      </c>
      <c r="M48" s="680">
        <v>6.9379999999999997</v>
      </c>
      <c r="N48" s="680">
        <v>0.20300000000000001</v>
      </c>
      <c r="O48" s="681">
        <v>26.104500000000002</v>
      </c>
      <c r="P48" s="682"/>
      <c r="R48" s="679">
        <v>37</v>
      </c>
      <c r="S48" s="680">
        <v>5.6930300000000003</v>
      </c>
      <c r="T48" s="680">
        <v>7.30654</v>
      </c>
      <c r="U48" s="681">
        <v>4.5735799999999998</v>
      </c>
      <c r="V48" s="682"/>
      <c r="X48" s="679">
        <v>37</v>
      </c>
      <c r="Y48" s="680">
        <v>12.477</v>
      </c>
      <c r="Z48" s="680">
        <v>14.555999999999999</v>
      </c>
      <c r="AA48" s="681">
        <v>19.497</v>
      </c>
      <c r="AB48" s="682"/>
      <c r="AD48" s="679">
        <v>37</v>
      </c>
      <c r="AE48" s="680">
        <v>261.42899999999997</v>
      </c>
      <c r="AF48" s="680">
        <v>210.267</v>
      </c>
      <c r="AG48" s="681">
        <v>298.97899999999998</v>
      </c>
      <c r="AH48" s="682"/>
      <c r="AJ48" s="679">
        <v>37</v>
      </c>
      <c r="AK48" s="680">
        <v>230.80799999999999</v>
      </c>
      <c r="AL48" s="680">
        <v>228.143</v>
      </c>
      <c r="AM48" s="681">
        <v>244.358</v>
      </c>
      <c r="AN48" s="682"/>
      <c r="AP48" s="679">
        <v>37</v>
      </c>
      <c r="AQ48" s="680">
        <v>19.829999999999998</v>
      </c>
      <c r="AR48" s="680">
        <v>6.11</v>
      </c>
      <c r="AS48" s="681">
        <v>24.77</v>
      </c>
      <c r="AT48" s="682"/>
      <c r="AV48" s="679">
        <v>37</v>
      </c>
      <c r="AW48" s="680">
        <v>117.69</v>
      </c>
      <c r="AX48" s="680">
        <v>73.400000000000006</v>
      </c>
      <c r="AY48" s="681">
        <v>132.69</v>
      </c>
      <c r="AZ48" s="682"/>
      <c r="BB48" s="679">
        <v>37</v>
      </c>
      <c r="BC48" s="680">
        <v>58.01</v>
      </c>
      <c r="BD48" s="680">
        <v>31.96</v>
      </c>
      <c r="BE48" s="681">
        <v>63.65</v>
      </c>
      <c r="BF48" s="682"/>
      <c r="BH48" s="679">
        <v>37</v>
      </c>
      <c r="BI48" s="680">
        <v>11.09816</v>
      </c>
      <c r="BJ48" s="680">
        <v>12.632999999999999</v>
      </c>
      <c r="BK48" s="681">
        <v>4.7385400000000004</v>
      </c>
      <c r="BL48" s="682"/>
      <c r="BN48" s="679">
        <v>37</v>
      </c>
      <c r="BO48" s="680">
        <v>29.341999999999999</v>
      </c>
      <c r="BP48" s="680">
        <v>27.045000000000002</v>
      </c>
      <c r="BQ48" s="681">
        <v>41.485999999999997</v>
      </c>
      <c r="BR48" s="682"/>
      <c r="BT48" s="679">
        <v>37</v>
      </c>
      <c r="BU48" s="680">
        <v>182.27199999999999</v>
      </c>
      <c r="BV48" s="680">
        <v>158.86099999999999</v>
      </c>
      <c r="BW48" s="681">
        <v>199.108</v>
      </c>
      <c r="BX48" s="682"/>
      <c r="BZ48" s="679">
        <v>37</v>
      </c>
      <c r="CA48" s="680">
        <v>152.065</v>
      </c>
      <c r="CB48" s="680">
        <v>127.508</v>
      </c>
      <c r="CC48" s="681">
        <v>151.59200000000001</v>
      </c>
      <c r="CD48" s="682"/>
      <c r="CF48" s="679">
        <v>37</v>
      </c>
      <c r="CG48" s="680"/>
      <c r="CH48" s="680"/>
      <c r="CI48" s="681"/>
      <c r="CJ48" s="682"/>
      <c r="CL48" s="679">
        <v>37</v>
      </c>
      <c r="CM48" s="680"/>
      <c r="CN48" s="680"/>
      <c r="CO48" s="681"/>
      <c r="CP48" s="682"/>
      <c r="CR48" s="679">
        <v>37</v>
      </c>
      <c r="CS48" s="680"/>
      <c r="CT48" s="680"/>
      <c r="CU48" s="681"/>
      <c r="CV48" s="682"/>
      <c r="CX48" s="679">
        <v>37</v>
      </c>
      <c r="CY48" s="680"/>
      <c r="CZ48" s="680"/>
      <c r="DA48" s="681"/>
      <c r="DB48" s="682"/>
      <c r="DD48" s="679">
        <v>37</v>
      </c>
      <c r="DE48" s="680"/>
      <c r="DF48" s="680"/>
      <c r="DG48" s="681"/>
      <c r="DH48" s="682"/>
      <c r="DJ48" s="679">
        <v>37</v>
      </c>
      <c r="DK48" s="680"/>
      <c r="DL48" s="680"/>
      <c r="DM48" s="681"/>
      <c r="DN48" s="682"/>
      <c r="DP48" s="679">
        <v>37</v>
      </c>
      <c r="DQ48" s="680"/>
      <c r="DR48" s="680"/>
      <c r="DS48" s="681"/>
      <c r="DT48" s="682"/>
      <c r="DV48" s="679">
        <v>37</v>
      </c>
      <c r="DW48" s="680"/>
      <c r="DX48" s="680"/>
      <c r="DY48" s="681"/>
      <c r="DZ48" s="682"/>
      <c r="EB48" s="619">
        <v>37</v>
      </c>
      <c r="EC48" s="620"/>
      <c r="ED48" s="620"/>
      <c r="EE48" s="621"/>
      <c r="EF48" s="623"/>
      <c r="EH48" s="619">
        <v>37</v>
      </c>
      <c r="EI48" s="620"/>
      <c r="EJ48" s="620"/>
      <c r="EK48" s="621"/>
      <c r="EL48" s="623"/>
      <c r="EN48" s="619">
        <v>37</v>
      </c>
      <c r="EO48" s="620"/>
      <c r="EP48" s="620"/>
      <c r="EQ48" s="621"/>
      <c r="ER48" s="623"/>
      <c r="ET48" s="619">
        <v>37</v>
      </c>
      <c r="EU48" s="620"/>
      <c r="EV48" s="620"/>
      <c r="EW48" s="621"/>
      <c r="EX48" s="623"/>
    </row>
    <row r="49" spans="12:154">
      <c r="L49" s="679">
        <v>38</v>
      </c>
      <c r="M49" s="680">
        <v>5.1178999999999997</v>
      </c>
      <c r="N49" s="680">
        <v>0.22700000000000001</v>
      </c>
      <c r="O49" s="681">
        <v>20.126999999999999</v>
      </c>
      <c r="P49" s="682"/>
      <c r="R49" s="679">
        <v>38</v>
      </c>
      <c r="S49" s="680">
        <v>9.1631900000000002</v>
      </c>
      <c r="T49" s="680">
        <v>6.6578499999999998</v>
      </c>
      <c r="U49" s="681">
        <v>4.1420300000000001</v>
      </c>
      <c r="V49" s="682"/>
      <c r="X49" s="679">
        <v>38</v>
      </c>
      <c r="Y49" s="680">
        <v>11.8</v>
      </c>
      <c r="Z49" s="680">
        <v>15.157</v>
      </c>
      <c r="AA49" s="681">
        <v>20.135999999999999</v>
      </c>
      <c r="AB49" s="682"/>
      <c r="AD49" s="679">
        <v>38</v>
      </c>
      <c r="AE49" s="680">
        <v>253.24100000000001</v>
      </c>
      <c r="AF49" s="680">
        <v>203.304</v>
      </c>
      <c r="AG49" s="681">
        <v>291.31</v>
      </c>
      <c r="AH49" s="682"/>
      <c r="AJ49" s="679">
        <v>38</v>
      </c>
      <c r="AK49" s="680">
        <v>230.17400000000001</v>
      </c>
      <c r="AL49" s="680">
        <v>227.577</v>
      </c>
      <c r="AM49" s="681">
        <v>243.709</v>
      </c>
      <c r="AN49" s="682"/>
      <c r="AP49" s="679">
        <v>38</v>
      </c>
      <c r="AQ49" s="680">
        <v>14.8</v>
      </c>
      <c r="AR49" s="680">
        <v>4.1399999999999997</v>
      </c>
      <c r="AS49" s="681">
        <v>21.85</v>
      </c>
      <c r="AT49" s="682"/>
      <c r="AV49" s="679">
        <v>38</v>
      </c>
      <c r="AW49" s="680">
        <v>108.71</v>
      </c>
      <c r="AX49" s="680">
        <v>69.510000000000005</v>
      </c>
      <c r="AY49" s="681">
        <v>118.81</v>
      </c>
      <c r="AZ49" s="682"/>
      <c r="BB49" s="679">
        <v>38</v>
      </c>
      <c r="BC49" s="680">
        <v>51.3</v>
      </c>
      <c r="BD49" s="680">
        <v>30.6</v>
      </c>
      <c r="BE49" s="681">
        <v>58.3</v>
      </c>
      <c r="BF49" s="682"/>
      <c r="BH49" s="679">
        <v>38</v>
      </c>
      <c r="BI49" s="680">
        <v>8.1864799999999995</v>
      </c>
      <c r="BJ49" s="680">
        <v>12.511760000000001</v>
      </c>
      <c r="BK49" s="681">
        <v>1.8517300000000001</v>
      </c>
      <c r="BL49" s="682"/>
      <c r="BN49" s="679">
        <v>38</v>
      </c>
      <c r="BO49" s="680">
        <v>24.901</v>
      </c>
      <c r="BP49" s="680">
        <v>23.696999999999999</v>
      </c>
      <c r="BQ49" s="681">
        <v>37.383000000000003</v>
      </c>
      <c r="BR49" s="682"/>
      <c r="BT49" s="679">
        <v>38</v>
      </c>
      <c r="BU49" s="680">
        <v>176.78100000000001</v>
      </c>
      <c r="BV49" s="680">
        <v>155.50800000000001</v>
      </c>
      <c r="BW49" s="681">
        <v>191.923</v>
      </c>
      <c r="BX49" s="682"/>
      <c r="BZ49" s="679">
        <v>38</v>
      </c>
      <c r="CA49" s="680">
        <v>132.51499999999999</v>
      </c>
      <c r="CB49" s="680">
        <v>123.447</v>
      </c>
      <c r="CC49" s="681">
        <v>140.809</v>
      </c>
      <c r="CD49" s="682"/>
      <c r="CF49" s="679">
        <v>38</v>
      </c>
      <c r="CG49" s="680"/>
      <c r="CH49" s="680"/>
      <c r="CI49" s="681"/>
      <c r="CJ49" s="682"/>
      <c r="CL49" s="679">
        <v>38</v>
      </c>
      <c r="CM49" s="680"/>
      <c r="CN49" s="680"/>
      <c r="CO49" s="681"/>
      <c r="CP49" s="682"/>
      <c r="CR49" s="679">
        <v>38</v>
      </c>
      <c r="CS49" s="680"/>
      <c r="CT49" s="680"/>
      <c r="CU49" s="681"/>
      <c r="CV49" s="682"/>
      <c r="CX49" s="679">
        <v>38</v>
      </c>
      <c r="CY49" s="680"/>
      <c r="CZ49" s="680"/>
      <c r="DA49" s="681"/>
      <c r="DB49" s="682"/>
      <c r="DD49" s="679">
        <v>38</v>
      </c>
      <c r="DE49" s="680"/>
      <c r="DF49" s="680"/>
      <c r="DG49" s="681"/>
      <c r="DH49" s="682"/>
      <c r="DJ49" s="679">
        <v>38</v>
      </c>
      <c r="DK49" s="680"/>
      <c r="DL49" s="680"/>
      <c r="DM49" s="681"/>
      <c r="DN49" s="682"/>
      <c r="DP49" s="679">
        <v>38</v>
      </c>
      <c r="DQ49" s="680"/>
      <c r="DR49" s="680"/>
      <c r="DS49" s="681"/>
      <c r="DT49" s="682"/>
      <c r="DV49" s="679">
        <v>38</v>
      </c>
      <c r="DW49" s="680"/>
      <c r="DX49" s="680"/>
      <c r="DY49" s="681"/>
      <c r="DZ49" s="682"/>
      <c r="EB49" s="619">
        <v>38</v>
      </c>
      <c r="EC49" s="620"/>
      <c r="ED49" s="620"/>
      <c r="EE49" s="621"/>
      <c r="EF49" s="623"/>
      <c r="EH49" s="619">
        <v>38</v>
      </c>
      <c r="EI49" s="620"/>
      <c r="EJ49" s="620"/>
      <c r="EK49" s="621"/>
      <c r="EL49" s="623"/>
      <c r="EN49" s="619">
        <v>38</v>
      </c>
      <c r="EO49" s="620"/>
      <c r="EP49" s="620"/>
      <c r="EQ49" s="621"/>
      <c r="ER49" s="623"/>
      <c r="ET49" s="619">
        <v>38</v>
      </c>
      <c r="EU49" s="620"/>
      <c r="EV49" s="620"/>
      <c r="EW49" s="621"/>
      <c r="EX49" s="623"/>
    </row>
    <row r="50" spans="12:154">
      <c r="L50" s="679">
        <v>39</v>
      </c>
      <c r="M50" s="680">
        <v>3.278</v>
      </c>
      <c r="N50" s="680">
        <v>0.31674000000000002</v>
      </c>
      <c r="O50" s="681">
        <v>14.269</v>
      </c>
      <c r="P50" s="682"/>
      <c r="R50" s="679">
        <v>39</v>
      </c>
      <c r="S50" s="680">
        <v>7.4690399999999997</v>
      </c>
      <c r="T50" s="680">
        <v>9.04331</v>
      </c>
      <c r="U50" s="681">
        <v>4.5357399999999997</v>
      </c>
      <c r="V50" s="682"/>
      <c r="X50" s="679">
        <v>39</v>
      </c>
      <c r="Y50" s="680">
        <v>11.196999999999999</v>
      </c>
      <c r="Z50" s="680">
        <v>13.507</v>
      </c>
      <c r="AA50" s="681">
        <v>21.244</v>
      </c>
      <c r="AB50" s="682"/>
      <c r="AD50" s="679">
        <v>39</v>
      </c>
      <c r="AE50" s="680">
        <v>244.69300000000001</v>
      </c>
      <c r="AF50" s="680">
        <v>196.76900000000001</v>
      </c>
      <c r="AG50" s="681">
        <v>283.77199999999999</v>
      </c>
      <c r="AH50" s="682"/>
      <c r="AJ50" s="679">
        <v>39</v>
      </c>
      <c r="AK50" s="680">
        <v>229.53700000000001</v>
      </c>
      <c r="AL50" s="680">
        <v>226.94300000000001</v>
      </c>
      <c r="AM50" s="681">
        <v>242.994</v>
      </c>
      <c r="AN50" s="682"/>
      <c r="AP50" s="679">
        <v>39</v>
      </c>
      <c r="AQ50" s="680">
        <v>11.9</v>
      </c>
      <c r="AR50" s="680">
        <v>2.9929999999999999</v>
      </c>
      <c r="AS50" s="681">
        <v>17.91</v>
      </c>
      <c r="AT50" s="682"/>
      <c r="AV50" s="679">
        <v>39</v>
      </c>
      <c r="AW50" s="680">
        <v>91.8</v>
      </c>
      <c r="AX50" s="680">
        <v>64.09</v>
      </c>
      <c r="AY50" s="681">
        <v>107.3</v>
      </c>
      <c r="AZ50" s="682"/>
      <c r="BB50" s="679">
        <v>39</v>
      </c>
      <c r="BC50" s="680">
        <v>50.18</v>
      </c>
      <c r="BD50" s="680">
        <v>28.96</v>
      </c>
      <c r="BE50" s="681">
        <v>54.65</v>
      </c>
      <c r="BF50" s="682"/>
      <c r="BH50" s="679">
        <v>39</v>
      </c>
      <c r="BI50" s="680">
        <v>5.2450000000000001</v>
      </c>
      <c r="BJ50" s="680">
        <v>12.368679999999999</v>
      </c>
      <c r="BK50" s="681">
        <v>0.15282000000000001</v>
      </c>
      <c r="BL50" s="682"/>
      <c r="BN50" s="679">
        <v>39</v>
      </c>
      <c r="BO50" s="680">
        <v>20.411000000000001</v>
      </c>
      <c r="BP50" s="680">
        <v>20.542000000000002</v>
      </c>
      <c r="BQ50" s="681">
        <v>33.682000000000002</v>
      </c>
      <c r="BR50" s="682"/>
      <c r="BT50" s="679">
        <v>39</v>
      </c>
      <c r="BU50" s="680">
        <v>169.20699999999999</v>
      </c>
      <c r="BV50" s="680">
        <v>153.41999999999999</v>
      </c>
      <c r="BW50" s="681">
        <v>184.51400000000001</v>
      </c>
      <c r="BX50" s="682"/>
      <c r="BZ50" s="679">
        <v>39</v>
      </c>
      <c r="CA50" s="680">
        <v>131.601</v>
      </c>
      <c r="CB50" s="680">
        <v>107.521</v>
      </c>
      <c r="CC50" s="681">
        <v>125.7</v>
      </c>
      <c r="CD50" s="682"/>
      <c r="CF50" s="679">
        <v>39</v>
      </c>
      <c r="CG50" s="680"/>
      <c r="CH50" s="680"/>
      <c r="CI50" s="681"/>
      <c r="CJ50" s="682"/>
      <c r="CL50" s="679">
        <v>39</v>
      </c>
      <c r="CM50" s="680"/>
      <c r="CN50" s="680"/>
      <c r="CO50" s="681"/>
      <c r="CP50" s="682"/>
      <c r="CR50" s="679">
        <v>39</v>
      </c>
      <c r="CS50" s="680"/>
      <c r="CT50" s="680"/>
      <c r="CU50" s="681"/>
      <c r="CV50" s="682"/>
      <c r="CX50" s="679">
        <v>39</v>
      </c>
      <c r="CY50" s="680"/>
      <c r="CZ50" s="680"/>
      <c r="DA50" s="681"/>
      <c r="DB50" s="682"/>
      <c r="DD50" s="679">
        <v>39</v>
      </c>
      <c r="DE50" s="680"/>
      <c r="DF50" s="680"/>
      <c r="DG50" s="681"/>
      <c r="DH50" s="682"/>
      <c r="DJ50" s="679">
        <v>39</v>
      </c>
      <c r="DK50" s="680"/>
      <c r="DL50" s="680"/>
      <c r="DM50" s="681"/>
      <c r="DN50" s="682"/>
      <c r="DP50" s="679">
        <v>39</v>
      </c>
      <c r="DQ50" s="680"/>
      <c r="DR50" s="680"/>
      <c r="DS50" s="681"/>
      <c r="DT50" s="682"/>
      <c r="DV50" s="679">
        <v>39</v>
      </c>
      <c r="DW50" s="680"/>
      <c r="DX50" s="680"/>
      <c r="DY50" s="681"/>
      <c r="DZ50" s="682"/>
      <c r="EB50" s="619">
        <v>39</v>
      </c>
      <c r="EC50" s="620"/>
      <c r="ED50" s="620"/>
      <c r="EE50" s="621"/>
      <c r="EF50" s="623"/>
      <c r="EH50" s="619">
        <v>39</v>
      </c>
      <c r="EI50" s="620"/>
      <c r="EJ50" s="620"/>
      <c r="EK50" s="621"/>
      <c r="EL50" s="623"/>
      <c r="EN50" s="619">
        <v>39</v>
      </c>
      <c r="EO50" s="620"/>
      <c r="EP50" s="620"/>
      <c r="EQ50" s="621"/>
      <c r="ER50" s="623"/>
      <c r="ET50" s="619">
        <v>39</v>
      </c>
      <c r="EU50" s="620"/>
      <c r="EV50" s="620"/>
      <c r="EW50" s="621"/>
      <c r="EX50" s="623"/>
    </row>
    <row r="51" spans="12:154">
      <c r="L51" s="679">
        <v>40</v>
      </c>
      <c r="M51" s="680">
        <v>0.95</v>
      </c>
      <c r="N51" s="680">
        <v>0.2</v>
      </c>
      <c r="O51" s="681">
        <v>9.4369999999999994</v>
      </c>
      <c r="P51" s="682"/>
      <c r="R51" s="679">
        <v>40</v>
      </c>
      <c r="S51" s="680">
        <v>8.2416</v>
      </c>
      <c r="T51" s="680">
        <v>9.3686199999999999</v>
      </c>
      <c r="U51" s="681">
        <v>5.9834300000000002</v>
      </c>
      <c r="V51" s="682"/>
      <c r="X51" s="679">
        <v>40</v>
      </c>
      <c r="Y51" s="680">
        <v>11.542</v>
      </c>
      <c r="Z51" s="680">
        <v>13.553000000000001</v>
      </c>
      <c r="AA51" s="681">
        <v>21.969000000000001</v>
      </c>
      <c r="AB51" s="682"/>
      <c r="AD51" s="679">
        <v>40</v>
      </c>
      <c r="AE51" s="680">
        <v>236.32599999999999</v>
      </c>
      <c r="AF51" s="680">
        <v>190.02799999999999</v>
      </c>
      <c r="AG51" s="681">
        <v>277.19400000000002</v>
      </c>
      <c r="AH51" s="682"/>
      <c r="AJ51" s="679">
        <v>40</v>
      </c>
      <c r="AK51" s="680">
        <v>228.84399999999999</v>
      </c>
      <c r="AL51" s="680">
        <v>226.369</v>
      </c>
      <c r="AM51" s="681">
        <v>242.27600000000001</v>
      </c>
      <c r="AN51" s="682"/>
      <c r="AP51" s="679">
        <v>40</v>
      </c>
      <c r="AQ51" s="680">
        <v>10.47</v>
      </c>
      <c r="AR51" s="680">
        <v>2.2229999999999999</v>
      </c>
      <c r="AS51" s="681">
        <v>14.641</v>
      </c>
      <c r="AT51" s="682"/>
      <c r="AV51" s="679">
        <v>40</v>
      </c>
      <c r="AW51" s="680">
        <v>83.27</v>
      </c>
      <c r="AX51" s="680">
        <v>59.64</v>
      </c>
      <c r="AY51" s="681">
        <v>96.19</v>
      </c>
      <c r="AZ51" s="682"/>
      <c r="BB51" s="679">
        <v>40</v>
      </c>
      <c r="BC51" s="680">
        <v>46.43</v>
      </c>
      <c r="BD51" s="680">
        <v>27.06</v>
      </c>
      <c r="BE51" s="681">
        <v>51.02</v>
      </c>
      <c r="BF51" s="682"/>
      <c r="BH51" s="679">
        <v>40</v>
      </c>
      <c r="BI51" s="680">
        <v>2.8734199999999999</v>
      </c>
      <c r="BJ51" s="680">
        <v>12.258789999999999</v>
      </c>
      <c r="BK51" s="681">
        <v>5.9769999999999997E-2</v>
      </c>
      <c r="BL51" s="682"/>
      <c r="BN51" s="679">
        <v>40</v>
      </c>
      <c r="BO51" s="680">
        <v>17.067</v>
      </c>
      <c r="BP51" s="680">
        <v>18.646999999999998</v>
      </c>
      <c r="BQ51" s="681">
        <v>30.347000000000001</v>
      </c>
      <c r="BR51" s="682"/>
      <c r="BT51" s="679">
        <v>40</v>
      </c>
      <c r="BU51" s="680">
        <v>151.602</v>
      </c>
      <c r="BV51" s="680">
        <v>145.35</v>
      </c>
      <c r="BW51" s="681">
        <v>179.47</v>
      </c>
      <c r="BX51" s="682"/>
      <c r="BZ51" s="679">
        <v>40</v>
      </c>
      <c r="CA51" s="680">
        <v>127.056</v>
      </c>
      <c r="CB51" s="680">
        <v>101.464</v>
      </c>
      <c r="CC51" s="681">
        <v>114.979</v>
      </c>
      <c r="CD51" s="682"/>
      <c r="CF51" s="679">
        <v>40</v>
      </c>
      <c r="CG51" s="680"/>
      <c r="CH51" s="680"/>
      <c r="CI51" s="681"/>
      <c r="CJ51" s="682"/>
      <c r="CL51" s="679">
        <v>40</v>
      </c>
      <c r="CM51" s="680"/>
      <c r="CN51" s="680"/>
      <c r="CO51" s="681"/>
      <c r="CP51" s="682"/>
      <c r="CR51" s="679">
        <v>40</v>
      </c>
      <c r="CS51" s="680"/>
      <c r="CT51" s="680"/>
      <c r="CU51" s="681"/>
      <c r="CV51" s="682"/>
      <c r="CX51" s="679">
        <v>40</v>
      </c>
      <c r="CY51" s="680"/>
      <c r="CZ51" s="680"/>
      <c r="DA51" s="681"/>
      <c r="DB51" s="682"/>
      <c r="DD51" s="679">
        <v>40</v>
      </c>
      <c r="DE51" s="680"/>
      <c r="DF51" s="680"/>
      <c r="DG51" s="681"/>
      <c r="DH51" s="682"/>
      <c r="DJ51" s="679">
        <v>40</v>
      </c>
      <c r="DK51" s="680"/>
      <c r="DL51" s="680"/>
      <c r="DM51" s="681"/>
      <c r="DN51" s="682"/>
      <c r="DP51" s="679">
        <v>40</v>
      </c>
      <c r="DQ51" s="680"/>
      <c r="DR51" s="680"/>
      <c r="DS51" s="681"/>
      <c r="DT51" s="682"/>
      <c r="DV51" s="679">
        <v>40</v>
      </c>
      <c r="DW51" s="680"/>
      <c r="DX51" s="680"/>
      <c r="DY51" s="681"/>
      <c r="DZ51" s="682"/>
      <c r="EB51" s="619">
        <v>40</v>
      </c>
      <c r="EC51" s="620"/>
      <c r="ED51" s="620"/>
      <c r="EE51" s="621"/>
      <c r="EF51" s="623"/>
      <c r="EH51" s="619">
        <v>40</v>
      </c>
      <c r="EI51" s="620"/>
      <c r="EJ51" s="620"/>
      <c r="EK51" s="621"/>
      <c r="EL51" s="623"/>
      <c r="EN51" s="619">
        <v>40</v>
      </c>
      <c r="EO51" s="620"/>
      <c r="EP51" s="620"/>
      <c r="EQ51" s="621"/>
      <c r="ER51" s="623"/>
      <c r="ET51" s="619">
        <v>40</v>
      </c>
      <c r="EU51" s="620"/>
      <c r="EV51" s="620"/>
      <c r="EW51" s="621"/>
      <c r="EX51" s="623"/>
    </row>
    <row r="52" spans="12:154">
      <c r="L52" s="679">
        <v>41</v>
      </c>
      <c r="M52" s="680">
        <v>0.45400000000000001</v>
      </c>
      <c r="N52" s="680">
        <v>0.52600000000000002</v>
      </c>
      <c r="O52" s="681">
        <v>6.4403699999999997</v>
      </c>
      <c r="P52" s="682"/>
      <c r="R52" s="679">
        <v>41</v>
      </c>
      <c r="S52" s="680">
        <v>1.6935899999999999</v>
      </c>
      <c r="T52" s="680">
        <v>9.7717600000000004</v>
      </c>
      <c r="U52" s="681">
        <v>4.9361699999999997</v>
      </c>
      <c r="V52" s="682"/>
      <c r="X52" s="679">
        <v>41</v>
      </c>
      <c r="Y52" s="680">
        <v>11.058999999999999</v>
      </c>
      <c r="Z52" s="680">
        <v>13.538</v>
      </c>
      <c r="AA52" s="681">
        <v>22.631</v>
      </c>
      <c r="AB52" s="682"/>
      <c r="AD52" s="679">
        <v>41</v>
      </c>
      <c r="AE52" s="680">
        <v>227.797</v>
      </c>
      <c r="AF52" s="680">
        <v>174.73400000000001</v>
      </c>
      <c r="AG52" s="681">
        <v>270.46600000000001</v>
      </c>
      <c r="AH52" s="682"/>
      <c r="AJ52" s="679">
        <v>41</v>
      </c>
      <c r="AK52" s="680">
        <v>228.14699999999999</v>
      </c>
      <c r="AL52" s="680">
        <v>225.67599999999999</v>
      </c>
      <c r="AM52" s="681">
        <v>241.626</v>
      </c>
      <c r="AN52" s="682"/>
      <c r="AP52" s="679">
        <v>41</v>
      </c>
      <c r="AQ52" s="680">
        <v>5.78</v>
      </c>
      <c r="AR52" s="680">
        <v>1.663</v>
      </c>
      <c r="AS52" s="681">
        <v>11.861000000000001</v>
      </c>
      <c r="AT52" s="682"/>
      <c r="AV52" s="679">
        <v>41</v>
      </c>
      <c r="AW52" s="680">
        <v>72.739999999999995</v>
      </c>
      <c r="AX52" s="680">
        <v>55.48</v>
      </c>
      <c r="AY52" s="681">
        <v>87.35</v>
      </c>
      <c r="AZ52" s="682"/>
      <c r="BB52" s="679">
        <v>41</v>
      </c>
      <c r="BC52" s="680">
        <v>44.49</v>
      </c>
      <c r="BD52" s="680">
        <v>26.51</v>
      </c>
      <c r="BE52" s="681">
        <v>46.85</v>
      </c>
      <c r="BF52" s="682"/>
      <c r="BH52" s="679">
        <v>41</v>
      </c>
      <c r="BI52" s="680">
        <v>2.544</v>
      </c>
      <c r="BJ52" s="680">
        <v>11.37379</v>
      </c>
      <c r="BK52" s="681">
        <v>3.6519999999999997E-2</v>
      </c>
      <c r="BL52" s="682"/>
      <c r="BN52" s="679">
        <v>41</v>
      </c>
      <c r="BO52" s="680">
        <v>14.009</v>
      </c>
      <c r="BP52" s="680">
        <v>17.751999999999999</v>
      </c>
      <c r="BQ52" s="681">
        <v>26.315999999999999</v>
      </c>
      <c r="BR52" s="682"/>
      <c r="BT52" s="679">
        <v>41</v>
      </c>
      <c r="BU52" s="680">
        <v>154.06700000000001</v>
      </c>
      <c r="BV52" s="680">
        <v>143.97499999999999</v>
      </c>
      <c r="BW52" s="681">
        <v>170.803</v>
      </c>
      <c r="BX52" s="682"/>
      <c r="BZ52" s="679">
        <v>41</v>
      </c>
      <c r="CA52" s="680">
        <v>114.979</v>
      </c>
      <c r="CB52" s="680">
        <v>87.491</v>
      </c>
      <c r="CC52" s="681">
        <v>104.05</v>
      </c>
      <c r="CD52" s="682"/>
      <c r="CF52" s="679">
        <v>41</v>
      </c>
      <c r="CG52" s="680"/>
      <c r="CH52" s="680"/>
      <c r="CI52" s="681"/>
      <c r="CJ52" s="682"/>
      <c r="CL52" s="679">
        <v>41</v>
      </c>
      <c r="CM52" s="680"/>
      <c r="CN52" s="680"/>
      <c r="CO52" s="681"/>
      <c r="CP52" s="682"/>
      <c r="CR52" s="679">
        <v>41</v>
      </c>
      <c r="CS52" s="680"/>
      <c r="CT52" s="680"/>
      <c r="CU52" s="681"/>
      <c r="CV52" s="682"/>
      <c r="CX52" s="679">
        <v>41</v>
      </c>
      <c r="CY52" s="680"/>
      <c r="CZ52" s="680"/>
      <c r="DA52" s="681"/>
      <c r="DB52" s="682"/>
      <c r="DD52" s="679">
        <v>41</v>
      </c>
      <c r="DE52" s="680"/>
      <c r="DF52" s="680"/>
      <c r="DG52" s="681"/>
      <c r="DH52" s="682"/>
      <c r="DJ52" s="679">
        <v>41</v>
      </c>
      <c r="DK52" s="680"/>
      <c r="DL52" s="680"/>
      <c r="DM52" s="681"/>
      <c r="DN52" s="682"/>
      <c r="DP52" s="679">
        <v>41</v>
      </c>
      <c r="DQ52" s="680"/>
      <c r="DR52" s="680"/>
      <c r="DS52" s="681"/>
      <c r="DT52" s="682"/>
      <c r="DV52" s="679">
        <v>41</v>
      </c>
      <c r="DW52" s="680"/>
      <c r="DX52" s="680"/>
      <c r="DY52" s="681"/>
      <c r="DZ52" s="682"/>
      <c r="EB52" s="619">
        <v>41</v>
      </c>
      <c r="EC52" s="620"/>
      <c r="ED52" s="620"/>
      <c r="EE52" s="621"/>
      <c r="EF52" s="623"/>
      <c r="EH52" s="619">
        <v>41</v>
      </c>
      <c r="EI52" s="620"/>
      <c r="EJ52" s="620"/>
      <c r="EK52" s="621"/>
      <c r="EL52" s="623"/>
      <c r="EN52" s="619">
        <v>41</v>
      </c>
      <c r="EO52" s="620"/>
      <c r="EP52" s="620"/>
      <c r="EQ52" s="621"/>
      <c r="ER52" s="623"/>
      <c r="ET52" s="619">
        <v>41</v>
      </c>
      <c r="EU52" s="620"/>
      <c r="EV52" s="620"/>
      <c r="EW52" s="621"/>
      <c r="EX52" s="623"/>
    </row>
    <row r="53" spans="12:154">
      <c r="L53" s="679">
        <v>42</v>
      </c>
      <c r="M53" s="680">
        <v>0.498</v>
      </c>
      <c r="N53" s="680">
        <v>0.74099999999999999</v>
      </c>
      <c r="O53" s="681">
        <v>6.7220000000000004</v>
      </c>
      <c r="P53" s="682"/>
      <c r="R53" s="679">
        <v>42</v>
      </c>
      <c r="S53" s="680">
        <v>4.9916200000000002</v>
      </c>
      <c r="T53" s="680">
        <v>7.3199899999999998</v>
      </c>
      <c r="U53" s="681">
        <v>6.8728199999999999</v>
      </c>
      <c r="V53" s="682"/>
      <c r="X53" s="679">
        <v>42</v>
      </c>
      <c r="Y53" s="680">
        <v>10.561</v>
      </c>
      <c r="Z53" s="680">
        <v>12.882</v>
      </c>
      <c r="AA53" s="681">
        <v>23.263000000000002</v>
      </c>
      <c r="AB53" s="682"/>
      <c r="AD53" s="679">
        <v>42</v>
      </c>
      <c r="AE53" s="680">
        <v>219.47</v>
      </c>
      <c r="AF53" s="680">
        <v>168.92599999999999</v>
      </c>
      <c r="AG53" s="681">
        <v>264.512</v>
      </c>
      <c r="AH53" s="682"/>
      <c r="AJ53" s="679">
        <v>42</v>
      </c>
      <c r="AK53" s="680">
        <v>227.50899999999999</v>
      </c>
      <c r="AL53" s="680">
        <v>225.03899999999999</v>
      </c>
      <c r="AM53" s="681">
        <v>240.851</v>
      </c>
      <c r="AN53" s="682"/>
      <c r="AP53" s="679">
        <v>42</v>
      </c>
      <c r="AQ53" s="680">
        <v>2.37</v>
      </c>
      <c r="AR53" s="680">
        <v>1.1850000000000001</v>
      </c>
      <c r="AS53" s="681">
        <v>8.8219999999999992</v>
      </c>
      <c r="AT53" s="682"/>
      <c r="AV53" s="679">
        <v>42</v>
      </c>
      <c r="AW53" s="680">
        <v>66.569999999999993</v>
      </c>
      <c r="AX53" s="680">
        <v>48.25</v>
      </c>
      <c r="AY53" s="681">
        <v>79.72</v>
      </c>
      <c r="AZ53" s="682"/>
      <c r="BB53" s="679">
        <v>42</v>
      </c>
      <c r="BC53" s="680">
        <v>39.93</v>
      </c>
      <c r="BD53" s="680">
        <v>27.87</v>
      </c>
      <c r="BE53" s="681">
        <v>41.86</v>
      </c>
      <c r="BF53" s="682"/>
      <c r="BH53" s="679">
        <v>42</v>
      </c>
      <c r="BI53" s="680">
        <v>0.47025</v>
      </c>
      <c r="BJ53" s="680">
        <v>10.39049</v>
      </c>
      <c r="BK53" s="681">
        <v>3.6519999999999997E-2</v>
      </c>
      <c r="BL53" s="682"/>
      <c r="BN53" s="679">
        <v>42</v>
      </c>
      <c r="BO53" s="680">
        <v>11.071999999999999</v>
      </c>
      <c r="BP53" s="680">
        <v>17.015999999999998</v>
      </c>
      <c r="BQ53" s="681">
        <v>22.265999999999998</v>
      </c>
      <c r="BR53" s="682"/>
      <c r="BT53" s="679">
        <v>42</v>
      </c>
      <c r="BU53" s="680">
        <v>147.15899999999999</v>
      </c>
      <c r="BV53" s="680">
        <v>140.572</v>
      </c>
      <c r="BW53" s="681">
        <v>167.434</v>
      </c>
      <c r="BX53" s="682"/>
      <c r="BZ53" s="679">
        <v>42</v>
      </c>
      <c r="CA53" s="680">
        <v>110.14</v>
      </c>
      <c r="CB53" s="680">
        <v>80.688999999999993</v>
      </c>
      <c r="CC53" s="681">
        <v>95.909000000000006</v>
      </c>
      <c r="CD53" s="682"/>
      <c r="CF53" s="679">
        <v>42</v>
      </c>
      <c r="CG53" s="680"/>
      <c r="CH53" s="680"/>
      <c r="CI53" s="681"/>
      <c r="CJ53" s="682"/>
      <c r="CL53" s="679">
        <v>42</v>
      </c>
      <c r="CM53" s="680"/>
      <c r="CN53" s="680"/>
      <c r="CO53" s="681"/>
      <c r="CP53" s="682"/>
      <c r="CR53" s="679">
        <v>42</v>
      </c>
      <c r="CS53" s="680"/>
      <c r="CT53" s="680"/>
      <c r="CU53" s="681"/>
      <c r="CV53" s="682"/>
      <c r="CX53" s="679">
        <v>42</v>
      </c>
      <c r="CY53" s="680"/>
      <c r="CZ53" s="680"/>
      <c r="DA53" s="681"/>
      <c r="DB53" s="682"/>
      <c r="DD53" s="679">
        <v>42</v>
      </c>
      <c r="DE53" s="680"/>
      <c r="DF53" s="680"/>
      <c r="DG53" s="681"/>
      <c r="DH53" s="682"/>
      <c r="DJ53" s="679">
        <v>42</v>
      </c>
      <c r="DK53" s="680"/>
      <c r="DL53" s="680"/>
      <c r="DM53" s="681"/>
      <c r="DN53" s="682"/>
      <c r="DP53" s="679">
        <v>42</v>
      </c>
      <c r="DQ53" s="680"/>
      <c r="DR53" s="680"/>
      <c r="DS53" s="681"/>
      <c r="DT53" s="682"/>
      <c r="DV53" s="679">
        <v>42</v>
      </c>
      <c r="DW53" s="680"/>
      <c r="DX53" s="680"/>
      <c r="DY53" s="681"/>
      <c r="DZ53" s="682"/>
      <c r="EB53" s="619">
        <v>42</v>
      </c>
      <c r="EC53" s="620"/>
      <c r="ED53" s="620"/>
      <c r="EE53" s="621"/>
      <c r="EF53" s="623"/>
      <c r="EH53" s="619">
        <v>42</v>
      </c>
      <c r="EI53" s="620"/>
      <c r="EJ53" s="620"/>
      <c r="EK53" s="621"/>
      <c r="EL53" s="623"/>
      <c r="EN53" s="619">
        <v>42</v>
      </c>
      <c r="EO53" s="620"/>
      <c r="EP53" s="620"/>
      <c r="EQ53" s="621"/>
      <c r="ER53" s="623"/>
      <c r="ET53" s="619">
        <v>42</v>
      </c>
      <c r="EU53" s="620"/>
      <c r="EV53" s="620"/>
      <c r="EW53" s="621"/>
      <c r="EX53" s="623"/>
    </row>
    <row r="54" spans="12:154">
      <c r="L54" s="679">
        <v>43</v>
      </c>
      <c r="M54" s="680">
        <v>0.88200000000000001</v>
      </c>
      <c r="N54" s="680">
        <v>3.867</v>
      </c>
      <c r="O54" s="681">
        <v>7.42544</v>
      </c>
      <c r="P54" s="682"/>
      <c r="R54" s="679">
        <v>43</v>
      </c>
      <c r="S54" s="680">
        <v>2.4561500000000001</v>
      </c>
      <c r="T54" s="680">
        <v>4.9557500000000001</v>
      </c>
      <c r="U54" s="681">
        <v>5.9700300000000004</v>
      </c>
      <c r="V54" s="682"/>
      <c r="X54" s="679">
        <v>43</v>
      </c>
      <c r="Y54" s="680">
        <v>10.223000000000001</v>
      </c>
      <c r="Z54" s="680">
        <v>12.717000000000001</v>
      </c>
      <c r="AA54" s="681">
        <v>20.736999999999998</v>
      </c>
      <c r="AB54" s="682"/>
      <c r="AD54" s="679">
        <v>43</v>
      </c>
      <c r="AE54" s="680">
        <v>211.226</v>
      </c>
      <c r="AF54" s="680">
        <v>169.084</v>
      </c>
      <c r="AG54" s="681">
        <v>257.36900000000003</v>
      </c>
      <c r="AH54" s="682"/>
      <c r="AJ54" s="679">
        <v>43</v>
      </c>
      <c r="AK54" s="680">
        <v>227.12899999999999</v>
      </c>
      <c r="AL54" s="680">
        <v>224.595</v>
      </c>
      <c r="AM54" s="681">
        <v>240.197</v>
      </c>
      <c r="AN54" s="682"/>
      <c r="AP54" s="679">
        <v>43</v>
      </c>
      <c r="AQ54" s="680">
        <v>2.13</v>
      </c>
      <c r="AR54" s="680">
        <v>1.8839999999999999</v>
      </c>
      <c r="AS54" s="681">
        <v>8.0120000000000005</v>
      </c>
      <c r="AT54" s="682"/>
      <c r="AV54" s="679">
        <v>43</v>
      </c>
      <c r="AW54" s="680">
        <v>58.51</v>
      </c>
      <c r="AX54" s="680">
        <v>40.04</v>
      </c>
      <c r="AY54" s="681">
        <v>71.67</v>
      </c>
      <c r="AZ54" s="682"/>
      <c r="BB54" s="679">
        <v>43</v>
      </c>
      <c r="BC54" s="680">
        <v>36.35</v>
      </c>
      <c r="BD54" s="680">
        <v>29.23</v>
      </c>
      <c r="BE54" s="681">
        <v>44.07</v>
      </c>
      <c r="BF54" s="682"/>
      <c r="BH54" s="679">
        <v>43</v>
      </c>
      <c r="BI54" s="680">
        <v>0.31133</v>
      </c>
      <c r="BJ54" s="680">
        <v>9.8871699999999993</v>
      </c>
      <c r="BK54" s="681">
        <v>3.6519999999999997E-2</v>
      </c>
      <c r="BL54" s="682"/>
      <c r="BN54" s="679">
        <v>43</v>
      </c>
      <c r="BO54" s="680">
        <v>10.077</v>
      </c>
      <c r="BP54" s="680">
        <v>16.991</v>
      </c>
      <c r="BQ54" s="681">
        <v>18.646999999999998</v>
      </c>
      <c r="BR54" s="682"/>
      <c r="BT54" s="679">
        <v>43</v>
      </c>
      <c r="BU54" s="680">
        <v>143.071</v>
      </c>
      <c r="BV54" s="680">
        <v>139.97300000000001</v>
      </c>
      <c r="BW54" s="681">
        <v>160.43899999999999</v>
      </c>
      <c r="BX54" s="682"/>
      <c r="BZ54" s="679">
        <v>43</v>
      </c>
      <c r="CA54" s="680">
        <v>91.259</v>
      </c>
      <c r="CB54" s="680">
        <v>66.733999999999995</v>
      </c>
      <c r="CC54" s="681">
        <v>84.995999999999995</v>
      </c>
      <c r="CD54" s="682"/>
      <c r="CF54" s="679">
        <v>43</v>
      </c>
      <c r="CG54" s="680"/>
      <c r="CH54" s="680"/>
      <c r="CI54" s="681"/>
      <c r="CJ54" s="682"/>
      <c r="CL54" s="679">
        <v>43</v>
      </c>
      <c r="CM54" s="680"/>
      <c r="CN54" s="680"/>
      <c r="CO54" s="681"/>
      <c r="CP54" s="682"/>
      <c r="CR54" s="679">
        <v>43</v>
      </c>
      <c r="CS54" s="680"/>
      <c r="CT54" s="680"/>
      <c r="CU54" s="681"/>
      <c r="CV54" s="682"/>
      <c r="CX54" s="679">
        <v>43</v>
      </c>
      <c r="CY54" s="680"/>
      <c r="CZ54" s="680"/>
      <c r="DA54" s="681"/>
      <c r="DB54" s="682"/>
      <c r="DD54" s="679">
        <v>43</v>
      </c>
      <c r="DE54" s="680"/>
      <c r="DF54" s="680"/>
      <c r="DG54" s="681"/>
      <c r="DH54" s="682"/>
      <c r="DJ54" s="679">
        <v>43</v>
      </c>
      <c r="DK54" s="680"/>
      <c r="DL54" s="680"/>
      <c r="DM54" s="681"/>
      <c r="DN54" s="682"/>
      <c r="DP54" s="679">
        <v>43</v>
      </c>
      <c r="DQ54" s="680"/>
      <c r="DR54" s="680"/>
      <c r="DS54" s="681"/>
      <c r="DT54" s="682"/>
      <c r="DV54" s="679">
        <v>43</v>
      </c>
      <c r="DW54" s="680"/>
      <c r="DX54" s="680"/>
      <c r="DY54" s="681"/>
      <c r="DZ54" s="682"/>
      <c r="EB54" s="619">
        <v>43</v>
      </c>
      <c r="EC54" s="620"/>
      <c r="ED54" s="620"/>
      <c r="EE54" s="621"/>
      <c r="EF54" s="623"/>
      <c r="EH54" s="619">
        <v>43</v>
      </c>
      <c r="EI54" s="620"/>
      <c r="EJ54" s="620"/>
      <c r="EK54" s="621"/>
      <c r="EL54" s="623"/>
      <c r="EN54" s="619">
        <v>43</v>
      </c>
      <c r="EO54" s="620"/>
      <c r="EP54" s="620"/>
      <c r="EQ54" s="621"/>
      <c r="ER54" s="623"/>
      <c r="ET54" s="619">
        <v>43</v>
      </c>
      <c r="EU54" s="620"/>
      <c r="EV54" s="620"/>
      <c r="EW54" s="621"/>
      <c r="EX54" s="623"/>
    </row>
    <row r="55" spans="12:154">
      <c r="L55" s="679">
        <v>44</v>
      </c>
      <c r="M55" s="680">
        <v>1.2310000000000001</v>
      </c>
      <c r="N55" s="680">
        <v>4.3319999999999999</v>
      </c>
      <c r="O55" s="682">
        <v>8.25</v>
      </c>
      <c r="P55" s="682"/>
      <c r="R55" s="679">
        <v>44</v>
      </c>
      <c r="S55" s="680">
        <v>4.6734900000000001</v>
      </c>
      <c r="T55" s="680">
        <v>6.5204300000000002</v>
      </c>
      <c r="U55" s="682">
        <v>2.6734200000000001</v>
      </c>
      <c r="V55" s="682"/>
      <c r="X55" s="679">
        <v>44</v>
      </c>
      <c r="Y55" s="680">
        <v>10.006</v>
      </c>
      <c r="Z55" s="680">
        <v>12.375</v>
      </c>
      <c r="AA55" s="682">
        <v>20.739000000000001</v>
      </c>
      <c r="AB55" s="682"/>
      <c r="AD55" s="679">
        <v>44</v>
      </c>
      <c r="AE55" s="680">
        <v>203.00899999999999</v>
      </c>
      <c r="AF55" s="680">
        <v>162.71299999999999</v>
      </c>
      <c r="AG55" s="682">
        <v>250.57</v>
      </c>
      <c r="AH55" s="682"/>
      <c r="AJ55" s="679">
        <v>44</v>
      </c>
      <c r="AK55" s="680">
        <v>226.43600000000001</v>
      </c>
      <c r="AL55" s="680">
        <v>223.96600000000001</v>
      </c>
      <c r="AM55" s="682">
        <v>239.48699999999999</v>
      </c>
      <c r="AN55" s="682"/>
      <c r="AP55" s="679">
        <v>44</v>
      </c>
      <c r="AQ55" s="680">
        <v>0.99</v>
      </c>
      <c r="AR55" s="680">
        <v>2.1640000000000001</v>
      </c>
      <c r="AS55" s="682">
        <v>8.4120000000000008</v>
      </c>
      <c r="AT55" s="682"/>
      <c r="AV55" s="679">
        <v>44</v>
      </c>
      <c r="AW55" s="680">
        <v>51.46</v>
      </c>
      <c r="AX55" s="680">
        <v>30.7</v>
      </c>
      <c r="AY55" s="682">
        <v>65.78</v>
      </c>
      <c r="AZ55" s="682"/>
      <c r="BB55" s="679">
        <v>44</v>
      </c>
      <c r="BC55" s="680">
        <v>31.69</v>
      </c>
      <c r="BD55" s="680">
        <v>29.78</v>
      </c>
      <c r="BE55" s="682">
        <v>42.41</v>
      </c>
      <c r="BF55" s="682"/>
      <c r="BH55" s="679">
        <v>44</v>
      </c>
      <c r="BI55" s="680">
        <v>0.23296</v>
      </c>
      <c r="BJ55" s="680">
        <v>7.5205099999999998</v>
      </c>
      <c r="BK55" s="682">
        <v>3.6519999999999997E-2</v>
      </c>
      <c r="BL55" s="682"/>
      <c r="BN55" s="679">
        <v>44</v>
      </c>
      <c r="BO55" s="680">
        <v>9.6430000000000007</v>
      </c>
      <c r="BP55" s="680">
        <v>16.663</v>
      </c>
      <c r="BQ55" s="682">
        <v>15.189</v>
      </c>
      <c r="BR55" s="682"/>
      <c r="BT55" s="679">
        <v>44</v>
      </c>
      <c r="BU55" s="680">
        <v>134.79</v>
      </c>
      <c r="BV55" s="680">
        <v>138.04400000000001</v>
      </c>
      <c r="BW55" s="682">
        <v>153.518</v>
      </c>
      <c r="BX55" s="682"/>
      <c r="BZ55" s="679">
        <v>44</v>
      </c>
      <c r="CA55" s="680">
        <v>69.921999999999997</v>
      </c>
      <c r="CB55" s="680">
        <v>61.997</v>
      </c>
      <c r="CC55" s="682">
        <v>76.375</v>
      </c>
      <c r="CD55" s="682"/>
      <c r="CF55" s="679">
        <v>44</v>
      </c>
      <c r="CG55" s="680"/>
      <c r="CH55" s="680"/>
      <c r="CI55" s="682"/>
      <c r="CJ55" s="682"/>
      <c r="CL55" s="679">
        <v>44</v>
      </c>
      <c r="CM55" s="680"/>
      <c r="CN55" s="680"/>
      <c r="CO55" s="682"/>
      <c r="CP55" s="682"/>
      <c r="CR55" s="679">
        <v>44</v>
      </c>
      <c r="CS55" s="680"/>
      <c r="CT55" s="680"/>
      <c r="CU55" s="682"/>
      <c r="CV55" s="682"/>
      <c r="CX55" s="679">
        <v>44</v>
      </c>
      <c r="CY55" s="680"/>
      <c r="CZ55" s="680"/>
      <c r="DA55" s="682"/>
      <c r="DB55" s="682"/>
      <c r="DD55" s="679">
        <v>44</v>
      </c>
      <c r="DE55" s="680"/>
      <c r="DF55" s="680"/>
      <c r="DG55" s="682"/>
      <c r="DH55" s="682"/>
      <c r="DJ55" s="679">
        <v>44</v>
      </c>
      <c r="DK55" s="680"/>
      <c r="DL55" s="680"/>
      <c r="DM55" s="682"/>
      <c r="DN55" s="682"/>
      <c r="DP55" s="679">
        <v>44</v>
      </c>
      <c r="DQ55" s="680"/>
      <c r="DR55" s="680"/>
      <c r="DS55" s="682"/>
      <c r="DT55" s="682"/>
      <c r="DV55" s="679">
        <v>44</v>
      </c>
      <c r="DW55" s="680"/>
      <c r="DX55" s="680"/>
      <c r="DY55" s="682"/>
      <c r="DZ55" s="682"/>
      <c r="EB55" s="619">
        <v>44</v>
      </c>
      <c r="EC55" s="620"/>
      <c r="ED55" s="620"/>
      <c r="EE55" s="623"/>
      <c r="EF55" s="623"/>
      <c r="EH55" s="619">
        <v>44</v>
      </c>
      <c r="EI55" s="620"/>
      <c r="EJ55" s="620"/>
      <c r="EK55" s="623"/>
      <c r="EL55" s="623"/>
      <c r="EN55" s="619">
        <v>44</v>
      </c>
      <c r="EO55" s="620"/>
      <c r="EP55" s="620"/>
      <c r="EQ55" s="623"/>
      <c r="ER55" s="623"/>
      <c r="ET55" s="619">
        <v>44</v>
      </c>
      <c r="EU55" s="620"/>
      <c r="EV55" s="620"/>
      <c r="EW55" s="623"/>
      <c r="EX55" s="623"/>
    </row>
    <row r="56" spans="12:154">
      <c r="L56" s="679">
        <v>45</v>
      </c>
      <c r="M56" s="680">
        <v>1.25</v>
      </c>
      <c r="N56" s="680">
        <v>5.3739999999999997</v>
      </c>
      <c r="O56" s="681">
        <v>9.08474</v>
      </c>
      <c r="P56" s="682"/>
      <c r="R56" s="679">
        <v>45</v>
      </c>
      <c r="S56" s="680">
        <v>1.81396</v>
      </c>
      <c r="T56" s="680">
        <v>4.2035</v>
      </c>
      <c r="U56" s="681">
        <v>3.1323300000000001</v>
      </c>
      <c r="V56" s="682"/>
      <c r="X56" s="679">
        <v>45</v>
      </c>
      <c r="Y56" s="680">
        <v>10.326000000000001</v>
      </c>
      <c r="Z56" s="680">
        <v>11.545</v>
      </c>
      <c r="AA56" s="681">
        <v>21.411000000000001</v>
      </c>
      <c r="AB56" s="682"/>
      <c r="AD56" s="679">
        <v>45</v>
      </c>
      <c r="AE56" s="680">
        <v>194.50800000000001</v>
      </c>
      <c r="AF56" s="680">
        <v>162.71299999999999</v>
      </c>
      <c r="AG56" s="681">
        <v>241.316</v>
      </c>
      <c r="AH56" s="682"/>
      <c r="AJ56" s="679">
        <v>45</v>
      </c>
      <c r="AK56" s="680">
        <v>226.05199999999999</v>
      </c>
      <c r="AL56" s="680">
        <v>223.328</v>
      </c>
      <c r="AM56" s="681">
        <v>238.642</v>
      </c>
      <c r="AN56" s="682"/>
      <c r="AP56" s="679">
        <v>45</v>
      </c>
      <c r="AQ56" s="680">
        <v>0.69</v>
      </c>
      <c r="AR56" s="680">
        <v>2.274</v>
      </c>
      <c r="AS56" s="681">
        <v>8.3819999999999997</v>
      </c>
      <c r="AT56" s="682"/>
      <c r="AV56" s="679">
        <v>45</v>
      </c>
      <c r="AW56" s="680">
        <v>45.88</v>
      </c>
      <c r="AX56" s="680">
        <v>30.471</v>
      </c>
      <c r="AY56" s="681">
        <v>56.13</v>
      </c>
      <c r="AZ56" s="682"/>
      <c r="BB56" s="679">
        <v>45</v>
      </c>
      <c r="BC56" s="680">
        <v>27.87</v>
      </c>
      <c r="BD56" s="680">
        <v>30.6</v>
      </c>
      <c r="BE56" s="681">
        <v>43.24</v>
      </c>
      <c r="BF56" s="682"/>
      <c r="BH56" s="679">
        <v>45</v>
      </c>
      <c r="BI56" s="680">
        <v>0.75168000000000001</v>
      </c>
      <c r="BJ56" s="680">
        <v>6.0836899999999998</v>
      </c>
      <c r="BK56" s="681">
        <v>3.8379999999999997E-2</v>
      </c>
      <c r="BL56" s="682"/>
      <c r="BN56" s="679">
        <v>45</v>
      </c>
      <c r="BO56" s="680">
        <v>9.1229999999999993</v>
      </c>
      <c r="BP56" s="680">
        <v>15.363</v>
      </c>
      <c r="BQ56" s="681">
        <v>12.536</v>
      </c>
      <c r="BR56" s="682"/>
      <c r="BT56" s="679">
        <v>45</v>
      </c>
      <c r="BU56" s="680">
        <v>125.34399999999999</v>
      </c>
      <c r="BV56" s="680">
        <v>133.803</v>
      </c>
      <c r="BW56" s="681">
        <v>145.03899999999999</v>
      </c>
      <c r="BX56" s="682"/>
      <c r="BZ56" s="679">
        <v>45</v>
      </c>
      <c r="CA56" s="680">
        <v>66.932000000000002</v>
      </c>
      <c r="CB56" s="680">
        <v>55.384</v>
      </c>
      <c r="CC56" s="681">
        <v>69.522000000000006</v>
      </c>
      <c r="CD56" s="682"/>
      <c r="CF56" s="679">
        <v>45</v>
      </c>
      <c r="CG56" s="680"/>
      <c r="CH56" s="680"/>
      <c r="CI56" s="681"/>
      <c r="CJ56" s="682"/>
      <c r="CL56" s="679">
        <v>45</v>
      </c>
      <c r="CM56" s="680"/>
      <c r="CN56" s="680"/>
      <c r="CO56" s="681"/>
      <c r="CP56" s="682"/>
      <c r="CR56" s="679">
        <v>45</v>
      </c>
      <c r="CS56" s="680"/>
      <c r="CT56" s="680"/>
      <c r="CU56" s="681"/>
      <c r="CV56" s="682"/>
      <c r="CX56" s="679">
        <v>45</v>
      </c>
      <c r="CY56" s="680"/>
      <c r="CZ56" s="680"/>
      <c r="DA56" s="681"/>
      <c r="DB56" s="682"/>
      <c r="DD56" s="679">
        <v>45</v>
      </c>
      <c r="DE56" s="680"/>
      <c r="DF56" s="680"/>
      <c r="DG56" s="681"/>
      <c r="DH56" s="682"/>
      <c r="DJ56" s="679">
        <v>45</v>
      </c>
      <c r="DK56" s="680"/>
      <c r="DL56" s="680"/>
      <c r="DM56" s="681"/>
      <c r="DN56" s="682"/>
      <c r="DP56" s="679">
        <v>45</v>
      </c>
      <c r="DQ56" s="680"/>
      <c r="DR56" s="680"/>
      <c r="DS56" s="681"/>
      <c r="DT56" s="682"/>
      <c r="DV56" s="679">
        <v>45</v>
      </c>
      <c r="DW56" s="680"/>
      <c r="DX56" s="680"/>
      <c r="DY56" s="681"/>
      <c r="DZ56" s="682"/>
      <c r="EB56" s="619">
        <v>45</v>
      </c>
      <c r="EC56" s="620"/>
      <c r="ED56" s="620"/>
      <c r="EE56" s="621"/>
      <c r="EF56" s="623"/>
      <c r="EH56" s="619">
        <v>45</v>
      </c>
      <c r="EI56" s="620"/>
      <c r="EJ56" s="620"/>
      <c r="EK56" s="621"/>
      <c r="EL56" s="623"/>
      <c r="EN56" s="619">
        <v>45</v>
      </c>
      <c r="EO56" s="620"/>
      <c r="EP56" s="620"/>
      <c r="EQ56" s="621"/>
      <c r="ER56" s="623"/>
      <c r="ET56" s="619">
        <v>45</v>
      </c>
      <c r="EU56" s="620"/>
      <c r="EV56" s="620"/>
      <c r="EW56" s="621"/>
      <c r="EX56" s="623"/>
    </row>
    <row r="57" spans="12:154">
      <c r="L57" s="679">
        <v>46</v>
      </c>
      <c r="M57" s="680">
        <v>0.96413000000000004</v>
      </c>
      <c r="N57" s="680">
        <v>8.016</v>
      </c>
      <c r="O57" s="681">
        <v>11.356999999999999</v>
      </c>
      <c r="P57" s="682"/>
      <c r="R57" s="679">
        <v>46</v>
      </c>
      <c r="S57" s="680">
        <v>4.6856799999999996</v>
      </c>
      <c r="T57" s="680">
        <v>6.0189300000000001</v>
      </c>
      <c r="U57" s="681">
        <v>8.5278700000000001</v>
      </c>
      <c r="V57" s="682"/>
      <c r="X57" s="679">
        <v>46</v>
      </c>
      <c r="Y57" s="680">
        <v>11.214</v>
      </c>
      <c r="Z57" s="680">
        <v>10.134</v>
      </c>
      <c r="AA57" s="681">
        <v>21.323</v>
      </c>
      <c r="AB57" s="682"/>
      <c r="AD57" s="679">
        <v>46</v>
      </c>
      <c r="AE57" s="680">
        <v>186.048</v>
      </c>
      <c r="AF57" s="680">
        <v>150.68199999999999</v>
      </c>
      <c r="AG57" s="681">
        <v>233.97900000000001</v>
      </c>
      <c r="AH57" s="682"/>
      <c r="AJ57" s="679">
        <v>46</v>
      </c>
      <c r="AK57" s="680">
        <v>225.73500000000001</v>
      </c>
      <c r="AL57" s="680">
        <v>222.69900000000001</v>
      </c>
      <c r="AM57" s="681">
        <v>237.92400000000001</v>
      </c>
      <c r="AN57" s="682"/>
      <c r="AP57" s="679">
        <v>46</v>
      </c>
      <c r="AQ57" s="680">
        <v>0.23</v>
      </c>
      <c r="AR57" s="680">
        <v>2.5430000000000001</v>
      </c>
      <c r="AS57" s="681">
        <v>8.8019999999999996</v>
      </c>
      <c r="AT57" s="682"/>
      <c r="AV57" s="679">
        <v>46</v>
      </c>
      <c r="AW57" s="680">
        <v>38.450000000000003</v>
      </c>
      <c r="AX57" s="680">
        <v>26.73</v>
      </c>
      <c r="AY57" s="681">
        <v>46.16</v>
      </c>
      <c r="AZ57" s="682"/>
      <c r="BB57" s="679">
        <v>46</v>
      </c>
      <c r="BC57" s="680">
        <v>25.15</v>
      </c>
      <c r="BD57" s="680">
        <v>30.87</v>
      </c>
      <c r="BE57" s="681">
        <v>44.35</v>
      </c>
      <c r="BF57" s="682"/>
      <c r="BH57" s="679">
        <v>46</v>
      </c>
      <c r="BI57" s="680">
        <v>0.84577000000000002</v>
      </c>
      <c r="BJ57" s="680">
        <v>3.7729300000000001</v>
      </c>
      <c r="BK57" s="681">
        <v>3.6519999999999997E-2</v>
      </c>
      <c r="BL57" s="682"/>
      <c r="BN57" s="679">
        <v>46</v>
      </c>
      <c r="BO57" s="680">
        <v>8.0169999999999995</v>
      </c>
      <c r="BP57" s="680">
        <v>13.231999999999999</v>
      </c>
      <c r="BQ57" s="681">
        <v>10.792</v>
      </c>
      <c r="BR57" s="682"/>
      <c r="BT57" s="679">
        <v>46</v>
      </c>
      <c r="BU57" s="680">
        <v>118.37</v>
      </c>
      <c r="BV57" s="680">
        <v>130.03200000000001</v>
      </c>
      <c r="BW57" s="681">
        <v>140.398</v>
      </c>
      <c r="BX57" s="682"/>
      <c r="BZ57" s="679">
        <v>46</v>
      </c>
      <c r="CA57" s="680">
        <v>50.783999999999999</v>
      </c>
      <c r="CB57" s="680">
        <v>46.616999999999997</v>
      </c>
      <c r="CC57" s="681">
        <v>61.997</v>
      </c>
      <c r="CD57" s="682"/>
      <c r="CF57" s="679">
        <v>46</v>
      </c>
      <c r="CG57" s="680"/>
      <c r="CH57" s="680"/>
      <c r="CI57" s="681"/>
      <c r="CJ57" s="682"/>
      <c r="CL57" s="679">
        <v>46</v>
      </c>
      <c r="CM57" s="680"/>
      <c r="CN57" s="680"/>
      <c r="CO57" s="681"/>
      <c r="CP57" s="682"/>
      <c r="CR57" s="679">
        <v>46</v>
      </c>
      <c r="CS57" s="680"/>
      <c r="CT57" s="680"/>
      <c r="CU57" s="681"/>
      <c r="CV57" s="682"/>
      <c r="CX57" s="679">
        <v>46</v>
      </c>
      <c r="CY57" s="680"/>
      <c r="CZ57" s="680"/>
      <c r="DA57" s="681"/>
      <c r="DB57" s="682"/>
      <c r="DD57" s="679">
        <v>46</v>
      </c>
      <c r="DE57" s="680"/>
      <c r="DF57" s="680"/>
      <c r="DG57" s="681"/>
      <c r="DH57" s="682"/>
      <c r="DJ57" s="679">
        <v>46</v>
      </c>
      <c r="DK57" s="680"/>
      <c r="DL57" s="680"/>
      <c r="DM57" s="681"/>
      <c r="DN57" s="682"/>
      <c r="DP57" s="679">
        <v>46</v>
      </c>
      <c r="DQ57" s="680"/>
      <c r="DR57" s="680"/>
      <c r="DS57" s="681"/>
      <c r="DT57" s="682"/>
      <c r="DV57" s="679">
        <v>46</v>
      </c>
      <c r="DW57" s="680"/>
      <c r="DX57" s="680"/>
      <c r="DY57" s="681"/>
      <c r="DZ57" s="682"/>
      <c r="EB57" s="619">
        <v>46</v>
      </c>
      <c r="EC57" s="620"/>
      <c r="ED57" s="620"/>
      <c r="EE57" s="621"/>
      <c r="EF57" s="623"/>
      <c r="EH57" s="619">
        <v>46</v>
      </c>
      <c r="EI57" s="620"/>
      <c r="EJ57" s="620"/>
      <c r="EK57" s="621"/>
      <c r="EL57" s="623"/>
      <c r="EN57" s="619">
        <v>46</v>
      </c>
      <c r="EO57" s="620"/>
      <c r="EP57" s="620"/>
      <c r="EQ57" s="621"/>
      <c r="ER57" s="623"/>
      <c r="ET57" s="619">
        <v>46</v>
      </c>
      <c r="EU57" s="620"/>
      <c r="EV57" s="620"/>
      <c r="EW57" s="621"/>
      <c r="EX57" s="623"/>
    </row>
    <row r="58" spans="12:154">
      <c r="L58" s="679">
        <v>47</v>
      </c>
      <c r="M58" s="680">
        <v>1.4550000000000001</v>
      </c>
      <c r="N58" s="680">
        <v>10.019</v>
      </c>
      <c r="O58" s="681">
        <v>12.486000000000001</v>
      </c>
      <c r="P58" s="682"/>
      <c r="R58" s="679">
        <v>47</v>
      </c>
      <c r="S58" s="680">
        <v>1.3083400000000001</v>
      </c>
      <c r="T58" s="680">
        <v>5.1637399999999998</v>
      </c>
      <c r="U58" s="681">
        <v>16.682289999999998</v>
      </c>
      <c r="V58" s="682"/>
      <c r="X58" s="679">
        <v>47</v>
      </c>
      <c r="Y58" s="680">
        <v>11.19</v>
      </c>
      <c r="Z58" s="680">
        <v>10.676</v>
      </c>
      <c r="AA58" s="681">
        <v>20.683</v>
      </c>
      <c r="AB58" s="682"/>
      <c r="AD58" s="679">
        <v>47</v>
      </c>
      <c r="AE58" s="680">
        <v>178.67</v>
      </c>
      <c r="AF58" s="680">
        <v>143.595</v>
      </c>
      <c r="AG58" s="681">
        <v>227.13</v>
      </c>
      <c r="AH58" s="682"/>
      <c r="AJ58" s="679">
        <v>47</v>
      </c>
      <c r="AK58" s="680">
        <v>225.482</v>
      </c>
      <c r="AL58" s="680">
        <v>221.99799999999999</v>
      </c>
      <c r="AM58" s="681">
        <v>237.143</v>
      </c>
      <c r="AN58" s="682"/>
      <c r="AP58" s="679">
        <v>47</v>
      </c>
      <c r="AQ58" s="680"/>
      <c r="AR58" s="680">
        <v>2.843</v>
      </c>
      <c r="AS58" s="681">
        <v>10.3</v>
      </c>
      <c r="AT58" s="682"/>
      <c r="AV58" s="679">
        <v>47</v>
      </c>
      <c r="AW58" s="680">
        <v>36.200000000000003</v>
      </c>
      <c r="AX58" s="680">
        <v>22.24</v>
      </c>
      <c r="AY58" s="681">
        <v>43.57</v>
      </c>
      <c r="AZ58" s="682"/>
      <c r="BB58" s="679">
        <v>47</v>
      </c>
      <c r="BC58" s="680">
        <v>20.28</v>
      </c>
      <c r="BD58" s="680">
        <v>32.79</v>
      </c>
      <c r="BE58" s="681">
        <v>47.4</v>
      </c>
      <c r="BF58" s="682"/>
      <c r="BH58" s="679">
        <v>47</v>
      </c>
      <c r="BI58" s="680">
        <v>0.98716999999999999</v>
      </c>
      <c r="BJ58" s="680">
        <v>2.78606</v>
      </c>
      <c r="BK58" s="681">
        <v>0.19008</v>
      </c>
      <c r="BL58" s="682"/>
      <c r="BN58" s="679">
        <v>47</v>
      </c>
      <c r="BO58" s="680">
        <v>6.9429999999999996</v>
      </c>
      <c r="BP58" s="680">
        <v>11.564</v>
      </c>
      <c r="BQ58" s="681">
        <v>10.191000000000001</v>
      </c>
      <c r="BR58" s="682"/>
      <c r="BT58" s="679">
        <v>47</v>
      </c>
      <c r="BU58" s="680">
        <v>111.124</v>
      </c>
      <c r="BV58" s="680">
        <v>130.88499999999999</v>
      </c>
      <c r="BW58" s="681">
        <v>136.78800000000001</v>
      </c>
      <c r="BX58" s="682"/>
      <c r="BZ58" s="679">
        <v>47</v>
      </c>
      <c r="CA58" s="680">
        <v>43.99</v>
      </c>
      <c r="CB58" s="680">
        <v>36.588999999999999</v>
      </c>
      <c r="CC58" s="681">
        <v>57.704999999999998</v>
      </c>
      <c r="CD58" s="682"/>
      <c r="CF58" s="679">
        <v>47</v>
      </c>
      <c r="CG58" s="680"/>
      <c r="CH58" s="680"/>
      <c r="CI58" s="681"/>
      <c r="CJ58" s="682"/>
      <c r="CL58" s="679">
        <v>47</v>
      </c>
      <c r="CM58" s="680"/>
      <c r="CN58" s="680"/>
      <c r="CO58" s="681"/>
      <c r="CP58" s="682"/>
      <c r="CR58" s="679">
        <v>47</v>
      </c>
      <c r="CS58" s="680"/>
      <c r="CT58" s="680"/>
      <c r="CU58" s="681"/>
      <c r="CV58" s="682"/>
      <c r="CX58" s="679">
        <v>47</v>
      </c>
      <c r="CY58" s="680"/>
      <c r="CZ58" s="680"/>
      <c r="DA58" s="681"/>
      <c r="DB58" s="682"/>
      <c r="DD58" s="679">
        <v>47</v>
      </c>
      <c r="DE58" s="680"/>
      <c r="DF58" s="680"/>
      <c r="DG58" s="681"/>
      <c r="DH58" s="682"/>
      <c r="DJ58" s="679">
        <v>47</v>
      </c>
      <c r="DK58" s="680"/>
      <c r="DL58" s="680"/>
      <c r="DM58" s="681"/>
      <c r="DN58" s="682"/>
      <c r="DP58" s="679">
        <v>47</v>
      </c>
      <c r="DQ58" s="680"/>
      <c r="DR58" s="680"/>
      <c r="DS58" s="681"/>
      <c r="DT58" s="682"/>
      <c r="DV58" s="679">
        <v>47</v>
      </c>
      <c r="DW58" s="680"/>
      <c r="DX58" s="680"/>
      <c r="DY58" s="681"/>
      <c r="DZ58" s="682"/>
      <c r="EB58" s="619">
        <v>47</v>
      </c>
      <c r="EC58" s="620"/>
      <c r="ED58" s="620"/>
      <c r="EE58" s="621"/>
      <c r="EF58" s="623"/>
      <c r="EH58" s="619">
        <v>47</v>
      </c>
      <c r="EI58" s="620"/>
      <c r="EJ58" s="620"/>
      <c r="EK58" s="621"/>
      <c r="EL58" s="623"/>
      <c r="EN58" s="619">
        <v>47</v>
      </c>
      <c r="EO58" s="620"/>
      <c r="EP58" s="620"/>
      <c r="EQ58" s="621"/>
      <c r="ER58" s="623"/>
      <c r="ET58" s="619">
        <v>47</v>
      </c>
      <c r="EU58" s="620"/>
      <c r="EV58" s="620"/>
      <c r="EW58" s="621"/>
      <c r="EX58" s="623"/>
    </row>
    <row r="59" spans="12:154">
      <c r="L59" s="679">
        <v>48</v>
      </c>
      <c r="M59" s="680">
        <v>0.81899999999999995</v>
      </c>
      <c r="N59" s="680">
        <v>9.5239999999999991</v>
      </c>
      <c r="O59" s="681">
        <v>13.622</v>
      </c>
      <c r="P59" s="682"/>
      <c r="R59" s="679">
        <v>48</v>
      </c>
      <c r="S59" s="680">
        <v>3.21854</v>
      </c>
      <c r="T59" s="680">
        <v>6.64717</v>
      </c>
      <c r="U59" s="681">
        <v>10.44577</v>
      </c>
      <c r="V59" s="682"/>
      <c r="X59" s="679">
        <v>48</v>
      </c>
      <c r="Y59" s="680">
        <v>11.832000000000001</v>
      </c>
      <c r="Z59" s="680">
        <v>14.132</v>
      </c>
      <c r="AA59" s="681">
        <v>20.96</v>
      </c>
      <c r="AB59" s="682"/>
      <c r="AD59" s="679">
        <v>48</v>
      </c>
      <c r="AE59" s="680">
        <v>171.28899999999999</v>
      </c>
      <c r="AF59" s="680">
        <v>137.82599999999999</v>
      </c>
      <c r="AG59" s="681">
        <v>225.03100000000001</v>
      </c>
      <c r="AH59" s="682"/>
      <c r="AJ59" s="679">
        <v>48</v>
      </c>
      <c r="AK59" s="680">
        <v>225.16499999999999</v>
      </c>
      <c r="AL59" s="680">
        <v>221.364</v>
      </c>
      <c r="AM59" s="681">
        <v>236.62100000000001</v>
      </c>
      <c r="AN59" s="682"/>
      <c r="AP59" s="679">
        <v>48</v>
      </c>
      <c r="AQ59" s="680"/>
      <c r="AR59" s="680">
        <v>5.8819999999999997</v>
      </c>
      <c r="AS59" s="681">
        <v>12.23</v>
      </c>
      <c r="AT59" s="682"/>
      <c r="AV59" s="679">
        <v>48</v>
      </c>
      <c r="AW59" s="680">
        <v>30.02</v>
      </c>
      <c r="AX59" s="680">
        <v>22.04</v>
      </c>
      <c r="AY59" s="681">
        <v>44.78</v>
      </c>
      <c r="AZ59" s="682"/>
      <c r="BB59" s="679">
        <v>48</v>
      </c>
      <c r="BC59" s="680">
        <v>19</v>
      </c>
      <c r="BD59" s="680">
        <v>35.25</v>
      </c>
      <c r="BE59" s="681">
        <v>51.02</v>
      </c>
      <c r="BF59" s="682"/>
      <c r="BH59" s="679">
        <v>48</v>
      </c>
      <c r="BI59" s="680">
        <v>1.15726</v>
      </c>
      <c r="BJ59" s="680">
        <v>1.2803899999999999</v>
      </c>
      <c r="BK59" s="681">
        <v>0.19008</v>
      </c>
      <c r="BL59" s="682"/>
      <c r="BN59" s="679">
        <v>48</v>
      </c>
      <c r="BO59" s="680">
        <v>5.9829999999999997</v>
      </c>
      <c r="BP59" s="680">
        <v>12.536</v>
      </c>
      <c r="BQ59" s="681">
        <v>13.16</v>
      </c>
      <c r="BR59" s="682"/>
      <c r="BT59" s="679">
        <v>48</v>
      </c>
      <c r="BU59" s="680">
        <v>103.988</v>
      </c>
      <c r="BV59" s="680">
        <v>134.708</v>
      </c>
      <c r="BW59" s="681">
        <v>139.51900000000001</v>
      </c>
      <c r="BX59" s="682"/>
      <c r="BZ59" s="679">
        <v>48</v>
      </c>
      <c r="CA59" s="680">
        <v>28.986999999999998</v>
      </c>
      <c r="CB59" s="680">
        <v>40.270000000000003</v>
      </c>
      <c r="CC59" s="681">
        <v>61.213999999999999</v>
      </c>
      <c r="CD59" s="682"/>
      <c r="CF59" s="679">
        <v>48</v>
      </c>
      <c r="CG59" s="680"/>
      <c r="CH59" s="680"/>
      <c r="CI59" s="681"/>
      <c r="CJ59" s="682"/>
      <c r="CL59" s="679">
        <v>48</v>
      </c>
      <c r="CM59" s="680"/>
      <c r="CN59" s="680"/>
      <c r="CO59" s="681"/>
      <c r="CP59" s="682"/>
      <c r="CR59" s="679">
        <v>48</v>
      </c>
      <c r="CS59" s="680"/>
      <c r="CT59" s="680"/>
      <c r="CU59" s="681"/>
      <c r="CV59" s="682"/>
      <c r="CX59" s="679">
        <v>48</v>
      </c>
      <c r="CY59" s="680"/>
      <c r="CZ59" s="680"/>
      <c r="DA59" s="681"/>
      <c r="DB59" s="682"/>
      <c r="DD59" s="679">
        <v>48</v>
      </c>
      <c r="DE59" s="680"/>
      <c r="DF59" s="680"/>
      <c r="DG59" s="681"/>
      <c r="DH59" s="682"/>
      <c r="DJ59" s="679">
        <v>48</v>
      </c>
      <c r="DK59" s="680"/>
      <c r="DL59" s="680"/>
      <c r="DM59" s="681"/>
      <c r="DN59" s="682"/>
      <c r="DP59" s="679">
        <v>48</v>
      </c>
      <c r="DQ59" s="680"/>
      <c r="DR59" s="680"/>
      <c r="DS59" s="681"/>
      <c r="DT59" s="682"/>
      <c r="DV59" s="679">
        <v>48</v>
      </c>
      <c r="DW59" s="680"/>
      <c r="DX59" s="680"/>
      <c r="DY59" s="681"/>
      <c r="DZ59" s="682"/>
      <c r="EB59" s="619">
        <v>48</v>
      </c>
      <c r="EC59" s="620"/>
      <c r="ED59" s="620"/>
      <c r="EE59" s="621"/>
      <c r="EF59" s="623"/>
      <c r="EH59" s="619">
        <v>48</v>
      </c>
      <c r="EI59" s="620"/>
      <c r="EJ59" s="620"/>
      <c r="EK59" s="621"/>
      <c r="EL59" s="623"/>
      <c r="EN59" s="619">
        <v>48</v>
      </c>
      <c r="EO59" s="620"/>
      <c r="EP59" s="620"/>
      <c r="EQ59" s="621"/>
      <c r="ER59" s="623"/>
      <c r="ET59" s="619">
        <v>48</v>
      </c>
      <c r="EU59" s="620"/>
      <c r="EV59" s="620"/>
      <c r="EW59" s="621"/>
      <c r="EX59" s="623"/>
    </row>
    <row r="60" spans="12:154">
      <c r="L60" s="679">
        <v>49</v>
      </c>
      <c r="M60" s="680">
        <v>0.81899999999999995</v>
      </c>
      <c r="N60" s="680">
        <v>12.363</v>
      </c>
      <c r="O60" s="681">
        <v>14.760999999999999</v>
      </c>
      <c r="P60" s="682"/>
      <c r="R60" s="679">
        <v>49</v>
      </c>
      <c r="S60" s="680">
        <v>1.52075</v>
      </c>
      <c r="T60" s="680">
        <v>3.4623400000000002</v>
      </c>
      <c r="U60" s="681">
        <v>9.8271800000000002</v>
      </c>
      <c r="V60" s="682"/>
      <c r="X60" s="679">
        <v>49</v>
      </c>
      <c r="Y60" s="680">
        <v>12.503</v>
      </c>
      <c r="Z60" s="680">
        <v>15.808</v>
      </c>
      <c r="AA60" s="681">
        <v>20.838999999999999</v>
      </c>
      <c r="AB60" s="682"/>
      <c r="AD60" s="679">
        <v>49</v>
      </c>
      <c r="AE60" s="680">
        <v>166.762</v>
      </c>
      <c r="AF60" s="680">
        <v>132.54499999999999</v>
      </c>
      <c r="AG60" s="681">
        <v>222.96799999999999</v>
      </c>
      <c r="AH60" s="682"/>
      <c r="AJ60" s="679">
        <v>49</v>
      </c>
      <c r="AK60" s="680">
        <v>224.845</v>
      </c>
      <c r="AL60" s="680">
        <v>220.667</v>
      </c>
      <c r="AM60" s="681">
        <v>236.166</v>
      </c>
      <c r="AN60" s="682"/>
      <c r="AP60" s="679">
        <v>49</v>
      </c>
      <c r="AQ60" s="680"/>
      <c r="AR60" s="680">
        <v>6.6520000000000001</v>
      </c>
      <c r="AS60" s="681">
        <v>13.85</v>
      </c>
      <c r="AT60" s="682"/>
      <c r="AV60" s="679">
        <v>49</v>
      </c>
      <c r="AW60" s="680">
        <v>25.56</v>
      </c>
      <c r="AX60" s="680">
        <v>31.88</v>
      </c>
      <c r="AY60" s="681">
        <v>56.27</v>
      </c>
      <c r="AZ60" s="682"/>
      <c r="BB60" s="679">
        <v>49</v>
      </c>
      <c r="BC60" s="680">
        <v>19.47</v>
      </c>
      <c r="BD60" s="680">
        <v>36.619999999999997</v>
      </c>
      <c r="BE60" s="681">
        <v>53.25</v>
      </c>
      <c r="BF60" s="682"/>
      <c r="BH60" s="679">
        <v>49</v>
      </c>
      <c r="BI60" s="680">
        <v>1.2614300000000001</v>
      </c>
      <c r="BJ60" s="680">
        <v>1.89</v>
      </c>
      <c r="BK60" s="681">
        <v>0.19008</v>
      </c>
      <c r="BL60" s="682"/>
      <c r="BN60" s="679">
        <v>49</v>
      </c>
      <c r="BO60" s="680">
        <v>5.15</v>
      </c>
      <c r="BP60" s="680">
        <v>13.619</v>
      </c>
      <c r="BQ60" s="681">
        <v>15.986000000000001</v>
      </c>
      <c r="BR60" s="682"/>
      <c r="BT60" s="679">
        <v>49</v>
      </c>
      <c r="BU60" s="680">
        <v>93.575000000000003</v>
      </c>
      <c r="BV60" s="680">
        <v>147.88</v>
      </c>
      <c r="BW60" s="681">
        <v>143.97399999999999</v>
      </c>
      <c r="BX60" s="682"/>
      <c r="BZ60" s="679">
        <v>49</v>
      </c>
      <c r="CA60" s="680">
        <v>14.64</v>
      </c>
      <c r="CB60" s="680">
        <v>34.764000000000003</v>
      </c>
      <c r="CC60" s="681">
        <v>55.384</v>
      </c>
      <c r="CD60" s="682"/>
      <c r="CF60" s="679">
        <v>49</v>
      </c>
      <c r="CG60" s="680"/>
      <c r="CH60" s="680"/>
      <c r="CI60" s="681"/>
      <c r="CJ60" s="682"/>
      <c r="CL60" s="679">
        <v>49</v>
      </c>
      <c r="CM60" s="680"/>
      <c r="CN60" s="680"/>
      <c r="CO60" s="681"/>
      <c r="CP60" s="682"/>
      <c r="CR60" s="679">
        <v>49</v>
      </c>
      <c r="CS60" s="680"/>
      <c r="CT60" s="680"/>
      <c r="CU60" s="681"/>
      <c r="CV60" s="682"/>
      <c r="CX60" s="679">
        <v>49</v>
      </c>
      <c r="CY60" s="680"/>
      <c r="CZ60" s="680"/>
      <c r="DA60" s="681"/>
      <c r="DB60" s="682"/>
      <c r="DD60" s="679">
        <v>49</v>
      </c>
      <c r="DE60" s="680"/>
      <c r="DF60" s="680"/>
      <c r="DG60" s="681"/>
      <c r="DH60" s="682"/>
      <c r="DJ60" s="679">
        <v>49</v>
      </c>
      <c r="DK60" s="680"/>
      <c r="DL60" s="680"/>
      <c r="DM60" s="681"/>
      <c r="DN60" s="682"/>
      <c r="DP60" s="679">
        <v>49</v>
      </c>
      <c r="DQ60" s="680"/>
      <c r="DR60" s="680"/>
      <c r="DS60" s="681"/>
      <c r="DT60" s="682"/>
      <c r="DV60" s="679">
        <v>49</v>
      </c>
      <c r="DW60" s="680"/>
      <c r="DX60" s="680"/>
      <c r="DY60" s="681"/>
      <c r="DZ60" s="682"/>
      <c r="EB60" s="619">
        <v>49</v>
      </c>
      <c r="EC60" s="620"/>
      <c r="ED60" s="620"/>
      <c r="EE60" s="621"/>
      <c r="EF60" s="623"/>
      <c r="EH60" s="619">
        <v>49</v>
      </c>
      <c r="EI60" s="620"/>
      <c r="EJ60" s="620"/>
      <c r="EK60" s="621"/>
      <c r="EL60" s="623"/>
      <c r="EN60" s="619">
        <v>49</v>
      </c>
      <c r="EO60" s="620"/>
      <c r="EP60" s="620"/>
      <c r="EQ60" s="621"/>
      <c r="ER60" s="623"/>
      <c r="ET60" s="619">
        <v>49</v>
      </c>
      <c r="EU60" s="620"/>
      <c r="EV60" s="620"/>
      <c r="EW60" s="621"/>
      <c r="EX60" s="623"/>
    </row>
    <row r="61" spans="12:154">
      <c r="L61" s="679">
        <v>50</v>
      </c>
      <c r="M61" s="680">
        <v>2.55125</v>
      </c>
      <c r="N61" s="680">
        <v>13.51</v>
      </c>
      <c r="O61" s="681">
        <v>16.103999999999999</v>
      </c>
      <c r="P61" s="682"/>
      <c r="R61" s="679">
        <v>50</v>
      </c>
      <c r="S61" s="680">
        <v>5.6227799999999997</v>
      </c>
      <c r="T61" s="680">
        <v>9.6512100000000007</v>
      </c>
      <c r="U61" s="681">
        <v>2.7149800000000002</v>
      </c>
      <c r="V61" s="682"/>
      <c r="X61" s="679">
        <v>50</v>
      </c>
      <c r="Y61" s="680">
        <v>12.728999999999999</v>
      </c>
      <c r="Z61" s="680">
        <v>17.873999999999999</v>
      </c>
      <c r="AA61" s="681">
        <v>22.806000000000001</v>
      </c>
      <c r="AB61" s="682"/>
      <c r="AD61" s="679">
        <v>50</v>
      </c>
      <c r="AE61" s="680">
        <v>168.37299999999999</v>
      </c>
      <c r="AF61" s="680">
        <v>134.864</v>
      </c>
      <c r="AG61" s="681">
        <v>235.82300000000001</v>
      </c>
      <c r="AH61" s="682"/>
      <c r="AJ61" s="679">
        <v>50</v>
      </c>
      <c r="AK61" s="680">
        <v>225.33949999999999</v>
      </c>
      <c r="AL61" s="680">
        <v>220.22</v>
      </c>
      <c r="AM61" s="681">
        <v>235.453</v>
      </c>
      <c r="AN61" s="682"/>
      <c r="AP61" s="679">
        <v>50</v>
      </c>
      <c r="AQ61" s="680"/>
      <c r="AR61" s="680">
        <v>7.3019999999999996</v>
      </c>
      <c r="AS61" s="681">
        <v>16.64</v>
      </c>
      <c r="AT61" s="682"/>
      <c r="AV61" s="679">
        <v>50</v>
      </c>
      <c r="AW61" s="680">
        <v>23.86</v>
      </c>
      <c r="AX61" s="680">
        <v>34.33</v>
      </c>
      <c r="AY61" s="681">
        <v>61.55</v>
      </c>
      <c r="AZ61" s="682"/>
      <c r="BB61" s="679">
        <v>50</v>
      </c>
      <c r="BC61" s="680">
        <v>22.17</v>
      </c>
      <c r="BD61" s="680">
        <v>39.1</v>
      </c>
      <c r="BE61" s="681">
        <v>52.84</v>
      </c>
      <c r="BF61" s="682"/>
      <c r="BH61" s="679">
        <v>50</v>
      </c>
      <c r="BI61" s="680">
        <v>1.5844800000000001</v>
      </c>
      <c r="BJ61" s="680">
        <v>2.7278899999999999</v>
      </c>
      <c r="BK61" s="681">
        <v>1.79437</v>
      </c>
      <c r="BL61" s="682"/>
      <c r="BN61" s="679">
        <v>50</v>
      </c>
      <c r="BO61" s="680">
        <v>5.09</v>
      </c>
      <c r="BP61" s="680">
        <v>13.497999999999999</v>
      </c>
      <c r="BQ61" s="681">
        <v>13.015000000000001</v>
      </c>
      <c r="BR61" s="682"/>
      <c r="BT61" s="679">
        <v>50</v>
      </c>
      <c r="BU61" s="680">
        <v>89.162999999999997</v>
      </c>
      <c r="BV61" s="680">
        <v>152.45599999999999</v>
      </c>
      <c r="BW61" s="681">
        <v>150.971</v>
      </c>
      <c r="BX61" s="682"/>
      <c r="BZ61" s="679">
        <v>50</v>
      </c>
      <c r="CA61" s="680">
        <v>29.344999999999999</v>
      </c>
      <c r="CB61" s="680">
        <v>26.847000000000001</v>
      </c>
      <c r="CC61" s="681">
        <v>41.381999999999998</v>
      </c>
      <c r="CD61" s="682"/>
      <c r="CF61" s="679">
        <v>50</v>
      </c>
      <c r="CG61" s="680"/>
      <c r="CH61" s="680"/>
      <c r="CI61" s="681"/>
      <c r="CJ61" s="682"/>
      <c r="CL61" s="679">
        <v>50</v>
      </c>
      <c r="CM61" s="680"/>
      <c r="CN61" s="680"/>
      <c r="CO61" s="681"/>
      <c r="CP61" s="682"/>
      <c r="CR61" s="679">
        <v>50</v>
      </c>
      <c r="CS61" s="680"/>
      <c r="CT61" s="680"/>
      <c r="CU61" s="681"/>
      <c r="CV61" s="682"/>
      <c r="CX61" s="679">
        <v>50</v>
      </c>
      <c r="CY61" s="680"/>
      <c r="CZ61" s="680"/>
      <c r="DA61" s="681"/>
      <c r="DB61" s="682"/>
      <c r="DD61" s="679">
        <v>50</v>
      </c>
      <c r="DE61" s="680"/>
      <c r="DF61" s="680"/>
      <c r="DG61" s="681"/>
      <c r="DH61" s="682"/>
      <c r="DJ61" s="679">
        <v>50</v>
      </c>
      <c r="DK61" s="680"/>
      <c r="DL61" s="680"/>
      <c r="DM61" s="681"/>
      <c r="DN61" s="682"/>
      <c r="DP61" s="679">
        <v>50</v>
      </c>
      <c r="DQ61" s="680"/>
      <c r="DR61" s="680"/>
      <c r="DS61" s="681"/>
      <c r="DT61" s="682"/>
      <c r="DV61" s="679">
        <v>50</v>
      </c>
      <c r="DW61" s="680"/>
      <c r="DX61" s="680"/>
      <c r="DY61" s="681"/>
      <c r="DZ61" s="682"/>
      <c r="EB61" s="619">
        <v>50</v>
      </c>
      <c r="EC61" s="620"/>
      <c r="ED61" s="620"/>
      <c r="EE61" s="621"/>
      <c r="EF61" s="623"/>
      <c r="EH61" s="619">
        <v>50</v>
      </c>
      <c r="EI61" s="620"/>
      <c r="EJ61" s="620"/>
      <c r="EK61" s="621"/>
      <c r="EL61" s="623"/>
      <c r="EN61" s="619">
        <v>50</v>
      </c>
      <c r="EO61" s="620"/>
      <c r="EP61" s="620"/>
      <c r="EQ61" s="621"/>
      <c r="ER61" s="623"/>
      <c r="ET61" s="619">
        <v>50</v>
      </c>
      <c r="EU61" s="620"/>
      <c r="EV61" s="620"/>
      <c r="EW61" s="621"/>
      <c r="EX61" s="623"/>
    </row>
    <row r="62" spans="12:154">
      <c r="L62" s="679">
        <v>51</v>
      </c>
      <c r="M62" s="680">
        <v>3.6850000000000001</v>
      </c>
      <c r="N62" s="680">
        <v>16.503509999999999</v>
      </c>
      <c r="O62" s="681">
        <v>17.636610000000001</v>
      </c>
      <c r="P62" s="682"/>
      <c r="R62" s="679">
        <v>51</v>
      </c>
      <c r="S62" s="680">
        <v>0.27295999999999998</v>
      </c>
      <c r="T62" s="680">
        <v>10.670439999999999</v>
      </c>
      <c r="U62" s="681">
        <v>13.84319</v>
      </c>
      <c r="V62" s="682"/>
      <c r="X62" s="679">
        <v>51</v>
      </c>
      <c r="Y62" s="680">
        <v>13.117000000000001</v>
      </c>
      <c r="Z62" s="680">
        <v>19.007000000000001</v>
      </c>
      <c r="AA62" s="681">
        <v>23.748999999999999</v>
      </c>
      <c r="AB62" s="682"/>
      <c r="AD62" s="679">
        <v>51</v>
      </c>
      <c r="AE62" s="680">
        <v>163.90299999999999</v>
      </c>
      <c r="AF62" s="680">
        <v>132.346</v>
      </c>
      <c r="AG62" s="681">
        <v>229.12799999999999</v>
      </c>
      <c r="AH62" s="682"/>
      <c r="AJ62" s="679">
        <v>51</v>
      </c>
      <c r="AK62" s="680">
        <v>225.60499999999999</v>
      </c>
      <c r="AL62" s="680">
        <v>219.721</v>
      </c>
      <c r="AM62" s="681">
        <v>234.798</v>
      </c>
      <c r="AN62" s="682"/>
      <c r="AP62" s="679">
        <v>51</v>
      </c>
      <c r="AQ62" s="680"/>
      <c r="AR62" s="680">
        <v>8.3019999999999996</v>
      </c>
      <c r="AS62" s="681">
        <v>18.11</v>
      </c>
      <c r="AT62" s="682"/>
      <c r="AV62" s="679">
        <v>51</v>
      </c>
      <c r="AW62" s="680">
        <v>21.17</v>
      </c>
      <c r="AX62" s="680">
        <v>44.21</v>
      </c>
      <c r="AY62" s="681">
        <v>68.38</v>
      </c>
      <c r="AZ62" s="682"/>
      <c r="BB62" s="679">
        <v>51</v>
      </c>
      <c r="BC62" s="680">
        <v>22.98</v>
      </c>
      <c r="BD62" s="680">
        <v>40.479999999999997</v>
      </c>
      <c r="BE62" s="681">
        <v>58.01</v>
      </c>
      <c r="BF62" s="682"/>
      <c r="BH62" s="679">
        <v>51</v>
      </c>
      <c r="BI62" s="680">
        <v>2.1008800000000001</v>
      </c>
      <c r="BJ62" s="680">
        <v>3.3999600000000001</v>
      </c>
      <c r="BK62" s="681">
        <v>1.79437</v>
      </c>
      <c r="BL62" s="682"/>
      <c r="BN62" s="679">
        <v>51</v>
      </c>
      <c r="BO62" s="680">
        <v>7.0060000000000002</v>
      </c>
      <c r="BP62" s="680">
        <v>13.837999999999999</v>
      </c>
      <c r="BQ62" s="681">
        <v>12.488</v>
      </c>
      <c r="BR62" s="682"/>
      <c r="BT62" s="679">
        <v>51</v>
      </c>
      <c r="BU62" s="680">
        <v>87.28</v>
      </c>
      <c r="BV62" s="680">
        <v>160.58799999999999</v>
      </c>
      <c r="BW62" s="681">
        <v>161.72900000000001</v>
      </c>
      <c r="BX62" s="682"/>
      <c r="BZ62" s="679">
        <v>51</v>
      </c>
      <c r="CA62" s="680">
        <v>24.72</v>
      </c>
      <c r="CB62" s="680">
        <v>18.425999999999998</v>
      </c>
      <c r="CC62" s="681">
        <v>44.738999999999997</v>
      </c>
      <c r="CD62" s="682"/>
      <c r="CF62" s="679">
        <v>51</v>
      </c>
      <c r="CG62" s="680"/>
      <c r="CH62" s="680"/>
      <c r="CI62" s="681"/>
      <c r="CJ62" s="682"/>
      <c r="CL62" s="679">
        <v>51</v>
      </c>
      <c r="CM62" s="680"/>
      <c r="CN62" s="680"/>
      <c r="CO62" s="681"/>
      <c r="CP62" s="682"/>
      <c r="CR62" s="679">
        <v>51</v>
      </c>
      <c r="CS62" s="680"/>
      <c r="CT62" s="680"/>
      <c r="CU62" s="681"/>
      <c r="CV62" s="682"/>
      <c r="CX62" s="679">
        <v>51</v>
      </c>
      <c r="CY62" s="680"/>
      <c r="CZ62" s="680"/>
      <c r="DA62" s="681"/>
      <c r="DB62" s="682"/>
      <c r="DD62" s="679">
        <v>51</v>
      </c>
      <c r="DE62" s="680"/>
      <c r="DF62" s="680"/>
      <c r="DG62" s="681"/>
      <c r="DH62" s="682"/>
      <c r="DJ62" s="679">
        <v>51</v>
      </c>
      <c r="DK62" s="680"/>
      <c r="DL62" s="680"/>
      <c r="DM62" s="681"/>
      <c r="DN62" s="682"/>
      <c r="DP62" s="679">
        <v>51</v>
      </c>
      <c r="DQ62" s="680"/>
      <c r="DR62" s="680"/>
      <c r="DS62" s="681"/>
      <c r="DT62" s="682"/>
      <c r="DV62" s="679">
        <v>51</v>
      </c>
      <c r="DW62" s="680"/>
      <c r="DX62" s="680"/>
      <c r="DY62" s="681"/>
      <c r="DZ62" s="682"/>
      <c r="EB62" s="619">
        <v>51</v>
      </c>
      <c r="EC62" s="620"/>
      <c r="ED62" s="620"/>
      <c r="EE62" s="621"/>
      <c r="EF62" s="623"/>
      <c r="EH62" s="619">
        <v>51</v>
      </c>
      <c r="EI62" s="620"/>
      <c r="EJ62" s="620"/>
      <c r="EK62" s="621"/>
      <c r="EL62" s="623"/>
      <c r="EN62" s="619">
        <v>51</v>
      </c>
      <c r="EO62" s="620"/>
      <c r="EP62" s="620"/>
      <c r="EQ62" s="621"/>
      <c r="ER62" s="623"/>
      <c r="ET62" s="619">
        <v>51</v>
      </c>
      <c r="EU62" s="620"/>
      <c r="EV62" s="620"/>
      <c r="EW62" s="621"/>
      <c r="EX62" s="623"/>
    </row>
    <row r="63" spans="12:154">
      <c r="L63" s="679">
        <v>52</v>
      </c>
      <c r="M63" s="680">
        <v>4.6349999999999998</v>
      </c>
      <c r="N63" s="680">
        <v>19.209</v>
      </c>
      <c r="O63" s="681">
        <v>18.959</v>
      </c>
      <c r="P63" s="682"/>
      <c r="R63" s="679">
        <v>52</v>
      </c>
      <c r="S63" s="680">
        <v>2.1626099999999999</v>
      </c>
      <c r="T63" s="680">
        <v>9.21814</v>
      </c>
      <c r="U63" s="681">
        <v>6.9455400000000003</v>
      </c>
      <c r="V63" s="682"/>
      <c r="X63" s="679">
        <v>52</v>
      </c>
      <c r="Y63" s="680">
        <v>13.202999999999999</v>
      </c>
      <c r="Z63" s="680">
        <v>19.138999999999999</v>
      </c>
      <c r="AA63" s="681">
        <v>24.681999999999999</v>
      </c>
      <c r="AB63" s="682"/>
      <c r="AD63" s="679">
        <v>52</v>
      </c>
      <c r="AE63" s="680">
        <v>155.81899999999999</v>
      </c>
      <c r="AF63" s="680">
        <v>129.75700000000001</v>
      </c>
      <c r="AG63" s="681">
        <v>225.49</v>
      </c>
      <c r="AH63" s="682"/>
      <c r="AJ63" s="679">
        <v>52</v>
      </c>
      <c r="AK63" s="680">
        <v>225.35499999999999</v>
      </c>
      <c r="AL63" s="680">
        <v>219.14699999999999</v>
      </c>
      <c r="AM63" s="681">
        <v>234.214</v>
      </c>
      <c r="AN63" s="682"/>
      <c r="AP63" s="679">
        <v>52</v>
      </c>
      <c r="AQ63" s="680">
        <v>0.34</v>
      </c>
      <c r="AR63" s="680">
        <v>8.9410000000000007</v>
      </c>
      <c r="AS63" s="681">
        <v>19.11</v>
      </c>
      <c r="AT63" s="682"/>
      <c r="AV63" s="679">
        <v>52</v>
      </c>
      <c r="AW63" s="680">
        <v>23.61</v>
      </c>
      <c r="AX63" s="680">
        <v>48.42</v>
      </c>
      <c r="AY63" s="681">
        <v>81.61</v>
      </c>
      <c r="AZ63" s="682"/>
      <c r="BB63" s="679">
        <v>52</v>
      </c>
      <c r="BC63" s="680">
        <v>22.98</v>
      </c>
      <c r="BD63" s="680">
        <v>44.63</v>
      </c>
      <c r="BE63" s="681">
        <v>60.26</v>
      </c>
      <c r="BF63" s="682"/>
      <c r="BH63" s="679">
        <v>52</v>
      </c>
      <c r="BI63" s="680">
        <v>2.50535</v>
      </c>
      <c r="BJ63" s="680">
        <v>4.5050400000000002</v>
      </c>
      <c r="BK63" s="681">
        <v>1.79437</v>
      </c>
      <c r="BL63" s="682"/>
      <c r="BN63" s="679">
        <v>52</v>
      </c>
      <c r="BO63" s="680">
        <v>9.1010000000000009</v>
      </c>
      <c r="BP63" s="680">
        <v>13.087</v>
      </c>
      <c r="BQ63" s="681">
        <v>13.522</v>
      </c>
      <c r="BR63" s="682"/>
      <c r="BT63" s="679">
        <v>52</v>
      </c>
      <c r="BU63" s="680">
        <v>90.01</v>
      </c>
      <c r="BV63" s="680">
        <v>166.024</v>
      </c>
      <c r="BW63" s="681">
        <v>171.66399999999999</v>
      </c>
      <c r="BX63" s="682"/>
      <c r="BZ63" s="679">
        <v>52</v>
      </c>
      <c r="CA63" s="680">
        <v>25.782</v>
      </c>
      <c r="CB63" s="680">
        <v>16.012</v>
      </c>
      <c r="CC63" s="681">
        <v>60.430999999999997</v>
      </c>
      <c r="CD63" s="682"/>
      <c r="CF63" s="679">
        <v>52</v>
      </c>
      <c r="CG63" s="680"/>
      <c r="CH63" s="680"/>
      <c r="CI63" s="681"/>
      <c r="CJ63" s="682"/>
      <c r="CL63" s="679">
        <v>52</v>
      </c>
      <c r="CM63" s="680"/>
      <c r="CN63" s="680"/>
      <c r="CO63" s="681"/>
      <c r="CP63" s="682"/>
      <c r="CR63" s="679">
        <v>52</v>
      </c>
      <c r="CS63" s="680"/>
      <c r="CT63" s="680"/>
      <c r="CU63" s="681"/>
      <c r="CV63" s="682"/>
      <c r="CX63" s="679">
        <v>52</v>
      </c>
      <c r="CY63" s="680"/>
      <c r="CZ63" s="680"/>
      <c r="DA63" s="681"/>
      <c r="DB63" s="682"/>
      <c r="DD63" s="679">
        <v>52</v>
      </c>
      <c r="DE63" s="680"/>
      <c r="DF63" s="680"/>
      <c r="DG63" s="681"/>
      <c r="DH63" s="682"/>
      <c r="DJ63" s="679">
        <v>52</v>
      </c>
      <c r="DK63" s="680"/>
      <c r="DL63" s="680"/>
      <c r="DM63" s="681"/>
      <c r="DN63" s="682"/>
      <c r="DP63" s="679">
        <v>52</v>
      </c>
      <c r="DQ63" s="680"/>
      <c r="DR63" s="680"/>
      <c r="DS63" s="681"/>
      <c r="DT63" s="682"/>
      <c r="DV63" s="679">
        <v>52</v>
      </c>
      <c r="DW63" s="680"/>
      <c r="DX63" s="680"/>
      <c r="DY63" s="681"/>
      <c r="DZ63" s="682"/>
      <c r="EB63" s="619">
        <v>52</v>
      </c>
      <c r="EC63" s="620"/>
      <c r="ED63" s="620"/>
      <c r="EE63" s="621"/>
      <c r="EF63" s="623"/>
      <c r="EH63" s="619">
        <v>52</v>
      </c>
      <c r="EI63" s="620"/>
      <c r="EJ63" s="620"/>
      <c r="EK63" s="621"/>
      <c r="EL63" s="623"/>
      <c r="EN63" s="619">
        <v>52</v>
      </c>
      <c r="EO63" s="620"/>
      <c r="EP63" s="620"/>
      <c r="EQ63" s="621"/>
      <c r="ER63" s="623"/>
      <c r="ET63" s="619">
        <v>52</v>
      </c>
      <c r="EU63" s="620"/>
      <c r="EV63" s="620"/>
      <c r="EW63" s="621"/>
      <c r="EX63" s="623"/>
    </row>
    <row r="64" spans="12:154">
      <c r="L64" s="679">
        <v>53</v>
      </c>
      <c r="M64" s="680"/>
      <c r="N64" s="680"/>
      <c r="O64" s="681">
        <v>24.044</v>
      </c>
      <c r="R64" s="679">
        <v>53</v>
      </c>
      <c r="S64" s="680"/>
      <c r="T64" s="680"/>
      <c r="U64" s="681">
        <v>12.55139</v>
      </c>
      <c r="X64" s="679">
        <v>53</v>
      </c>
      <c r="Y64" s="680"/>
      <c r="Z64" s="680"/>
      <c r="AA64" s="681">
        <v>24.843</v>
      </c>
      <c r="AD64" s="679">
        <v>53</v>
      </c>
      <c r="AE64" s="680"/>
      <c r="AF64" s="680"/>
      <c r="AG64" s="681">
        <v>208.071</v>
      </c>
      <c r="AJ64" s="679">
        <v>53</v>
      </c>
      <c r="AK64" s="680"/>
      <c r="AL64" s="680"/>
      <c r="AM64" s="681">
        <v>233.56899999999999</v>
      </c>
      <c r="AP64" s="679">
        <v>53</v>
      </c>
      <c r="AQ64" s="680"/>
      <c r="AR64" s="680"/>
      <c r="AS64" s="681">
        <v>20.92</v>
      </c>
      <c r="AV64" s="679">
        <v>53</v>
      </c>
      <c r="AW64" s="680"/>
      <c r="AX64" s="680"/>
      <c r="AY64" s="681">
        <v>90.84</v>
      </c>
      <c r="BB64" s="679">
        <v>53</v>
      </c>
      <c r="BC64" s="680"/>
      <c r="BD64" s="680"/>
      <c r="BE64" s="681">
        <v>61.95</v>
      </c>
      <c r="BH64" s="679">
        <v>53</v>
      </c>
      <c r="BI64" s="680"/>
      <c r="BJ64" s="680"/>
      <c r="BK64" s="681">
        <v>1.79437</v>
      </c>
      <c r="BN64" s="679">
        <v>53</v>
      </c>
      <c r="BO64" s="680"/>
      <c r="BP64" s="680"/>
      <c r="BQ64" s="681">
        <v>16.161000000000001</v>
      </c>
      <c r="BT64" s="679">
        <v>53</v>
      </c>
      <c r="BU64" s="680"/>
      <c r="BV64" s="680"/>
      <c r="BW64" s="681">
        <v>178.91300000000001</v>
      </c>
      <c r="BZ64" s="679">
        <v>53</v>
      </c>
      <c r="CA64" s="680"/>
      <c r="CB64" s="680"/>
      <c r="CC64" s="681">
        <v>63.963999999999999</v>
      </c>
      <c r="CF64" s="679">
        <v>53</v>
      </c>
      <c r="CG64" s="680"/>
      <c r="CH64" s="680"/>
      <c r="CI64" s="681"/>
      <c r="CL64" s="679">
        <v>53</v>
      </c>
      <c r="CM64" s="680"/>
      <c r="CN64" s="680"/>
      <c r="CO64" s="681"/>
      <c r="CR64" s="679">
        <v>53</v>
      </c>
      <c r="CS64" s="680"/>
      <c r="CT64" s="680"/>
      <c r="CU64" s="681"/>
      <c r="CX64" s="679">
        <v>53</v>
      </c>
      <c r="CY64" s="680"/>
      <c r="CZ64" s="680"/>
      <c r="DA64" s="681"/>
      <c r="DD64" s="679">
        <v>53</v>
      </c>
      <c r="DE64" s="680"/>
      <c r="DF64" s="680"/>
      <c r="DG64" s="681"/>
      <c r="DJ64" s="679">
        <v>53</v>
      </c>
      <c r="DK64" s="680"/>
      <c r="DL64" s="680"/>
      <c r="DM64" s="681"/>
      <c r="DP64" s="679">
        <v>53</v>
      </c>
      <c r="DQ64" s="680"/>
      <c r="DR64" s="680"/>
      <c r="DS64" s="681"/>
      <c r="DV64" s="679">
        <v>53</v>
      </c>
      <c r="DW64" s="680"/>
      <c r="DX64" s="680"/>
      <c r="DY64" s="681"/>
      <c r="EB64" s="619">
        <v>53</v>
      </c>
      <c r="EC64" s="620"/>
      <c r="ED64" s="620"/>
      <c r="EE64" s="621"/>
      <c r="EH64" s="619">
        <v>53</v>
      </c>
      <c r="EI64" s="620"/>
      <c r="EJ64" s="620"/>
      <c r="EK64" s="621"/>
      <c r="EN64" s="619">
        <v>53</v>
      </c>
      <c r="EO64" s="620"/>
      <c r="EP64" s="620"/>
      <c r="EQ64" s="621"/>
      <c r="ET64" s="619">
        <v>53</v>
      </c>
      <c r="EU64" s="620"/>
      <c r="EV64" s="620"/>
      <c r="EW64" s="621"/>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mayo 2025
INF-SGI-MES-05-2025
11/06/2025
Versión: 01</oddHeader>
    <oddFooter>&amp;LCOES, 2025&amp;RDirección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dimension ref="A1:AZ254"/>
  <sheetViews>
    <sheetView showGridLines="0" view="pageBreakPreview" topLeftCell="B2" zoomScale="85" zoomScaleNormal="130" zoomScaleSheetLayoutView="85" zoomScalePageLayoutView="115" workbookViewId="0">
      <selection activeCell="D22" sqref="D22"/>
    </sheetView>
  </sheetViews>
  <sheetFormatPr baseColWidth="10" defaultColWidth="11.7109375" defaultRowHeight="14.4"/>
  <cols>
    <col min="1" max="1" width="3" style="614" customWidth="1"/>
    <col min="2" max="2" width="7" style="614" customWidth="1"/>
    <col min="3" max="3" width="70.7109375" style="629" customWidth="1"/>
    <col min="4" max="4" width="13.140625" style="614" customWidth="1"/>
    <col min="5" max="5" width="13" style="614" customWidth="1"/>
    <col min="6" max="6" width="12.140625" style="614" customWidth="1"/>
    <col min="7" max="7" width="11.7109375" style="614"/>
    <col min="8" max="8" width="14.42578125" style="614" bestFit="1" customWidth="1"/>
    <col min="9" max="11" width="12.5703125" style="614" customWidth="1"/>
    <col min="12" max="16384" width="11.7109375" style="614"/>
  </cols>
  <sheetData>
    <row r="1" spans="1:52" ht="49.2" customHeight="1">
      <c r="A1" s="869"/>
      <c r="B1" s="869"/>
    </row>
    <row r="2" spans="1:52" ht="15.6">
      <c r="A2" s="615" t="s">
        <v>193</v>
      </c>
      <c r="W2" s="628"/>
      <c r="X2" s="628"/>
      <c r="Y2" s="628"/>
      <c r="Z2" s="628"/>
      <c r="AA2" s="628"/>
      <c r="AB2" s="628"/>
      <c r="AC2" s="628"/>
      <c r="AD2" s="628"/>
      <c r="AE2" s="628"/>
      <c r="AF2" s="628"/>
      <c r="AG2" s="628"/>
      <c r="AH2" s="628"/>
      <c r="AI2" s="628"/>
      <c r="AJ2" s="628"/>
      <c r="AK2" s="628"/>
      <c r="AL2" s="628"/>
      <c r="AM2" s="628"/>
      <c r="AN2" s="628"/>
      <c r="AO2" s="628"/>
      <c r="AP2" s="628"/>
      <c r="AQ2" s="628"/>
      <c r="AR2" s="628"/>
      <c r="AS2" s="628"/>
      <c r="AT2" s="628"/>
      <c r="AU2" s="628"/>
      <c r="AV2" s="628"/>
      <c r="AW2" s="628"/>
      <c r="AX2" s="628"/>
      <c r="AY2" s="628"/>
      <c r="AZ2" s="628"/>
    </row>
    <row r="3" spans="1:52" ht="4.2" customHeight="1">
      <c r="W3" s="628"/>
      <c r="X3" s="628"/>
      <c r="Y3" s="628"/>
      <c r="Z3" s="628"/>
      <c r="AA3" s="628"/>
      <c r="AB3" s="628"/>
      <c r="AC3" s="628"/>
      <c r="AD3" s="628"/>
      <c r="AE3" s="628"/>
      <c r="AF3" s="628"/>
      <c r="AG3" s="628"/>
      <c r="AH3" s="628"/>
      <c r="AI3" s="628"/>
      <c r="AJ3" s="628"/>
      <c r="AK3" s="628"/>
      <c r="AL3" s="628"/>
      <c r="AM3" s="628"/>
      <c r="AN3" s="628"/>
      <c r="AO3" s="628"/>
      <c r="AP3" s="628"/>
      <c r="AQ3" s="628"/>
      <c r="AR3" s="628"/>
      <c r="AS3" s="628"/>
      <c r="AT3" s="628"/>
      <c r="AU3" s="628"/>
      <c r="AV3" s="628"/>
      <c r="AW3" s="628"/>
      <c r="AX3" s="628"/>
      <c r="AY3" s="628"/>
      <c r="AZ3" s="628"/>
    </row>
    <row r="4" spans="1:52">
      <c r="B4" s="665" t="s">
        <v>284</v>
      </c>
      <c r="W4" s="628"/>
      <c r="X4" s="628"/>
      <c r="Y4" s="628"/>
      <c r="Z4" s="628"/>
      <c r="AA4" s="628"/>
      <c r="AB4" s="628"/>
      <c r="AC4" s="628"/>
      <c r="AD4" s="628"/>
      <c r="AE4" s="628"/>
      <c r="AF4" s="628"/>
      <c r="AG4" s="628"/>
      <c r="AH4" s="628"/>
      <c r="AI4" s="628"/>
      <c r="AJ4" s="628"/>
      <c r="AK4" s="628"/>
      <c r="AL4" s="628"/>
      <c r="AM4" s="628"/>
      <c r="AN4" s="628"/>
      <c r="AO4" s="628"/>
      <c r="AP4" s="628"/>
      <c r="AQ4" s="628"/>
      <c r="AR4" s="628"/>
      <c r="AS4" s="628"/>
      <c r="AT4" s="628"/>
      <c r="AU4" s="628"/>
      <c r="AV4" s="628"/>
      <c r="AW4" s="628"/>
      <c r="AX4" s="628"/>
      <c r="AY4" s="628"/>
      <c r="AZ4" s="628"/>
    </row>
    <row r="5" spans="1:52" ht="9" customHeight="1">
      <c r="W5" s="628"/>
      <c r="X5" s="628"/>
      <c r="Y5" s="628"/>
      <c r="Z5" s="628"/>
      <c r="AA5" s="628"/>
      <c r="AB5" s="628"/>
      <c r="AC5" s="628"/>
      <c r="AD5" s="628"/>
      <c r="AE5" s="628"/>
      <c r="AF5" s="628"/>
      <c r="AG5" s="628"/>
      <c r="AH5" s="628"/>
      <c r="AI5" s="628"/>
      <c r="AJ5" s="628"/>
      <c r="AK5" s="628"/>
      <c r="AL5" s="628"/>
      <c r="AM5" s="628"/>
      <c r="AN5" s="628"/>
      <c r="AO5" s="628"/>
      <c r="AP5" s="628"/>
      <c r="AQ5" s="628"/>
      <c r="AR5" s="628"/>
      <c r="AS5" s="628"/>
      <c r="AT5" s="628"/>
      <c r="AU5" s="628"/>
      <c r="AV5" s="628"/>
      <c r="AW5" s="628"/>
      <c r="AX5" s="628"/>
      <c r="AY5" s="628"/>
      <c r="AZ5" s="628"/>
    </row>
    <row r="6" spans="1:52" ht="15.6" customHeight="1">
      <c r="C6" s="667" t="s">
        <v>443</v>
      </c>
      <c r="D6" s="668" t="s">
        <v>634</v>
      </c>
      <c r="E6" s="668" t="s">
        <v>635</v>
      </c>
      <c r="F6" s="669" t="s">
        <v>392</v>
      </c>
      <c r="I6" s="674"/>
      <c r="J6" s="674"/>
      <c r="K6" s="674"/>
      <c r="W6" s="628"/>
      <c r="X6" s="628"/>
      <c r="Y6" s="628"/>
      <c r="Z6" s="628"/>
      <c r="AA6" s="628"/>
      <c r="AB6" s="628"/>
      <c r="AC6" s="628"/>
      <c r="AD6" s="628"/>
      <c r="AE6" s="628"/>
      <c r="AF6" s="628"/>
      <c r="AG6" s="628"/>
      <c r="AH6" s="628"/>
      <c r="AI6" s="628"/>
      <c r="AJ6" s="628"/>
      <c r="AK6" s="628"/>
      <c r="AL6" s="628"/>
      <c r="AM6" s="628"/>
      <c r="AN6" s="628"/>
      <c r="AO6" s="628"/>
      <c r="AP6" s="628"/>
      <c r="AQ6" s="628"/>
      <c r="AR6" s="628"/>
      <c r="AS6" s="628"/>
      <c r="AT6" s="628"/>
      <c r="AU6" s="628"/>
      <c r="AV6" s="628"/>
      <c r="AW6" s="628"/>
      <c r="AX6" s="628"/>
      <c r="AY6" s="628"/>
      <c r="AZ6" s="628"/>
    </row>
    <row r="7" spans="1:52" ht="9.6" customHeight="1">
      <c r="C7" s="661" t="s">
        <v>444</v>
      </c>
      <c r="D7" s="662">
        <v>6.5732980241935488</v>
      </c>
      <c r="E7" s="662">
        <v>4.6600135349462368</v>
      </c>
      <c r="F7" s="663">
        <v>0.41057487814128973</v>
      </c>
      <c r="I7" s="674"/>
      <c r="J7" s="674"/>
      <c r="K7" s="674"/>
      <c r="W7" s="628"/>
      <c r="X7" s="628"/>
      <c r="Y7" s="628"/>
      <c r="Z7" s="628"/>
      <c r="AA7" s="628"/>
      <c r="AB7" s="628"/>
      <c r="AC7" s="628"/>
      <c r="AD7" s="628"/>
      <c r="AE7" s="628"/>
      <c r="AF7" s="628"/>
      <c r="AG7" s="628"/>
      <c r="AH7" s="628"/>
      <c r="AI7" s="628"/>
      <c r="AJ7" s="628"/>
      <c r="AK7" s="628"/>
      <c r="AL7" s="628"/>
      <c r="AM7" s="628"/>
      <c r="AN7" s="628"/>
      <c r="AO7" s="628"/>
      <c r="AP7" s="628"/>
      <c r="AQ7" s="628"/>
      <c r="AR7" s="628"/>
      <c r="AS7" s="628"/>
      <c r="AT7" s="628"/>
      <c r="AU7" s="628"/>
      <c r="AV7" s="628"/>
      <c r="AW7" s="628"/>
      <c r="AX7" s="628"/>
      <c r="AY7" s="628"/>
      <c r="AZ7" s="628"/>
    </row>
    <row r="8" spans="1:52" ht="9.6" customHeight="1">
      <c r="C8" s="661" t="s">
        <v>445</v>
      </c>
      <c r="D8" s="662">
        <v>7.0960570967741941</v>
      </c>
      <c r="E8" s="662">
        <v>2.0893274193548388</v>
      </c>
      <c r="F8" s="663">
        <v>2.3963356011310943</v>
      </c>
      <c r="I8" s="674"/>
      <c r="J8" s="674"/>
      <c r="K8" s="674"/>
      <c r="W8" s="628"/>
      <c r="X8" s="628"/>
      <c r="Y8" s="628"/>
      <c r="Z8" s="628"/>
      <c r="AA8" s="628"/>
      <c r="AB8" s="628"/>
      <c r="AC8" s="628"/>
      <c r="AD8" s="628"/>
      <c r="AE8" s="628"/>
      <c r="AF8" s="628"/>
      <c r="AG8" s="628"/>
      <c r="AH8" s="628"/>
      <c r="AI8" s="628"/>
      <c r="AJ8" s="628"/>
      <c r="AK8" s="628"/>
      <c r="AL8" s="628"/>
      <c r="AM8" s="628"/>
      <c r="AN8" s="628"/>
      <c r="AO8" s="628"/>
      <c r="AP8" s="628"/>
      <c r="AQ8" s="628"/>
      <c r="AR8" s="628"/>
      <c r="AS8" s="628"/>
      <c r="AT8" s="628"/>
      <c r="AU8" s="628"/>
      <c r="AV8" s="628"/>
      <c r="AW8" s="628"/>
      <c r="AX8" s="628"/>
      <c r="AY8" s="628"/>
      <c r="AZ8" s="628"/>
    </row>
    <row r="9" spans="1:52" ht="9.6" customHeight="1">
      <c r="C9" s="661" t="s">
        <v>446</v>
      </c>
      <c r="D9" s="662">
        <v>24.162763440860214</v>
      </c>
      <c r="E9" s="662">
        <v>16.065841397849464</v>
      </c>
      <c r="F9" s="663">
        <v>0.50398369076982108</v>
      </c>
      <c r="I9" s="674"/>
      <c r="J9" s="674"/>
      <c r="K9" s="674"/>
      <c r="W9" s="628"/>
      <c r="X9" s="628"/>
      <c r="Y9" s="628"/>
      <c r="Z9" s="628"/>
      <c r="AA9" s="628"/>
      <c r="AB9" s="628"/>
      <c r="AC9" s="628"/>
      <c r="AD9" s="628"/>
      <c r="AE9" s="628"/>
      <c r="AF9" s="628"/>
      <c r="AG9" s="628"/>
      <c r="AH9" s="628"/>
      <c r="AI9" s="628"/>
      <c r="AJ9" s="628"/>
      <c r="AK9" s="628"/>
      <c r="AL9" s="628"/>
      <c r="AM9" s="628"/>
      <c r="AN9" s="628"/>
      <c r="AO9" s="628"/>
      <c r="AP9" s="628"/>
      <c r="AQ9" s="628"/>
      <c r="AR9" s="628"/>
      <c r="AS9" s="628"/>
      <c r="AT9" s="628"/>
      <c r="AU9" s="628"/>
      <c r="AV9" s="628"/>
      <c r="AW9" s="628"/>
      <c r="AX9" s="628"/>
      <c r="AY9" s="628"/>
      <c r="AZ9" s="628"/>
    </row>
    <row r="10" spans="1:52" ht="9.6" customHeight="1">
      <c r="C10" s="661" t="s">
        <v>447</v>
      </c>
      <c r="D10" s="662">
        <v>8.4318279569892471</v>
      </c>
      <c r="E10" s="662">
        <v>5.8527016129032257</v>
      </c>
      <c r="F10" s="663">
        <v>0.44067278919532149</v>
      </c>
      <c r="I10" s="674"/>
      <c r="J10" s="674"/>
      <c r="K10" s="674"/>
      <c r="W10" s="628"/>
      <c r="X10" s="628"/>
      <c r="Y10" s="628"/>
      <c r="Z10" s="628"/>
      <c r="AA10" s="628"/>
      <c r="AB10" s="628"/>
      <c r="AC10" s="628"/>
      <c r="AD10" s="628"/>
      <c r="AE10" s="628"/>
      <c r="AF10" s="628"/>
      <c r="AG10" s="628"/>
      <c r="AH10" s="628"/>
      <c r="AI10" s="628"/>
      <c r="AJ10" s="628"/>
      <c r="AK10" s="628"/>
      <c r="AL10" s="628"/>
      <c r="AM10" s="628"/>
      <c r="AN10" s="628"/>
      <c r="AO10" s="628"/>
      <c r="AP10" s="628"/>
      <c r="AQ10" s="628"/>
      <c r="AR10" s="628"/>
      <c r="AS10" s="628"/>
      <c r="AT10" s="628"/>
      <c r="AU10" s="628"/>
      <c r="AV10" s="628"/>
      <c r="AW10" s="628"/>
      <c r="AX10" s="628"/>
      <c r="AY10" s="628"/>
      <c r="AZ10" s="628"/>
    </row>
    <row r="11" spans="1:52" ht="9.6" customHeight="1">
      <c r="C11" s="661" t="s">
        <v>448</v>
      </c>
      <c r="D11" s="662">
        <v>100.82913709677419</v>
      </c>
      <c r="E11" s="662">
        <v>65.70241935483871</v>
      </c>
      <c r="F11" s="663">
        <v>0.534633550588553</v>
      </c>
      <c r="I11" s="674"/>
      <c r="J11" s="674"/>
      <c r="K11" s="674"/>
      <c r="W11" s="628"/>
      <c r="X11" s="628"/>
      <c r="Y11" s="628"/>
      <c r="Z11" s="628"/>
      <c r="AA11" s="628"/>
      <c r="AB11" s="628"/>
      <c r="AC11" s="628"/>
      <c r="AD11" s="628"/>
      <c r="AE11" s="628"/>
      <c r="AF11" s="628"/>
      <c r="AG11" s="628"/>
      <c r="AH11" s="628"/>
      <c r="AI11" s="628"/>
      <c r="AJ11" s="628"/>
      <c r="AK11" s="628"/>
      <c r="AL11" s="628"/>
      <c r="AM11" s="628"/>
      <c r="AN11" s="628"/>
      <c r="AO11" s="628"/>
      <c r="AP11" s="628"/>
      <c r="AQ11" s="628"/>
      <c r="AR11" s="628"/>
      <c r="AS11" s="628"/>
      <c r="AT11" s="628"/>
      <c r="AU11" s="628"/>
      <c r="AV11" s="628"/>
      <c r="AW11" s="628"/>
      <c r="AX11" s="628"/>
      <c r="AY11" s="628"/>
      <c r="AZ11" s="628"/>
    </row>
    <row r="12" spans="1:52" ht="9.6" customHeight="1">
      <c r="C12" s="661" t="s">
        <v>449</v>
      </c>
      <c r="D12" s="662">
        <v>0.44803571428571431</v>
      </c>
      <c r="E12" s="662">
        <v>7.5925168236877525</v>
      </c>
      <c r="F12" s="663">
        <v>-0.94098982923713836</v>
      </c>
      <c r="I12" s="674"/>
      <c r="J12" s="674"/>
      <c r="K12" s="674"/>
      <c r="W12" s="628"/>
      <c r="X12" s="628"/>
      <c r="Y12" s="628"/>
      <c r="Z12" s="628"/>
      <c r="AA12" s="628"/>
      <c r="AB12" s="628"/>
      <c r="AC12" s="628"/>
      <c r="AD12" s="628"/>
      <c r="AE12" s="628"/>
      <c r="AF12" s="628"/>
      <c r="AG12" s="628"/>
      <c r="AH12" s="628"/>
      <c r="AI12" s="628"/>
      <c r="AJ12" s="628"/>
      <c r="AK12" s="628"/>
      <c r="AL12" s="628"/>
      <c r="AM12" s="628"/>
      <c r="AN12" s="628"/>
      <c r="AO12" s="628"/>
      <c r="AP12" s="628"/>
      <c r="AQ12" s="628"/>
      <c r="AR12" s="628"/>
      <c r="AS12" s="628"/>
      <c r="AT12" s="628"/>
      <c r="AU12" s="628"/>
      <c r="AV12" s="628"/>
      <c r="AW12" s="628"/>
      <c r="AX12" s="628"/>
      <c r="AY12" s="628"/>
      <c r="AZ12" s="628"/>
    </row>
    <row r="13" spans="1:52" ht="9.6" customHeight="1">
      <c r="C13" s="661" t="s">
        <v>450</v>
      </c>
      <c r="D13" s="662">
        <v>0.22577956989247314</v>
      </c>
      <c r="E13" s="662">
        <v>0.82465679676985204</v>
      </c>
      <c r="F13" s="663">
        <v>-0.72621389797932578</v>
      </c>
      <c r="I13" s="674"/>
      <c r="J13" s="674"/>
      <c r="K13" s="674"/>
      <c r="W13" s="628"/>
      <c r="X13" s="628"/>
      <c r="Y13" s="628"/>
      <c r="Z13" s="628"/>
      <c r="AA13" s="628"/>
      <c r="AB13" s="628"/>
      <c r="AC13" s="628"/>
      <c r="AD13" s="628"/>
      <c r="AE13" s="628"/>
      <c r="AF13" s="628"/>
      <c r="AG13" s="628"/>
      <c r="AH13" s="628"/>
      <c r="AI13" s="628"/>
      <c r="AJ13" s="628"/>
      <c r="AK13" s="628"/>
      <c r="AL13" s="628"/>
      <c r="AM13" s="628"/>
      <c r="AN13" s="628"/>
      <c r="AO13" s="628"/>
      <c r="AP13" s="628"/>
      <c r="AQ13" s="628"/>
      <c r="AR13" s="628"/>
      <c r="AS13" s="628"/>
      <c r="AT13" s="628"/>
      <c r="AU13" s="628"/>
      <c r="AV13" s="628"/>
      <c r="AW13" s="628"/>
      <c r="AX13" s="628"/>
      <c r="AY13" s="628"/>
      <c r="AZ13" s="628"/>
    </row>
    <row r="14" spans="1:52" ht="9.6" customHeight="1">
      <c r="C14" s="661" t="s">
        <v>451</v>
      </c>
      <c r="D14" s="662">
        <v>78.269114247311833</v>
      </c>
      <c r="E14" s="662">
        <v>37.203267473118281</v>
      </c>
      <c r="F14" s="663">
        <v>1.103823657528636</v>
      </c>
      <c r="I14" s="674"/>
      <c r="J14" s="674"/>
      <c r="K14" s="674"/>
      <c r="W14" s="628"/>
      <c r="X14" s="628"/>
      <c r="Y14" s="628"/>
      <c r="Z14" s="628"/>
      <c r="AA14" s="628"/>
      <c r="AB14" s="628"/>
      <c r="AC14" s="628"/>
      <c r="AD14" s="628"/>
      <c r="AE14" s="628"/>
      <c r="AF14" s="628"/>
      <c r="AG14" s="628"/>
      <c r="AH14" s="628"/>
      <c r="AI14" s="628"/>
      <c r="AJ14" s="628"/>
      <c r="AK14" s="628"/>
      <c r="AL14" s="628"/>
      <c r="AM14" s="628"/>
      <c r="AN14" s="628"/>
      <c r="AO14" s="628"/>
      <c r="AP14" s="628"/>
      <c r="AQ14" s="628"/>
      <c r="AR14" s="628"/>
      <c r="AS14" s="628"/>
      <c r="AT14" s="628"/>
      <c r="AU14" s="628"/>
      <c r="AV14" s="628"/>
      <c r="AW14" s="628"/>
      <c r="AX14" s="628"/>
      <c r="AY14" s="628"/>
      <c r="AZ14" s="628"/>
    </row>
    <row r="15" spans="1:52" ht="9.6" customHeight="1">
      <c r="C15" s="661" t="s">
        <v>452</v>
      </c>
      <c r="D15" s="662">
        <v>1.5090322580645161</v>
      </c>
      <c r="E15" s="662">
        <v>1.7190147849462367</v>
      </c>
      <c r="F15" s="663">
        <v>-0.12215283354196851</v>
      </c>
      <c r="I15" s="674"/>
      <c r="J15" s="674"/>
      <c r="K15" s="674"/>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row>
    <row r="16" spans="1:52" ht="9.6" customHeight="1">
      <c r="C16" s="661" t="s">
        <v>453</v>
      </c>
      <c r="D16" s="662">
        <v>12.386043010752688</v>
      </c>
      <c r="E16" s="662">
        <v>8.6098434408602156</v>
      </c>
      <c r="F16" s="663">
        <v>0.43859096809723064</v>
      </c>
      <c r="I16" s="674"/>
      <c r="J16" s="674"/>
      <c r="K16" s="674"/>
      <c r="W16" s="628"/>
      <c r="X16" s="628"/>
      <c r="Y16" s="628"/>
      <c r="Z16" s="628"/>
      <c r="AA16" s="628"/>
      <c r="AB16" s="628"/>
      <c r="AC16" s="628"/>
      <c r="AD16" s="628"/>
      <c r="AE16" s="628"/>
      <c r="AF16" s="628"/>
      <c r="AG16" s="628"/>
      <c r="AH16" s="628"/>
      <c r="AI16" s="628"/>
      <c r="AJ16" s="628"/>
      <c r="AK16" s="628"/>
      <c r="AL16" s="628"/>
      <c r="AM16" s="628"/>
      <c r="AN16" s="628"/>
      <c r="AO16" s="628"/>
      <c r="AP16" s="628"/>
      <c r="AQ16" s="628"/>
      <c r="AR16" s="628"/>
      <c r="AS16" s="628"/>
      <c r="AT16" s="628"/>
      <c r="AU16" s="628"/>
      <c r="AV16" s="628"/>
      <c r="AW16" s="628"/>
      <c r="AX16" s="628"/>
      <c r="AY16" s="628"/>
      <c r="AZ16" s="628"/>
    </row>
    <row r="17" spans="3:52" ht="9.6" customHeight="1">
      <c r="C17" s="661" t="s">
        <v>454</v>
      </c>
      <c r="D17" s="662">
        <v>17.628217849462366</v>
      </c>
      <c r="E17" s="662">
        <v>15.952016666666665</v>
      </c>
      <c r="F17" s="663">
        <v>0.10507769756148067</v>
      </c>
      <c r="I17" s="674"/>
      <c r="J17" s="674"/>
      <c r="K17" s="674"/>
      <c r="W17" s="628"/>
      <c r="X17" s="628"/>
      <c r="Y17" s="628"/>
      <c r="Z17" s="628"/>
      <c r="AA17" s="628"/>
      <c r="AB17" s="628"/>
      <c r="AC17" s="628"/>
      <c r="AD17" s="628"/>
      <c r="AE17" s="628"/>
      <c r="AF17" s="628"/>
      <c r="AG17" s="628"/>
      <c r="AH17" s="628"/>
      <c r="AI17" s="628"/>
      <c r="AJ17" s="628"/>
      <c r="AK17" s="628"/>
      <c r="AL17" s="628"/>
      <c r="AM17" s="628"/>
      <c r="AN17" s="628"/>
      <c r="AO17" s="628"/>
      <c r="AP17" s="628"/>
      <c r="AQ17" s="628"/>
      <c r="AR17" s="628"/>
      <c r="AS17" s="628"/>
      <c r="AT17" s="628"/>
      <c r="AU17" s="628"/>
      <c r="AV17" s="628"/>
      <c r="AW17" s="628"/>
      <c r="AX17" s="628"/>
      <c r="AY17" s="628"/>
      <c r="AZ17" s="628"/>
    </row>
    <row r="18" spans="3:52" ht="9.6" customHeight="1">
      <c r="C18" s="661" t="s">
        <v>455</v>
      </c>
      <c r="D18" s="662">
        <v>77.602150537634401</v>
      </c>
      <c r="E18" s="662">
        <v>54.6505376344086</v>
      </c>
      <c r="F18" s="663">
        <v>0.41997048696507627</v>
      </c>
      <c r="I18" s="674"/>
      <c r="J18" s="674"/>
      <c r="K18" s="674"/>
      <c r="W18" s="628"/>
      <c r="X18" s="628"/>
      <c r="Y18" s="628"/>
      <c r="Z18" s="628"/>
      <c r="AA18" s="628"/>
      <c r="AB18" s="628"/>
      <c r="AC18" s="628"/>
      <c r="AD18" s="628"/>
      <c r="AE18" s="628"/>
      <c r="AF18" s="628"/>
      <c r="AG18" s="628"/>
      <c r="AH18" s="628"/>
      <c r="AI18" s="628"/>
      <c r="AJ18" s="628"/>
      <c r="AK18" s="628"/>
      <c r="AL18" s="628"/>
      <c r="AM18" s="628"/>
      <c r="AN18" s="628"/>
      <c r="AO18" s="628"/>
      <c r="AP18" s="628"/>
      <c r="AQ18" s="628"/>
      <c r="AR18" s="628"/>
      <c r="AS18" s="628"/>
      <c r="AT18" s="628"/>
      <c r="AU18" s="628"/>
      <c r="AV18" s="628"/>
      <c r="AW18" s="628"/>
      <c r="AX18" s="628"/>
      <c r="AY18" s="628"/>
      <c r="AZ18" s="628"/>
    </row>
    <row r="19" spans="3:52" ht="9.6" customHeight="1">
      <c r="C19" s="661" t="s">
        <v>456</v>
      </c>
      <c r="D19" s="662">
        <v>18.974327956989246</v>
      </c>
      <c r="E19" s="662">
        <v>13.238306451612903</v>
      </c>
      <c r="F19" s="663">
        <v>0.43328967540840463</v>
      </c>
      <c r="I19" s="674"/>
      <c r="J19" s="674"/>
      <c r="K19" s="674"/>
      <c r="W19" s="628"/>
      <c r="X19" s="628"/>
      <c r="Y19" s="628"/>
      <c r="Z19" s="628"/>
      <c r="AA19" s="628"/>
      <c r="AB19" s="628"/>
      <c r="AC19" s="628"/>
      <c r="AD19" s="628"/>
      <c r="AE19" s="628"/>
      <c r="AF19" s="628"/>
      <c r="AG19" s="628"/>
      <c r="AH19" s="628"/>
      <c r="AI19" s="628"/>
      <c r="AJ19" s="628"/>
      <c r="AK19" s="628"/>
      <c r="AL19" s="628"/>
      <c r="AM19" s="628"/>
      <c r="AN19" s="628"/>
      <c r="AO19" s="628"/>
      <c r="AP19" s="628"/>
      <c r="AQ19" s="628"/>
      <c r="AR19" s="628"/>
      <c r="AS19" s="628"/>
      <c r="AT19" s="628"/>
      <c r="AU19" s="628"/>
      <c r="AV19" s="628"/>
      <c r="AW19" s="628"/>
      <c r="AX19" s="628"/>
      <c r="AY19" s="628"/>
      <c r="AZ19" s="628"/>
    </row>
    <row r="20" spans="3:52" ht="9.6" customHeight="1">
      <c r="C20" s="661" t="s">
        <v>457</v>
      </c>
      <c r="D20" s="662">
        <v>19.460591397849463</v>
      </c>
      <c r="E20" s="662">
        <v>15.101290322580645</v>
      </c>
      <c r="F20" s="663">
        <v>0.28867076800387348</v>
      </c>
      <c r="I20" s="674"/>
      <c r="J20" s="674"/>
      <c r="K20" s="674"/>
      <c r="W20" s="628"/>
      <c r="X20" s="628"/>
      <c r="Y20" s="628"/>
      <c r="Z20" s="628"/>
      <c r="AA20" s="628"/>
      <c r="AB20" s="628"/>
      <c r="AC20" s="628"/>
      <c r="AD20" s="628"/>
      <c r="AE20" s="628"/>
      <c r="AF20" s="628"/>
      <c r="AG20" s="628"/>
      <c r="AH20" s="628"/>
      <c r="AI20" s="628"/>
      <c r="AJ20" s="628"/>
      <c r="AK20" s="628"/>
      <c r="AL20" s="628"/>
      <c r="AM20" s="628"/>
      <c r="AN20" s="628"/>
      <c r="AO20" s="628"/>
      <c r="AP20" s="628"/>
      <c r="AQ20" s="628"/>
      <c r="AR20" s="628"/>
      <c r="AS20" s="628"/>
      <c r="AT20" s="628"/>
      <c r="AU20" s="628"/>
      <c r="AV20" s="628"/>
      <c r="AW20" s="628"/>
      <c r="AX20" s="628"/>
      <c r="AY20" s="628"/>
      <c r="AZ20" s="628"/>
    </row>
    <row r="21" spans="3:52" ht="9.6" customHeight="1">
      <c r="C21" s="661" t="s">
        <v>458</v>
      </c>
      <c r="D21" s="662">
        <v>37.3815434375</v>
      </c>
      <c r="E21" s="662">
        <v>19.61749</v>
      </c>
      <c r="F21" s="663">
        <v>0.90552121792849138</v>
      </c>
      <c r="I21" s="674"/>
      <c r="J21" s="674"/>
      <c r="K21" s="674"/>
      <c r="W21" s="628"/>
      <c r="X21" s="628"/>
      <c r="Y21" s="628"/>
      <c r="Z21" s="628"/>
      <c r="AA21" s="628"/>
      <c r="AB21" s="628"/>
      <c r="AC21" s="628"/>
      <c r="AD21" s="628"/>
      <c r="AE21" s="628"/>
      <c r="AF21" s="628"/>
      <c r="AG21" s="628"/>
      <c r="AH21" s="628"/>
      <c r="AI21" s="628"/>
      <c r="AJ21" s="628"/>
      <c r="AK21" s="628"/>
      <c r="AL21" s="628"/>
      <c r="AM21" s="628"/>
      <c r="AN21" s="628"/>
      <c r="AO21" s="628"/>
      <c r="AP21" s="628"/>
      <c r="AQ21" s="628"/>
      <c r="AR21" s="628"/>
      <c r="AS21" s="628"/>
      <c r="AT21" s="628"/>
      <c r="AU21" s="628"/>
      <c r="AV21" s="628"/>
      <c r="AW21" s="628"/>
      <c r="AX21" s="628"/>
      <c r="AY21" s="628"/>
      <c r="AZ21" s="628"/>
    </row>
    <row r="22" spans="3:52" ht="9.6" customHeight="1">
      <c r="C22" s="661" t="s">
        <v>459</v>
      </c>
      <c r="D22" s="662">
        <v>32.4795315625</v>
      </c>
      <c r="E22" s="662">
        <v>17.058686451612903</v>
      </c>
      <c r="F22" s="663">
        <v>0.90398783954605433</v>
      </c>
      <c r="I22" s="674"/>
      <c r="J22" s="674"/>
      <c r="K22" s="674"/>
      <c r="W22" s="628"/>
      <c r="X22" s="628"/>
      <c r="Y22" s="628"/>
      <c r="Z22" s="628"/>
      <c r="AA22" s="628"/>
      <c r="AB22" s="628"/>
      <c r="AC22" s="628"/>
      <c r="AD22" s="628"/>
      <c r="AE22" s="628"/>
      <c r="AF22" s="628"/>
      <c r="AG22" s="628"/>
      <c r="AH22" s="628"/>
      <c r="AI22" s="628"/>
      <c r="AJ22" s="628"/>
      <c r="AK22" s="628"/>
      <c r="AL22" s="628"/>
      <c r="AM22" s="628"/>
      <c r="AN22" s="628"/>
      <c r="AO22" s="628"/>
      <c r="AP22" s="628"/>
      <c r="AQ22" s="628"/>
      <c r="AR22" s="628"/>
      <c r="AS22" s="628"/>
      <c r="AT22" s="628"/>
      <c r="AU22" s="628"/>
      <c r="AV22" s="628"/>
      <c r="AW22" s="628"/>
      <c r="AX22" s="628"/>
      <c r="AY22" s="628"/>
      <c r="AZ22" s="628"/>
    </row>
    <row r="23" spans="3:52" ht="9.6" customHeight="1">
      <c r="C23" s="661" t="s">
        <v>460</v>
      </c>
      <c r="D23" s="662">
        <v>165.88929999999999</v>
      </c>
      <c r="E23" s="662">
        <v>106.90196774193547</v>
      </c>
      <c r="F23" s="663">
        <v>0.55178902226067239</v>
      </c>
      <c r="I23" s="674"/>
      <c r="J23" s="674"/>
      <c r="K23" s="674"/>
      <c r="W23" s="628"/>
      <c r="X23" s="628"/>
      <c r="Y23" s="628"/>
      <c r="Z23" s="628"/>
      <c r="AA23" s="628"/>
      <c r="AB23" s="628"/>
      <c r="AC23" s="628"/>
      <c r="AD23" s="628"/>
      <c r="AE23" s="628"/>
      <c r="AF23" s="628"/>
      <c r="AG23" s="628"/>
      <c r="AH23" s="628"/>
      <c r="AI23" s="628"/>
      <c r="AJ23" s="628"/>
      <c r="AK23" s="628"/>
      <c r="AL23" s="628"/>
      <c r="AM23" s="628"/>
      <c r="AN23" s="628"/>
      <c r="AO23" s="628"/>
      <c r="AP23" s="628"/>
      <c r="AQ23" s="628"/>
      <c r="AR23" s="628"/>
      <c r="AS23" s="628"/>
      <c r="AT23" s="628"/>
      <c r="AU23" s="628"/>
      <c r="AV23" s="628"/>
      <c r="AW23" s="628"/>
      <c r="AX23" s="628"/>
      <c r="AY23" s="628"/>
      <c r="AZ23" s="628"/>
    </row>
    <row r="24" spans="3:52" ht="9.6" customHeight="1">
      <c r="C24" s="661" t="s">
        <v>461</v>
      </c>
      <c r="D24" s="662">
        <v>83.50146505376344</v>
      </c>
      <c r="E24" s="662">
        <v>72.620564516129036</v>
      </c>
      <c r="F24" s="663">
        <v>0.14983222190758047</v>
      </c>
      <c r="I24" s="674"/>
      <c r="J24" s="674"/>
      <c r="K24" s="674"/>
      <c r="W24" s="628"/>
      <c r="X24" s="628"/>
      <c r="Y24" s="628"/>
      <c r="Z24" s="628"/>
      <c r="AA24" s="628"/>
      <c r="AB24" s="628"/>
      <c r="AC24" s="628"/>
      <c r="AD24" s="628"/>
      <c r="AE24" s="628"/>
      <c r="AF24" s="628"/>
      <c r="AG24" s="628"/>
      <c r="AH24" s="628"/>
      <c r="AI24" s="628"/>
      <c r="AJ24" s="628"/>
      <c r="AK24" s="628"/>
      <c r="AL24" s="628"/>
      <c r="AM24" s="628"/>
      <c r="AN24" s="628"/>
      <c r="AO24" s="628"/>
      <c r="AP24" s="628"/>
      <c r="AQ24" s="628"/>
      <c r="AR24" s="628"/>
      <c r="AS24" s="628"/>
      <c r="AT24" s="628"/>
      <c r="AU24" s="628"/>
      <c r="AV24" s="628"/>
      <c r="AW24" s="628"/>
      <c r="AX24" s="628"/>
      <c r="AY24" s="628"/>
      <c r="AZ24" s="628"/>
    </row>
    <row r="25" spans="3:52" ht="9.6" customHeight="1">
      <c r="C25" s="661" t="s">
        <v>462</v>
      </c>
      <c r="D25" s="662">
        <v>132.71952069892473</v>
      </c>
      <c r="E25" s="662">
        <v>78.406248279569894</v>
      </c>
      <c r="F25" s="663">
        <v>0.69271612417536244</v>
      </c>
      <c r="I25" s="674"/>
      <c r="J25" s="674"/>
      <c r="K25" s="674"/>
      <c r="W25" s="628"/>
      <c r="X25" s="628"/>
      <c r="Y25" s="628"/>
      <c r="Z25" s="628"/>
      <c r="AA25" s="628"/>
      <c r="AB25" s="628"/>
      <c r="AC25" s="628"/>
      <c r="AD25" s="628"/>
      <c r="AE25" s="628"/>
      <c r="AF25" s="628"/>
      <c r="AG25" s="628"/>
      <c r="AH25" s="628"/>
      <c r="AI25" s="628"/>
      <c r="AJ25" s="628"/>
      <c r="AK25" s="628"/>
      <c r="AL25" s="628"/>
      <c r="AM25" s="628"/>
      <c r="AN25" s="628"/>
      <c r="AO25" s="628"/>
      <c r="AP25" s="628"/>
      <c r="AQ25" s="628"/>
      <c r="AR25" s="628"/>
      <c r="AS25" s="628"/>
      <c r="AT25" s="628"/>
      <c r="AU25" s="628"/>
      <c r="AV25" s="628"/>
      <c r="AW25" s="628"/>
      <c r="AX25" s="628"/>
      <c r="AY25" s="628"/>
      <c r="AZ25" s="628"/>
    </row>
    <row r="26" spans="3:52" ht="9.6" customHeight="1">
      <c r="C26" s="661" t="s">
        <v>463</v>
      </c>
      <c r="D26" s="662">
        <v>54.728763440860213</v>
      </c>
      <c r="E26" s="662">
        <v>30.982123655913977</v>
      </c>
      <c r="F26" s="663">
        <v>0.76646262369472506</v>
      </c>
      <c r="I26" s="674"/>
      <c r="J26" s="674"/>
      <c r="K26" s="674"/>
      <c r="W26" s="628"/>
      <c r="X26" s="628"/>
      <c r="Y26" s="628"/>
      <c r="Z26" s="628"/>
      <c r="AA26" s="628"/>
      <c r="AB26" s="628"/>
      <c r="AC26" s="628"/>
      <c r="AD26" s="628"/>
      <c r="AE26" s="628"/>
      <c r="AF26" s="628"/>
      <c r="AG26" s="628"/>
      <c r="AH26" s="628"/>
      <c r="AI26" s="628"/>
      <c r="AJ26" s="628"/>
      <c r="AK26" s="628"/>
      <c r="AL26" s="628"/>
      <c r="AM26" s="628"/>
      <c r="AN26" s="628"/>
      <c r="AO26" s="628"/>
      <c r="AP26" s="628"/>
      <c r="AQ26" s="628"/>
      <c r="AR26" s="628"/>
      <c r="AS26" s="628"/>
      <c r="AT26" s="628"/>
      <c r="AU26" s="628"/>
      <c r="AV26" s="628"/>
      <c r="AW26" s="628"/>
      <c r="AX26" s="628"/>
      <c r="AY26" s="628"/>
      <c r="AZ26" s="628"/>
    </row>
    <row r="27" spans="3:52">
      <c r="C27" s="673" t="s">
        <v>604</v>
      </c>
      <c r="D27" s="671"/>
      <c r="E27" s="671"/>
      <c r="F27" s="671"/>
      <c r="I27" s="674"/>
      <c r="J27" s="674"/>
      <c r="K27" s="674"/>
      <c r="W27" s="628"/>
      <c r="X27" s="628"/>
      <c r="Y27" s="628"/>
      <c r="Z27" s="628"/>
      <c r="AA27" s="628"/>
      <c r="AB27" s="628"/>
      <c r="AC27" s="628"/>
      <c r="AD27" s="628"/>
      <c r="AE27" s="628"/>
      <c r="AF27" s="628"/>
      <c r="AG27" s="628"/>
      <c r="AH27" s="628"/>
      <c r="AI27" s="628"/>
      <c r="AJ27" s="628"/>
      <c r="AK27" s="628"/>
      <c r="AL27" s="628"/>
      <c r="AM27" s="628"/>
      <c r="AN27" s="628"/>
      <c r="AO27" s="628"/>
      <c r="AP27" s="628"/>
      <c r="AQ27" s="628"/>
      <c r="AR27" s="628"/>
      <c r="AS27" s="628"/>
      <c r="AT27" s="628"/>
      <c r="AU27" s="628"/>
      <c r="AV27" s="628"/>
      <c r="AW27" s="628"/>
      <c r="AX27" s="628"/>
      <c r="AY27" s="628"/>
      <c r="AZ27" s="628"/>
    </row>
    <row r="28" spans="3:52">
      <c r="C28" s="672"/>
      <c r="D28" s="671"/>
      <c r="E28" s="671"/>
      <c r="F28" s="671"/>
      <c r="I28" s="674"/>
      <c r="J28" s="674"/>
      <c r="K28" s="674"/>
      <c r="W28" s="628"/>
      <c r="X28" s="628"/>
      <c r="Y28" s="628"/>
      <c r="Z28" s="628"/>
      <c r="AA28" s="628"/>
      <c r="AB28" s="628"/>
      <c r="AC28" s="628"/>
      <c r="AD28" s="628"/>
      <c r="AE28" s="628"/>
      <c r="AF28" s="628"/>
      <c r="AG28" s="628"/>
      <c r="AH28" s="628"/>
      <c r="AI28" s="628"/>
      <c r="AJ28" s="628"/>
      <c r="AK28" s="628"/>
      <c r="AL28" s="628"/>
      <c r="AM28" s="628"/>
      <c r="AN28" s="628"/>
      <c r="AO28" s="628"/>
      <c r="AP28" s="628"/>
      <c r="AQ28" s="628"/>
      <c r="AR28" s="628"/>
      <c r="AS28" s="628"/>
      <c r="AT28" s="628"/>
      <c r="AU28" s="628"/>
      <c r="AV28" s="628"/>
      <c r="AW28" s="628"/>
      <c r="AX28" s="628"/>
      <c r="AY28" s="628"/>
      <c r="AZ28" s="628"/>
    </row>
    <row r="29" spans="3:52">
      <c r="C29" s="667" t="s">
        <v>443</v>
      </c>
      <c r="D29" s="668" t="s">
        <v>634</v>
      </c>
      <c r="E29" s="668" t="s">
        <v>635</v>
      </c>
      <c r="F29" s="669" t="s">
        <v>531</v>
      </c>
      <c r="I29" s="674"/>
      <c r="J29" s="674"/>
      <c r="K29" s="674"/>
      <c r="W29" s="628"/>
      <c r="X29" s="628"/>
      <c r="Y29" s="628"/>
      <c r="Z29" s="628"/>
      <c r="AA29" s="628"/>
      <c r="AB29" s="628"/>
      <c r="AC29" s="628"/>
      <c r="AD29" s="628"/>
      <c r="AE29" s="628"/>
      <c r="AF29" s="628"/>
      <c r="AG29" s="628"/>
      <c r="AH29" s="628"/>
      <c r="AI29" s="628"/>
      <c r="AJ29" s="628"/>
      <c r="AK29" s="628"/>
      <c r="AL29" s="628"/>
      <c r="AM29" s="628"/>
      <c r="AN29" s="628"/>
      <c r="AO29" s="628"/>
      <c r="AP29" s="628"/>
      <c r="AQ29" s="628"/>
      <c r="AR29" s="628"/>
      <c r="AS29" s="628"/>
      <c r="AT29" s="628"/>
      <c r="AU29" s="628"/>
      <c r="AV29" s="628"/>
      <c r="AW29" s="628"/>
      <c r="AX29" s="628"/>
      <c r="AY29" s="628"/>
      <c r="AZ29" s="628"/>
    </row>
    <row r="30" spans="3:52" ht="10.199999999999999" customHeight="1">
      <c r="C30" s="661" t="s">
        <v>464</v>
      </c>
      <c r="D30" s="662">
        <v>0.308</v>
      </c>
      <c r="E30" s="662">
        <v>0</v>
      </c>
      <c r="F30" s="663"/>
      <c r="I30" s="674"/>
      <c r="J30" s="674"/>
      <c r="K30" s="674"/>
      <c r="W30" s="628"/>
      <c r="X30" s="628"/>
      <c r="Y30" s="628"/>
      <c r="Z30" s="628"/>
      <c r="AA30" s="628"/>
      <c r="AB30" s="628"/>
      <c r="AC30" s="628"/>
      <c r="AD30" s="628"/>
      <c r="AE30" s="628"/>
      <c r="AF30" s="628"/>
      <c r="AG30" s="628"/>
      <c r="AH30" s="628"/>
      <c r="AI30" s="628"/>
      <c r="AJ30" s="628"/>
      <c r="AK30" s="628"/>
      <c r="AL30" s="628"/>
      <c r="AM30" s="628"/>
      <c r="AN30" s="628"/>
      <c r="AO30" s="628"/>
      <c r="AP30" s="628"/>
      <c r="AQ30" s="628"/>
      <c r="AR30" s="628"/>
      <c r="AS30" s="628"/>
      <c r="AT30" s="628"/>
      <c r="AU30" s="628"/>
      <c r="AV30" s="628"/>
      <c r="AW30" s="628"/>
      <c r="AX30" s="628"/>
      <c r="AY30" s="628"/>
      <c r="AZ30" s="628"/>
    </row>
    <row r="31" spans="3:52" ht="10.199999999999999" customHeight="1">
      <c r="C31" s="661" t="s">
        <v>465</v>
      </c>
      <c r="D31" s="662">
        <v>0</v>
      </c>
      <c r="E31" s="662">
        <v>0</v>
      </c>
      <c r="F31" s="663"/>
      <c r="I31" s="674"/>
      <c r="J31" s="674"/>
      <c r="K31" s="674"/>
      <c r="W31" s="628"/>
      <c r="X31" s="628"/>
      <c r="Y31" s="628"/>
      <c r="Z31" s="628"/>
      <c r="AA31" s="628"/>
      <c r="AB31" s="628"/>
      <c r="AC31" s="628"/>
      <c r="AD31" s="628"/>
      <c r="AE31" s="628"/>
      <c r="AF31" s="628"/>
      <c r="AG31" s="628"/>
      <c r="AH31" s="628"/>
      <c r="AI31" s="628"/>
      <c r="AJ31" s="628"/>
      <c r="AK31" s="628"/>
      <c r="AL31" s="628"/>
      <c r="AM31" s="628"/>
      <c r="AN31" s="628"/>
      <c r="AO31" s="628"/>
      <c r="AP31" s="628"/>
      <c r="AQ31" s="628"/>
      <c r="AR31" s="628"/>
      <c r="AS31" s="628"/>
      <c r="AT31" s="628"/>
      <c r="AU31" s="628"/>
      <c r="AV31" s="628"/>
      <c r="AW31" s="628"/>
      <c r="AX31" s="628"/>
      <c r="AY31" s="628"/>
      <c r="AZ31" s="628"/>
    </row>
    <row r="32" spans="3:52" ht="10.199999999999999" customHeight="1">
      <c r="C32" s="661" t="s">
        <v>466</v>
      </c>
      <c r="D32" s="662">
        <v>0</v>
      </c>
      <c r="E32" s="662">
        <v>0</v>
      </c>
      <c r="F32" s="663"/>
      <c r="I32" s="674"/>
      <c r="J32" s="674"/>
      <c r="K32" s="674"/>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row>
    <row r="33" spans="3:52" ht="10.199999999999999" customHeight="1">
      <c r="C33" s="661" t="s">
        <v>467</v>
      </c>
      <c r="D33" s="662">
        <v>0.08</v>
      </c>
      <c r="E33" s="662">
        <v>0.08</v>
      </c>
      <c r="F33" s="663">
        <v>0</v>
      </c>
      <c r="I33" s="674"/>
      <c r="J33" s="674"/>
      <c r="K33" s="674"/>
      <c r="W33" s="628"/>
      <c r="X33" s="628"/>
      <c r="Y33" s="628"/>
      <c r="Z33" s="628"/>
      <c r="AA33" s="628"/>
      <c r="AB33" s="628"/>
      <c r="AC33" s="628"/>
      <c r="AD33" s="628"/>
      <c r="AE33" s="628"/>
      <c r="AF33" s="628"/>
      <c r="AG33" s="628"/>
      <c r="AH33" s="628"/>
      <c r="AI33" s="628"/>
      <c r="AJ33" s="628"/>
      <c r="AK33" s="628"/>
      <c r="AL33" s="628"/>
      <c r="AM33" s="628"/>
      <c r="AN33" s="628"/>
      <c r="AO33" s="628"/>
      <c r="AP33" s="628"/>
      <c r="AQ33" s="628"/>
      <c r="AR33" s="628"/>
      <c r="AS33" s="628"/>
      <c r="AT33" s="628"/>
      <c r="AU33" s="628"/>
      <c r="AV33" s="628"/>
      <c r="AW33" s="628"/>
      <c r="AX33" s="628"/>
      <c r="AY33" s="628"/>
      <c r="AZ33" s="628"/>
    </row>
    <row r="34" spans="3:52" ht="10.199999999999999" customHeight="1">
      <c r="C34" s="661" t="s">
        <v>468</v>
      </c>
      <c r="D34" s="662">
        <v>0.967741935483871</v>
      </c>
      <c r="E34" s="662">
        <v>0.81612903225806455</v>
      </c>
      <c r="F34" s="663">
        <v>0.1857707509881423</v>
      </c>
      <c r="I34" s="674"/>
      <c r="J34" s="674"/>
      <c r="K34" s="674"/>
      <c r="W34" s="628"/>
      <c r="X34" s="628"/>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row>
    <row r="35" spans="3:52" ht="10.199999999999999" customHeight="1">
      <c r="C35" s="661" t="s">
        <v>469</v>
      </c>
      <c r="D35" s="662">
        <v>0.15</v>
      </c>
      <c r="E35" s="662">
        <v>0.32700000000000001</v>
      </c>
      <c r="F35" s="663">
        <v>-0.54128440366972475</v>
      </c>
      <c r="I35" s="674"/>
      <c r="J35" s="674"/>
      <c r="K35" s="674"/>
      <c r="W35" s="628"/>
      <c r="X35" s="628"/>
      <c r="Y35" s="628"/>
      <c r="Z35" s="628"/>
      <c r="AA35" s="628"/>
      <c r="AB35" s="628"/>
      <c r="AC35" s="628"/>
      <c r="AD35" s="628"/>
      <c r="AE35" s="628"/>
      <c r="AF35" s="628"/>
      <c r="AG35" s="628"/>
      <c r="AH35" s="628"/>
      <c r="AI35" s="628"/>
      <c r="AJ35" s="628"/>
      <c r="AK35" s="628"/>
      <c r="AL35" s="628"/>
      <c r="AM35" s="628"/>
      <c r="AN35" s="628"/>
      <c r="AO35" s="628"/>
      <c r="AP35" s="628"/>
      <c r="AQ35" s="628"/>
      <c r="AR35" s="628"/>
      <c r="AS35" s="628"/>
      <c r="AT35" s="628"/>
      <c r="AU35" s="628"/>
      <c r="AV35" s="628"/>
      <c r="AW35" s="628"/>
      <c r="AX35" s="628"/>
      <c r="AY35" s="628"/>
      <c r="AZ35" s="628"/>
    </row>
    <row r="36" spans="3:52" ht="10.199999999999999" customHeight="1">
      <c r="C36" s="661" t="s">
        <v>470</v>
      </c>
      <c r="D36" s="662">
        <v>3.0864516129032262</v>
      </c>
      <c r="E36" s="662">
        <v>2.4545161290322581</v>
      </c>
      <c r="F36" s="663">
        <v>0.25745827309764752</v>
      </c>
      <c r="I36" s="674"/>
      <c r="J36" s="674"/>
      <c r="K36" s="674"/>
      <c r="W36" s="628"/>
      <c r="X36" s="628"/>
      <c r="Y36" s="628"/>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row>
    <row r="37" spans="3:52" ht="10.199999999999999" customHeight="1">
      <c r="C37" s="661" t="s">
        <v>471</v>
      </c>
      <c r="D37" s="662">
        <v>0</v>
      </c>
      <c r="E37" s="662">
        <v>0</v>
      </c>
      <c r="F37" s="663"/>
      <c r="I37" s="674"/>
      <c r="J37" s="674"/>
      <c r="K37" s="674"/>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row>
    <row r="38" spans="3:52" ht="10.199999999999999" customHeight="1">
      <c r="C38" s="661" t="s">
        <v>472</v>
      </c>
      <c r="D38" s="662">
        <v>0.63500000000000001</v>
      </c>
      <c r="E38" s="662">
        <v>2</v>
      </c>
      <c r="F38" s="663">
        <v>-0.6825</v>
      </c>
      <c r="I38" s="674"/>
      <c r="J38" s="674"/>
      <c r="K38" s="674"/>
      <c r="W38" s="628"/>
      <c r="X38" s="628"/>
      <c r="Y38" s="628"/>
      <c r="Z38" s="628"/>
      <c r="AA38" s="628"/>
      <c r="AB38" s="628"/>
      <c r="AC38" s="628"/>
      <c r="AD38" s="628"/>
      <c r="AE38" s="628"/>
      <c r="AF38" s="628"/>
      <c r="AG38" s="628"/>
      <c r="AH38" s="628"/>
      <c r="AI38" s="628"/>
      <c r="AJ38" s="628"/>
      <c r="AK38" s="628"/>
      <c r="AL38" s="628"/>
      <c r="AM38" s="628"/>
      <c r="AN38" s="628"/>
      <c r="AO38" s="628"/>
      <c r="AP38" s="628"/>
      <c r="AQ38" s="628"/>
      <c r="AR38" s="628"/>
      <c r="AS38" s="628"/>
      <c r="AT38" s="628"/>
      <c r="AU38" s="628"/>
      <c r="AV38" s="628"/>
      <c r="AW38" s="628"/>
      <c r="AX38" s="628"/>
      <c r="AY38" s="628"/>
      <c r="AZ38" s="628"/>
    </row>
    <row r="39" spans="3:52" ht="10.199999999999999" customHeight="1">
      <c r="C39" s="661" t="s">
        <v>473</v>
      </c>
      <c r="D39" s="662">
        <v>0</v>
      </c>
      <c r="E39" s="662">
        <v>0</v>
      </c>
      <c r="F39" s="663"/>
      <c r="I39" s="674"/>
      <c r="J39" s="674"/>
      <c r="K39" s="674"/>
      <c r="W39" s="628"/>
      <c r="X39" s="628"/>
      <c r="Y39" s="628"/>
      <c r="Z39" s="628"/>
      <c r="AA39" s="628"/>
      <c r="AB39" s="628"/>
      <c r="AC39" s="628"/>
      <c r="AD39" s="628"/>
      <c r="AE39" s="628"/>
      <c r="AF39" s="628"/>
      <c r="AG39" s="628"/>
      <c r="AH39" s="628"/>
      <c r="AI39" s="628"/>
      <c r="AJ39" s="628"/>
      <c r="AK39" s="628"/>
      <c r="AL39" s="628"/>
      <c r="AM39" s="628"/>
      <c r="AN39" s="628"/>
      <c r="AO39" s="628"/>
      <c r="AP39" s="628"/>
      <c r="AQ39" s="628"/>
      <c r="AR39" s="628"/>
      <c r="AS39" s="628"/>
      <c r="AT39" s="628"/>
      <c r="AU39" s="628"/>
      <c r="AV39" s="628"/>
      <c r="AW39" s="628"/>
      <c r="AX39" s="628"/>
      <c r="AY39" s="628"/>
      <c r="AZ39" s="628"/>
    </row>
    <row r="40" spans="3:52" ht="10.199999999999999" customHeight="1">
      <c r="C40" s="661" t="s">
        <v>474</v>
      </c>
      <c r="D40" s="662">
        <v>0</v>
      </c>
      <c r="E40" s="662">
        <v>0</v>
      </c>
      <c r="F40" s="663"/>
      <c r="I40" s="674"/>
      <c r="J40" s="674"/>
      <c r="K40" s="674"/>
      <c r="W40" s="628"/>
      <c r="X40" s="628"/>
      <c r="Y40" s="628"/>
      <c r="Z40" s="628"/>
      <c r="AA40" s="628"/>
      <c r="AB40" s="628"/>
      <c r="AC40" s="628"/>
      <c r="AD40" s="628"/>
      <c r="AE40" s="628"/>
      <c r="AF40" s="628"/>
      <c r="AG40" s="628"/>
      <c r="AH40" s="628"/>
      <c r="AI40" s="628"/>
      <c r="AJ40" s="628"/>
      <c r="AK40" s="628"/>
      <c r="AL40" s="628"/>
      <c r="AM40" s="628"/>
      <c r="AN40" s="628"/>
      <c r="AO40" s="628"/>
      <c r="AP40" s="628"/>
      <c r="AQ40" s="628"/>
      <c r="AR40" s="628"/>
      <c r="AS40" s="628"/>
      <c r="AT40" s="628"/>
      <c r="AU40" s="628"/>
      <c r="AV40" s="628"/>
      <c r="AW40" s="628"/>
      <c r="AX40" s="628"/>
      <c r="AY40" s="628"/>
      <c r="AZ40" s="628"/>
    </row>
    <row r="41" spans="3:52" ht="10.199999999999999" customHeight="1">
      <c r="C41" s="661" t="s">
        <v>541</v>
      </c>
      <c r="D41" s="662">
        <v>12.383873239247311</v>
      </c>
      <c r="E41" s="662">
        <v>10.388985215053765</v>
      </c>
      <c r="F41" s="663">
        <v>0.19201952672941838</v>
      </c>
      <c r="I41" s="674"/>
      <c r="J41" s="674"/>
      <c r="K41" s="674"/>
      <c r="W41" s="628"/>
      <c r="X41" s="628"/>
      <c r="Y41" s="628"/>
      <c r="Z41" s="628"/>
      <c r="AA41" s="628"/>
      <c r="AB41" s="628"/>
      <c r="AC41" s="628"/>
      <c r="AD41" s="628"/>
      <c r="AE41" s="628"/>
      <c r="AF41" s="628"/>
      <c r="AG41" s="628"/>
      <c r="AH41" s="628"/>
      <c r="AI41" s="628"/>
      <c r="AJ41" s="628"/>
      <c r="AK41" s="628"/>
      <c r="AL41" s="628"/>
      <c r="AM41" s="628"/>
      <c r="AN41" s="628"/>
      <c r="AO41" s="628"/>
      <c r="AP41" s="628"/>
      <c r="AQ41" s="628"/>
      <c r="AR41" s="628"/>
      <c r="AS41" s="628"/>
      <c r="AT41" s="628"/>
      <c r="AU41" s="628"/>
      <c r="AV41" s="628"/>
      <c r="AW41" s="628"/>
      <c r="AX41" s="628"/>
      <c r="AY41" s="628"/>
      <c r="AZ41" s="628"/>
    </row>
    <row r="42" spans="3:52" ht="10.199999999999999" customHeight="1">
      <c r="C42" s="661" t="s">
        <v>475</v>
      </c>
      <c r="D42" s="662">
        <v>1.4515752688172043</v>
      </c>
      <c r="E42" s="662">
        <v>1.2800927419354837</v>
      </c>
      <c r="F42" s="663">
        <v>0.13396101802939764</v>
      </c>
      <c r="I42" s="674"/>
      <c r="J42" s="674"/>
      <c r="K42" s="674"/>
      <c r="W42" s="628"/>
      <c r="X42" s="628"/>
      <c r="Y42" s="628"/>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row>
    <row r="43" spans="3:52" ht="16.8" customHeight="1">
      <c r="C43" s="661" t="s">
        <v>476</v>
      </c>
      <c r="D43" s="662">
        <v>9.7096774193548396E-2</v>
      </c>
      <c r="E43" s="662">
        <v>0.25129032258064515</v>
      </c>
      <c r="F43" s="663">
        <v>-0.61360718870346598</v>
      </c>
      <c r="I43" s="674"/>
      <c r="J43" s="674"/>
      <c r="K43" s="674"/>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row>
    <row r="44" spans="3:52" ht="10.199999999999999" customHeight="1">
      <c r="C44" s="661" t="s">
        <v>477</v>
      </c>
      <c r="D44" s="662">
        <v>0</v>
      </c>
      <c r="E44" s="662">
        <v>4.0000000000000001E-3</v>
      </c>
      <c r="F44" s="663">
        <v>-1</v>
      </c>
      <c r="I44" s="674"/>
      <c r="J44" s="674"/>
      <c r="K44" s="674"/>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28"/>
      <c r="AU44" s="628"/>
      <c r="AV44" s="628"/>
      <c r="AW44" s="628"/>
      <c r="AX44" s="628"/>
      <c r="AY44" s="628"/>
      <c r="AZ44" s="628"/>
    </row>
    <row r="45" spans="3:52" ht="10.199999999999999" customHeight="1">
      <c r="C45" s="661" t="s">
        <v>478</v>
      </c>
      <c r="D45" s="662">
        <v>0.57005052704576975</v>
      </c>
      <c r="E45" s="662">
        <v>6.1749571183533448E-2</v>
      </c>
      <c r="F45" s="663">
        <v>8.231651590768994</v>
      </c>
      <c r="I45" s="674"/>
      <c r="J45" s="674"/>
      <c r="K45" s="674"/>
      <c r="W45" s="628"/>
      <c r="X45" s="628"/>
      <c r="Y45" s="628"/>
      <c r="Z45" s="628"/>
      <c r="AA45" s="628"/>
      <c r="AB45" s="628"/>
      <c r="AC45" s="628"/>
      <c r="AD45" s="628"/>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row>
    <row r="46" spans="3:52" ht="10.199999999999999" customHeight="1">
      <c r="C46" s="661" t="s">
        <v>479</v>
      </c>
      <c r="D46" s="662">
        <v>1.2809677419354839</v>
      </c>
      <c r="E46" s="662">
        <v>0.63263838709677422</v>
      </c>
      <c r="F46" s="663">
        <v>1.0248024275193648</v>
      </c>
      <c r="I46" s="674"/>
      <c r="J46" s="674"/>
      <c r="K46" s="674"/>
      <c r="W46" s="628"/>
      <c r="X46" s="628"/>
      <c r="Y46" s="628"/>
      <c r="Z46" s="628"/>
      <c r="AA46" s="628"/>
      <c r="AB46" s="628"/>
      <c r="AC46" s="628"/>
      <c r="AD46" s="628"/>
      <c r="AE46" s="628"/>
      <c r="AF46" s="628"/>
      <c r="AG46" s="628"/>
      <c r="AH46" s="628"/>
      <c r="AI46" s="628"/>
      <c r="AJ46" s="628"/>
      <c r="AK46" s="628"/>
      <c r="AL46" s="628"/>
      <c r="AM46" s="628"/>
      <c r="AN46" s="628"/>
      <c r="AO46" s="628"/>
      <c r="AP46" s="628"/>
      <c r="AQ46" s="628"/>
      <c r="AR46" s="628"/>
      <c r="AS46" s="628"/>
      <c r="AT46" s="628"/>
      <c r="AU46" s="628"/>
      <c r="AV46" s="628"/>
      <c r="AW46" s="628"/>
      <c r="AX46" s="628"/>
      <c r="AY46" s="628"/>
      <c r="AZ46" s="628"/>
    </row>
    <row r="47" spans="3:52" ht="10.199999999999999" customHeight="1">
      <c r="C47" s="661" t="s">
        <v>480</v>
      </c>
      <c r="D47" s="662">
        <v>0</v>
      </c>
      <c r="E47" s="662">
        <v>0</v>
      </c>
      <c r="F47" s="663"/>
      <c r="I47" s="674"/>
      <c r="J47" s="674"/>
      <c r="K47" s="674"/>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row>
    <row r="48" spans="3:52" ht="10.199999999999999" customHeight="1">
      <c r="C48" s="661" t="s">
        <v>481</v>
      </c>
      <c r="D48" s="662">
        <v>3.3648387096774197</v>
      </c>
      <c r="E48" s="662">
        <v>1.0421070967741937</v>
      </c>
      <c r="F48" s="663">
        <v>2.2288799491848401</v>
      </c>
      <c r="I48" s="674"/>
      <c r="J48" s="674"/>
      <c r="K48" s="674"/>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row>
    <row r="49" spans="3:52" ht="19.2" customHeight="1">
      <c r="C49" s="661" t="s">
        <v>482</v>
      </c>
      <c r="D49" s="662">
        <v>3.7487096774193547</v>
      </c>
      <c r="E49" s="662">
        <v>1.51</v>
      </c>
      <c r="F49" s="663">
        <v>1.4825891903439437</v>
      </c>
      <c r="I49" s="674"/>
      <c r="J49" s="674"/>
      <c r="K49" s="674"/>
      <c r="W49" s="628"/>
      <c r="X49" s="628"/>
      <c r="Y49" s="628"/>
      <c r="Z49" s="628"/>
      <c r="AA49" s="628"/>
      <c r="AB49" s="628"/>
      <c r="AC49" s="628"/>
      <c r="AD49" s="628"/>
      <c r="AE49" s="628"/>
      <c r="AF49" s="628"/>
      <c r="AG49" s="628"/>
      <c r="AH49" s="628"/>
      <c r="AI49" s="628"/>
      <c r="AJ49" s="628"/>
      <c r="AK49" s="628"/>
      <c r="AL49" s="628"/>
      <c r="AM49" s="628"/>
      <c r="AN49" s="628"/>
      <c r="AO49" s="628"/>
      <c r="AP49" s="628"/>
      <c r="AQ49" s="628"/>
      <c r="AR49" s="628"/>
      <c r="AS49" s="628"/>
      <c r="AT49" s="628"/>
      <c r="AU49" s="628"/>
      <c r="AV49" s="628"/>
      <c r="AW49" s="628"/>
      <c r="AX49" s="628"/>
      <c r="AY49" s="628"/>
      <c r="AZ49" s="628"/>
    </row>
    <row r="50" spans="3:52" ht="10.199999999999999" customHeight="1">
      <c r="C50" s="661" t="s">
        <v>483</v>
      </c>
      <c r="D50" s="662">
        <v>1.9100000000000001</v>
      </c>
      <c r="E50" s="662">
        <v>0.96580645161290335</v>
      </c>
      <c r="F50" s="663">
        <v>0.97762191048764202</v>
      </c>
      <c r="I50" s="674"/>
      <c r="J50" s="674"/>
      <c r="K50" s="674"/>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row>
    <row r="51" spans="3:52" ht="10.199999999999999" customHeight="1">
      <c r="C51" s="661" t="s">
        <v>484</v>
      </c>
      <c r="D51" s="662">
        <v>6.2987096774193549</v>
      </c>
      <c r="E51" s="662">
        <v>6.0706451612903232</v>
      </c>
      <c r="F51" s="663">
        <v>3.756841489983527E-2</v>
      </c>
      <c r="I51" s="674"/>
      <c r="J51" s="674"/>
      <c r="K51" s="674"/>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row>
    <row r="52" spans="3:52" ht="10.199999999999999" customHeight="1">
      <c r="C52" s="661" t="s">
        <v>485</v>
      </c>
      <c r="D52" s="662">
        <v>0.03</v>
      </c>
      <c r="E52" s="662">
        <v>2.709677419354839E-2</v>
      </c>
      <c r="F52" s="663">
        <v>0.10714285714285715</v>
      </c>
      <c r="I52" s="674"/>
      <c r="J52" s="674"/>
      <c r="K52" s="674"/>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row>
    <row r="53" spans="3:52" ht="10.199999999999999" customHeight="1">
      <c r="C53" s="661" t="s">
        <v>486</v>
      </c>
      <c r="D53" s="662">
        <v>2.4983870967741937</v>
      </c>
      <c r="E53" s="662">
        <v>1.0916129032258064</v>
      </c>
      <c r="F53" s="663">
        <v>1.2887115839243499</v>
      </c>
      <c r="I53" s="674"/>
      <c r="J53" s="674"/>
      <c r="K53" s="674"/>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row>
    <row r="54" spans="3:52" ht="10.199999999999999" customHeight="1">
      <c r="C54" s="661" t="s">
        <v>487</v>
      </c>
      <c r="D54" s="662">
        <v>0.25</v>
      </c>
      <c r="E54" s="662">
        <v>0.25</v>
      </c>
      <c r="F54" s="663">
        <v>0</v>
      </c>
      <c r="I54" s="674"/>
      <c r="J54" s="674"/>
      <c r="K54" s="674"/>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row>
    <row r="55" spans="3:52" ht="10.199999999999999" customHeight="1">
      <c r="C55" s="661" t="s">
        <v>488</v>
      </c>
      <c r="D55" s="662">
        <v>78.96294740591398</v>
      </c>
      <c r="E55" s="662">
        <v>73.540822620967745</v>
      </c>
      <c r="F55" s="663">
        <v>7.3729455174741221E-2</v>
      </c>
      <c r="I55" s="674"/>
      <c r="J55" s="674"/>
      <c r="K55" s="674"/>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row>
    <row r="56" spans="3:52" ht="10.199999999999999" customHeight="1">
      <c r="C56" s="661" t="s">
        <v>489</v>
      </c>
      <c r="D56" s="662">
        <v>4.2989247311827956</v>
      </c>
      <c r="E56" s="662">
        <v>1.2124999999999999</v>
      </c>
      <c r="F56" s="663">
        <v>2.5455049329342643</v>
      </c>
      <c r="I56" s="674"/>
      <c r="J56" s="674"/>
      <c r="K56" s="674"/>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row>
    <row r="57" spans="3:52">
      <c r="C57" s="670" t="s">
        <v>605</v>
      </c>
      <c r="D57" s="671"/>
      <c r="E57" s="671"/>
      <c r="F57" s="671"/>
      <c r="I57" s="674"/>
      <c r="J57" s="674"/>
      <c r="K57" s="674"/>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row>
    <row r="58" spans="3:52">
      <c r="I58" s="674"/>
      <c r="J58" s="674"/>
      <c r="K58" s="674"/>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row>
    <row r="59" spans="3:52">
      <c r="I59" s="674"/>
      <c r="J59" s="674"/>
      <c r="K59" s="674"/>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row>
    <row r="60" spans="3:52">
      <c r="I60" s="674"/>
      <c r="J60" s="674"/>
      <c r="K60" s="674"/>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row>
    <row r="61" spans="3:52">
      <c r="I61" s="674"/>
      <c r="J61" s="674"/>
      <c r="K61" s="674"/>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row>
    <row r="62" spans="3:52">
      <c r="I62" s="674"/>
      <c r="J62" s="674"/>
      <c r="K62" s="674"/>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row>
    <row r="63" spans="3:52">
      <c r="I63" s="674"/>
      <c r="J63" s="674"/>
      <c r="K63" s="674"/>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row>
    <row r="64" spans="3:52">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row>
    <row r="65" spans="23:52">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row>
    <row r="66" spans="23:52">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row>
    <row r="67" spans="23:52">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row>
    <row r="68" spans="23:52">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row>
    <row r="69" spans="23:52">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row>
    <row r="70" spans="23:52">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row>
    <row r="71" spans="23:52">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row>
    <row r="72" spans="23:52">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row>
    <row r="73" spans="23:52">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row>
    <row r="74" spans="23:52">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row>
    <row r="75" spans="23:52">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row>
    <row r="76" spans="23:52">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row>
    <row r="77" spans="23:52">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row>
    <row r="78" spans="23:52">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row>
    <row r="79" spans="23:52">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row>
    <row r="80" spans="23:52">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row>
    <row r="81" spans="23:52">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row>
    <row r="82" spans="23:52">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row>
    <row r="83" spans="23:52">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row>
    <row r="84" spans="23:52">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row>
    <row r="85" spans="23:52">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row>
    <row r="86" spans="23:52">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row>
    <row r="87" spans="23:52">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row>
    <row r="88" spans="23:52">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row>
    <row r="89" spans="23:52">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row>
    <row r="90" spans="23:52">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row>
    <row r="91" spans="23:52">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row>
    <row r="92" spans="23:52">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row>
    <row r="93" spans="23:52">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row>
    <row r="94" spans="23:52">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row>
    <row r="95" spans="23:52">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row>
    <row r="96" spans="23:52">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row>
    <row r="97" spans="23:52">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row>
    <row r="98" spans="23:52">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row>
    <row r="99" spans="23:52">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row>
    <row r="100" spans="23:52">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row>
    <row r="101" spans="23:52">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row>
    <row r="102" spans="23:52">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row>
    <row r="103" spans="23:52">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row>
    <row r="104" spans="23:52">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row>
    <row r="105" spans="23:52">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row>
    <row r="106" spans="23:52">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row>
    <row r="107" spans="23:52">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row>
    <row r="108" spans="23:52">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row>
    <row r="109" spans="23:52">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row>
    <row r="110" spans="23:52">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row>
    <row r="111" spans="23:52">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row>
    <row r="112" spans="23:52">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row>
    <row r="113" spans="23:52">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row>
    <row r="114" spans="23:52">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row>
    <row r="115" spans="23:52">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row>
    <row r="116" spans="23:52">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row>
    <row r="117" spans="23:52">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row>
    <row r="118" spans="23:52">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row>
    <row r="119" spans="23:52">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row>
    <row r="120" spans="23:52">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row>
    <row r="121" spans="23:52">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row>
    <row r="122" spans="23:52">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row>
    <row r="123" spans="23:52">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row>
    <row r="124" spans="23:52">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row>
    <row r="125" spans="23:52">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row>
    <row r="126" spans="23:52">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row>
    <row r="127" spans="23:52">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row>
    <row r="128" spans="23:52">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row>
    <row r="129" spans="23:52">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row>
    <row r="130" spans="23:52">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row>
    <row r="131" spans="23:52">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row>
    <row r="132" spans="23:52">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row>
    <row r="133" spans="23:52">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row>
    <row r="134" spans="23:52">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row>
    <row r="135" spans="23:52">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row>
    <row r="136" spans="23:52">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row>
    <row r="137" spans="23:52">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row>
    <row r="138" spans="23:52">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row>
    <row r="139" spans="23:52">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row>
    <row r="140" spans="23:52">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row>
    <row r="141" spans="23:52">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row>
    <row r="142" spans="23:52">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row>
    <row r="143" spans="23:52">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row>
    <row r="144" spans="23:52">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row>
    <row r="145" spans="23:52">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row>
    <row r="146" spans="23:52">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row>
    <row r="147" spans="23:52">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row>
    <row r="148" spans="23:52">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row>
    <row r="149" spans="23:52">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row>
    <row r="150" spans="23:52">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row>
    <row r="151" spans="23:52">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row>
    <row r="152" spans="23:52">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row>
    <row r="153" spans="23:52">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row>
    <row r="154" spans="23:52">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row>
    <row r="155" spans="23:52">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row>
    <row r="156" spans="23:52">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row>
    <row r="157" spans="23:52">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row>
    <row r="158" spans="23:52">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row>
    <row r="159" spans="23:52">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row>
    <row r="160" spans="23:52">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row>
    <row r="161" spans="23:52">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row>
    <row r="162" spans="23:52">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row>
    <row r="163" spans="23:52">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row>
    <row r="164" spans="23:52">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row>
    <row r="165" spans="23:52">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row>
    <row r="166" spans="23:52">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row>
    <row r="167" spans="23:52">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row>
    <row r="168" spans="23:52">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row>
    <row r="169" spans="23:52">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row>
    <row r="170" spans="23:52">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row>
    <row r="171" spans="23:52">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row>
    <row r="172" spans="23:52">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row>
    <row r="173" spans="23:52">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row>
    <row r="174" spans="23:52">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row>
    <row r="175" spans="23:52">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row>
    <row r="176" spans="23:52">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row>
    <row r="177" spans="23:52">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row>
    <row r="178" spans="23:52">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row>
    <row r="179" spans="23:52">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row>
    <row r="180" spans="23:52">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row>
    <row r="181" spans="23:52">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row>
    <row r="182" spans="23:52">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row>
    <row r="183" spans="23:52">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row>
    <row r="184" spans="23:52">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row>
    <row r="185" spans="23:52">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row>
    <row r="186" spans="23:52">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row>
    <row r="187" spans="23:52">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row>
    <row r="188" spans="23:52">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row>
    <row r="189" spans="23:52">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row>
    <row r="190" spans="23:52">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row>
    <row r="191" spans="23:52">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row>
    <row r="192" spans="23:52">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row>
    <row r="193" spans="23:52">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row>
    <row r="194" spans="23:52">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row>
    <row r="195" spans="23:52">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row>
    <row r="196" spans="23:52">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row>
    <row r="197" spans="23:52">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row>
    <row r="198" spans="23:52">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row>
    <row r="199" spans="23:52">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row>
    <row r="200" spans="23:52">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row>
    <row r="201" spans="23:52">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row>
    <row r="202" spans="23:52">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row>
    <row r="203" spans="23:52">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row>
    <row r="204" spans="23:52">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row>
    <row r="205" spans="23:52">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row>
    <row r="206" spans="23:52">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row>
    <row r="207" spans="23:52">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row>
    <row r="208" spans="23:52">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row>
    <row r="209" spans="23:52">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row>
    <row r="210" spans="23:52">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row>
    <row r="211" spans="23:52">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row>
    <row r="212" spans="23:52">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row>
    <row r="213" spans="23:52">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row>
    <row r="214" spans="23:52">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row>
    <row r="215" spans="23:52">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row>
    <row r="216" spans="23:52">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row>
    <row r="217" spans="23:52">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row>
    <row r="218" spans="23:52">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row>
    <row r="219" spans="23:52">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row>
    <row r="220" spans="23:52">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row>
    <row r="221" spans="23:52">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row>
    <row r="222" spans="23:52">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row>
    <row r="223" spans="23:52">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row>
    <row r="224" spans="23:52">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row>
    <row r="225" spans="23:52">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row>
    <row r="226" spans="23:52">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row>
    <row r="227" spans="23:52">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row>
    <row r="228" spans="23:52">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row>
    <row r="229" spans="23:52">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row>
    <row r="230" spans="23:52">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row>
    <row r="231" spans="23:52">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row>
    <row r="232" spans="23:52">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row>
    <row r="233" spans="23:52">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row>
    <row r="234" spans="23:52">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row>
    <row r="235" spans="23:52">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row>
    <row r="236" spans="23:52">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row>
    <row r="237" spans="23:52">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row>
    <row r="238" spans="23:52">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row>
    <row r="239" spans="23:52">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row>
    <row r="240" spans="23:52">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row>
    <row r="241" spans="23:52">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row>
    <row r="242" spans="23:52">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row>
    <row r="243" spans="23:52">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row>
    <row r="244" spans="23:52">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row>
    <row r="245" spans="23:52">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row>
    <row r="246" spans="23:52">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row>
    <row r="247" spans="23:52">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row>
    <row r="248" spans="23:52">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row>
    <row r="249" spans="23:52">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row>
    <row r="250" spans="23:52">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row>
    <row r="251" spans="23:52">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row>
    <row r="252" spans="23:52">
      <c r="W252" s="628"/>
      <c r="X252" s="628"/>
      <c r="Y252" s="628"/>
      <c r="Z252" s="628"/>
      <c r="AA252" s="628"/>
      <c r="AB252" s="628"/>
      <c r="AC252" s="628"/>
      <c r="AD252" s="628"/>
      <c r="AE252" s="628"/>
      <c r="AF252" s="628"/>
      <c r="AG252" s="628"/>
      <c r="AH252" s="628"/>
      <c r="AI252" s="628"/>
      <c r="AJ252" s="628"/>
      <c r="AK252" s="628"/>
      <c r="AL252" s="628"/>
      <c r="AM252" s="628"/>
      <c r="AN252" s="628"/>
      <c r="AO252" s="628"/>
      <c r="AP252" s="628"/>
      <c r="AQ252" s="628"/>
      <c r="AR252" s="628"/>
      <c r="AS252" s="628"/>
      <c r="AT252" s="628"/>
      <c r="AU252" s="628"/>
      <c r="AV252" s="628"/>
      <c r="AW252" s="628"/>
      <c r="AX252" s="628"/>
      <c r="AY252" s="628"/>
      <c r="AZ252" s="628"/>
    </row>
    <row r="253" spans="23:52">
      <c r="W253" s="628"/>
      <c r="X253" s="628"/>
      <c r="Y253" s="628"/>
      <c r="Z253" s="628"/>
      <c r="AA253" s="628"/>
      <c r="AB253" s="628"/>
      <c r="AC253" s="628"/>
      <c r="AD253" s="628"/>
      <c r="AE253" s="628"/>
      <c r="AF253" s="628"/>
      <c r="AG253" s="628"/>
      <c r="AH253" s="628"/>
      <c r="AI253" s="628"/>
      <c r="AJ253" s="628"/>
      <c r="AK253" s="628"/>
      <c r="AL253" s="628"/>
      <c r="AM253" s="628"/>
      <c r="AN253" s="628"/>
      <c r="AO253" s="628"/>
      <c r="AP253" s="628"/>
      <c r="AQ253" s="628"/>
      <c r="AR253" s="628"/>
      <c r="AS253" s="628"/>
      <c r="AT253" s="628"/>
      <c r="AU253" s="628"/>
      <c r="AV253" s="628"/>
      <c r="AW253" s="628"/>
      <c r="AX253" s="628"/>
      <c r="AY253" s="628"/>
      <c r="AZ253" s="628"/>
    </row>
    <row r="254" spans="23:52">
      <c r="W254" s="628"/>
      <c r="X254" s="628"/>
      <c r="Y254" s="628"/>
      <c r="Z254" s="628"/>
      <c r="AA254" s="628"/>
      <c r="AB254" s="628"/>
      <c r="AC254" s="628"/>
      <c r="AD254" s="628"/>
      <c r="AE254" s="628"/>
      <c r="AF254" s="628"/>
      <c r="AG254" s="628"/>
      <c r="AH254" s="628"/>
      <c r="AI254" s="628"/>
      <c r="AJ254" s="628"/>
      <c r="AK254" s="628"/>
      <c r="AL254" s="628"/>
      <c r="AM254" s="628"/>
      <c r="AN254" s="628"/>
      <c r="AO254" s="628"/>
      <c r="AP254" s="628"/>
      <c r="AQ254" s="628"/>
      <c r="AR254" s="628"/>
      <c r="AS254" s="628"/>
      <c r="AT254" s="628"/>
      <c r="AU254" s="628"/>
      <c r="AV254" s="628"/>
      <c r="AW254" s="628"/>
      <c r="AX254" s="628"/>
      <c r="AY254" s="628"/>
      <c r="AZ254" s="628"/>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dimension ref="A1:FN64"/>
  <sheetViews>
    <sheetView showGridLines="0" view="pageBreakPreview" zoomScaleNormal="115" zoomScaleSheetLayoutView="100" zoomScalePageLayoutView="70" workbookViewId="0">
      <selection activeCell="D22" sqref="D22"/>
    </sheetView>
  </sheetViews>
  <sheetFormatPr baseColWidth="10" defaultColWidth="11.7109375" defaultRowHeight="14.4"/>
  <cols>
    <col min="1" max="1" width="3.28515625" style="614" customWidth="1"/>
    <col min="2" max="2" width="3" style="614" customWidth="1"/>
    <col min="3" max="3" width="22.5703125" style="614" customWidth="1"/>
    <col min="4" max="4" width="12.140625" style="614" customWidth="1"/>
    <col min="5" max="9" width="11.7109375" style="614"/>
    <col min="10" max="10" width="11.7109375" style="614" customWidth="1"/>
    <col min="11" max="11" width="11.7109375" style="614"/>
    <col min="12" max="164" width="11.7109375" style="675"/>
    <col min="165" max="168" width="11.7109375" style="628"/>
    <col min="169" max="170" width="11.7109375" style="675"/>
    <col min="171" max="16384" width="11.7109375" style="614"/>
  </cols>
  <sheetData>
    <row r="1" spans="1:162" ht="58.5" customHeight="1">
      <c r="A1" s="869"/>
      <c r="B1" s="869"/>
      <c r="C1" s="869"/>
      <c r="D1" s="613" t="s">
        <v>389</v>
      </c>
      <c r="AK1" s="675" t="s">
        <v>539</v>
      </c>
    </row>
    <row r="2" spans="1:162" ht="11.25" customHeight="1">
      <c r="AK2" s="675" t="s">
        <v>539</v>
      </c>
    </row>
    <row r="3" spans="1:162" ht="15.6">
      <c r="B3" s="615" t="s">
        <v>193</v>
      </c>
      <c r="AK3" s="675" t="s">
        <v>539</v>
      </c>
    </row>
    <row r="4" spans="1:162">
      <c r="AK4" s="675" t="s">
        <v>539</v>
      </c>
    </row>
    <row r="5" spans="1:162">
      <c r="C5" s="665" t="s">
        <v>285</v>
      </c>
      <c r="AK5" s="675" t="s">
        <v>539</v>
      </c>
    </row>
    <row r="6" spans="1:162">
      <c r="AK6" s="675" t="s">
        <v>539</v>
      </c>
    </row>
    <row r="7" spans="1:162">
      <c r="AK7" s="675" t="s">
        <v>539</v>
      </c>
    </row>
    <row r="9" spans="1:162">
      <c r="M9" s="675">
        <v>1</v>
      </c>
      <c r="S9" s="675">
        <v>2</v>
      </c>
      <c r="V9" s="676"/>
      <c r="W9" s="676"/>
      <c r="Y9" s="675">
        <v>3</v>
      </c>
      <c r="AE9" s="675">
        <v>4</v>
      </c>
      <c r="AK9" s="675">
        <v>5</v>
      </c>
      <c r="AQ9" s="675">
        <v>6</v>
      </c>
      <c r="AT9" s="676"/>
      <c r="AU9" s="676"/>
      <c r="AW9" s="675">
        <v>7</v>
      </c>
      <c r="BC9" s="675">
        <v>8</v>
      </c>
      <c r="BF9" s="676"/>
      <c r="BG9" s="676"/>
      <c r="BI9" s="675">
        <v>9</v>
      </c>
      <c r="BO9" s="675">
        <v>10</v>
      </c>
      <c r="BU9" s="675">
        <v>11</v>
      </c>
      <c r="CA9" s="675">
        <v>12</v>
      </c>
      <c r="CG9" s="675">
        <v>13</v>
      </c>
      <c r="CM9" s="675">
        <v>14</v>
      </c>
      <c r="CP9" s="676"/>
      <c r="CQ9" s="676"/>
      <c r="CS9" s="675">
        <v>15</v>
      </c>
      <c r="CY9" s="675">
        <v>16</v>
      </c>
      <c r="DE9" s="675">
        <v>17</v>
      </c>
      <c r="DK9" s="675">
        <v>18</v>
      </c>
      <c r="DN9" s="676"/>
      <c r="DO9" s="676"/>
      <c r="DQ9" s="675">
        <v>19</v>
      </c>
      <c r="DW9" s="675">
        <v>20</v>
      </c>
      <c r="EC9" s="675">
        <v>21</v>
      </c>
      <c r="EI9" s="675">
        <v>22</v>
      </c>
      <c r="EL9" s="676"/>
      <c r="EM9" s="676"/>
      <c r="EO9" s="675">
        <v>23</v>
      </c>
      <c r="EU9" s="675">
        <v>24</v>
      </c>
    </row>
    <row r="10" spans="1:162">
      <c r="M10" s="677" t="s">
        <v>510</v>
      </c>
      <c r="N10" s="676"/>
      <c r="O10" s="676"/>
      <c r="P10" s="676"/>
      <c r="Q10" s="676" t="s">
        <v>491</v>
      </c>
      <c r="R10" s="676" t="s">
        <v>425</v>
      </c>
      <c r="S10" s="677" t="s">
        <v>511</v>
      </c>
      <c r="T10" s="676"/>
      <c r="U10" s="676"/>
      <c r="V10" s="676"/>
      <c r="W10" s="676" t="s">
        <v>491</v>
      </c>
      <c r="X10" s="676" t="s">
        <v>425</v>
      </c>
      <c r="Y10" s="677" t="s">
        <v>512</v>
      </c>
      <c r="Z10" s="676"/>
      <c r="AA10" s="676"/>
      <c r="AB10" s="676"/>
      <c r="AC10" s="676" t="s">
        <v>491</v>
      </c>
      <c r="AD10" s="676" t="s">
        <v>425</v>
      </c>
      <c r="AE10" s="677" t="s">
        <v>513</v>
      </c>
      <c r="AF10" s="676"/>
      <c r="AG10" s="676"/>
      <c r="AH10" s="676"/>
      <c r="AI10" s="676" t="s">
        <v>491</v>
      </c>
      <c r="AJ10" s="676" t="s">
        <v>425</v>
      </c>
      <c r="AK10" s="677" t="s">
        <v>490</v>
      </c>
      <c r="AL10" s="676"/>
      <c r="AM10" s="676"/>
      <c r="AN10" s="676"/>
      <c r="AO10" s="676" t="s">
        <v>491</v>
      </c>
      <c r="AP10" s="676" t="s">
        <v>425</v>
      </c>
      <c r="AQ10" s="677" t="s">
        <v>492</v>
      </c>
      <c r="AR10" s="676"/>
      <c r="AS10" s="676"/>
      <c r="AT10" s="676"/>
      <c r="AU10" s="676" t="s">
        <v>491</v>
      </c>
      <c r="AV10" s="676" t="s">
        <v>425</v>
      </c>
      <c r="AW10" s="677" t="s">
        <v>493</v>
      </c>
      <c r="AX10" s="676"/>
      <c r="AY10" s="676"/>
      <c r="AZ10" s="676"/>
      <c r="BA10" s="676" t="s">
        <v>491</v>
      </c>
      <c r="BB10" s="676" t="s">
        <v>425</v>
      </c>
      <c r="BC10" s="677" t="s">
        <v>494</v>
      </c>
      <c r="BD10" s="676"/>
      <c r="BE10" s="676"/>
      <c r="BF10" s="676"/>
      <c r="BG10" s="676" t="s">
        <v>491</v>
      </c>
      <c r="BH10" s="676" t="s">
        <v>425</v>
      </c>
      <c r="BI10" s="677" t="s">
        <v>495</v>
      </c>
      <c r="BJ10" s="676"/>
      <c r="BK10" s="676"/>
      <c r="BL10" s="676"/>
      <c r="BM10" s="676" t="s">
        <v>491</v>
      </c>
      <c r="BN10" s="676" t="s">
        <v>425</v>
      </c>
      <c r="BO10" s="677" t="s">
        <v>496</v>
      </c>
      <c r="BP10" s="676"/>
      <c r="BQ10" s="676"/>
      <c r="BR10" s="676"/>
      <c r="BS10" s="676" t="s">
        <v>491</v>
      </c>
      <c r="BT10" s="676" t="s">
        <v>425</v>
      </c>
      <c r="BU10" s="677" t="s">
        <v>497</v>
      </c>
      <c r="BV10" s="676"/>
      <c r="BW10" s="676"/>
      <c r="BX10" s="676"/>
      <c r="BY10" s="676" t="s">
        <v>491</v>
      </c>
      <c r="BZ10" s="676" t="s">
        <v>425</v>
      </c>
      <c r="CA10" s="677" t="s">
        <v>498</v>
      </c>
      <c r="CB10" s="676"/>
      <c r="CC10" s="676"/>
      <c r="CD10" s="676"/>
      <c r="CE10" s="676" t="s">
        <v>491</v>
      </c>
      <c r="CF10" s="676" t="s">
        <v>425</v>
      </c>
      <c r="CG10" s="677" t="s">
        <v>499</v>
      </c>
      <c r="CH10" s="676"/>
      <c r="CI10" s="676"/>
      <c r="CJ10" s="676"/>
      <c r="CK10" s="676" t="s">
        <v>491</v>
      </c>
      <c r="CL10" s="676" t="s">
        <v>425</v>
      </c>
      <c r="CM10" s="677" t="s">
        <v>500</v>
      </c>
      <c r="CN10" s="676"/>
      <c r="CO10" s="676"/>
      <c r="CP10" s="676"/>
      <c r="CQ10" s="676" t="s">
        <v>491</v>
      </c>
      <c r="CR10" s="676" t="s">
        <v>425</v>
      </c>
      <c r="CS10" s="677" t="s">
        <v>501</v>
      </c>
      <c r="CT10" s="676"/>
      <c r="CU10" s="676"/>
      <c r="CV10" s="676"/>
      <c r="CW10" s="676" t="s">
        <v>491</v>
      </c>
      <c r="CX10" s="676" t="s">
        <v>425</v>
      </c>
      <c r="CY10" s="677" t="s">
        <v>502</v>
      </c>
      <c r="CZ10" s="676"/>
      <c r="DA10" s="676"/>
      <c r="DB10" s="676"/>
      <c r="DC10" s="676" t="s">
        <v>491</v>
      </c>
      <c r="DD10" s="676" t="s">
        <v>425</v>
      </c>
      <c r="DE10" s="677" t="s">
        <v>503</v>
      </c>
      <c r="DF10" s="676"/>
      <c r="DG10" s="676"/>
      <c r="DH10" s="676"/>
      <c r="DI10" s="676" t="s">
        <v>491</v>
      </c>
      <c r="DJ10" s="676" t="s">
        <v>425</v>
      </c>
      <c r="DK10" s="677" t="s">
        <v>504</v>
      </c>
      <c r="DL10" s="676"/>
      <c r="DM10" s="676"/>
      <c r="DN10" s="676"/>
      <c r="DO10" s="676" t="s">
        <v>491</v>
      </c>
      <c r="DP10" s="676" t="s">
        <v>425</v>
      </c>
      <c r="DQ10" s="677" t="s">
        <v>528</v>
      </c>
      <c r="DR10" s="676"/>
      <c r="DS10" s="676"/>
      <c r="DT10" s="676"/>
      <c r="DU10" s="676" t="s">
        <v>491</v>
      </c>
      <c r="DV10" s="676" t="s">
        <v>425</v>
      </c>
      <c r="DW10" s="677" t="s">
        <v>505</v>
      </c>
      <c r="DX10" s="676"/>
      <c r="DY10" s="676"/>
      <c r="DZ10" s="676"/>
      <c r="EA10" s="676" t="s">
        <v>491</v>
      </c>
      <c r="EB10" s="676" t="s">
        <v>425</v>
      </c>
      <c r="EC10" s="677" t="s">
        <v>506</v>
      </c>
      <c r="ED10" s="676"/>
      <c r="EE10" s="676"/>
      <c r="EF10" s="676"/>
      <c r="EG10" s="676" t="s">
        <v>491</v>
      </c>
      <c r="EH10" s="676" t="s">
        <v>425</v>
      </c>
      <c r="EI10" s="677" t="s">
        <v>507</v>
      </c>
      <c r="EJ10" s="676"/>
      <c r="EK10" s="676"/>
      <c r="EL10" s="676"/>
      <c r="EM10" s="676" t="s">
        <v>491</v>
      </c>
      <c r="EN10" s="676" t="s">
        <v>425</v>
      </c>
      <c r="EO10" s="677" t="s">
        <v>508</v>
      </c>
      <c r="EP10" s="676"/>
      <c r="EQ10" s="676"/>
      <c r="ER10" s="676"/>
      <c r="ES10" s="676" t="s">
        <v>491</v>
      </c>
      <c r="ET10" s="676" t="s">
        <v>425</v>
      </c>
      <c r="EU10" s="677" t="s">
        <v>509</v>
      </c>
      <c r="EV10" s="676"/>
      <c r="EW10" s="676"/>
      <c r="EX10" s="676"/>
      <c r="EY10" s="676" t="s">
        <v>491</v>
      </c>
      <c r="EZ10" s="676" t="s">
        <v>425</v>
      </c>
      <c r="FA10" s="684"/>
      <c r="FF10" s="675" t="s">
        <v>425</v>
      </c>
    </row>
    <row r="11" spans="1:162">
      <c r="M11" s="676"/>
      <c r="N11" s="678" t="s">
        <v>436</v>
      </c>
      <c r="O11" s="678" t="s">
        <v>437</v>
      </c>
      <c r="P11" s="678" t="s">
        <v>438</v>
      </c>
      <c r="Q11" s="678" t="s">
        <v>574</v>
      </c>
      <c r="S11" s="676"/>
      <c r="T11" s="678" t="s">
        <v>436</v>
      </c>
      <c r="U11" s="678" t="s">
        <v>437</v>
      </c>
      <c r="V11" s="678" t="s">
        <v>438</v>
      </c>
      <c r="W11" s="678" t="s">
        <v>574</v>
      </c>
      <c r="Y11" s="676"/>
      <c r="Z11" s="678" t="s">
        <v>436</v>
      </c>
      <c r="AA11" s="678" t="s">
        <v>437</v>
      </c>
      <c r="AB11" s="678" t="s">
        <v>438</v>
      </c>
      <c r="AC11" s="678" t="s">
        <v>574</v>
      </c>
      <c r="AE11" s="676"/>
      <c r="AF11" s="678" t="s">
        <v>436</v>
      </c>
      <c r="AG11" s="678" t="s">
        <v>437</v>
      </c>
      <c r="AH11" s="678" t="s">
        <v>438</v>
      </c>
      <c r="AI11" s="678" t="s">
        <v>574</v>
      </c>
      <c r="AK11" s="676"/>
      <c r="AL11" s="678" t="s">
        <v>436</v>
      </c>
      <c r="AM11" s="678" t="s">
        <v>437</v>
      </c>
      <c r="AN11" s="678" t="s">
        <v>438</v>
      </c>
      <c r="AO11" s="678" t="s">
        <v>574</v>
      </c>
      <c r="AQ11" s="676"/>
      <c r="AR11" s="678" t="s">
        <v>436</v>
      </c>
      <c r="AS11" s="678" t="s">
        <v>437</v>
      </c>
      <c r="AT11" s="678" t="s">
        <v>438</v>
      </c>
      <c r="AU11" s="678" t="s">
        <v>574</v>
      </c>
      <c r="AW11" s="676"/>
      <c r="AX11" s="678" t="s">
        <v>436</v>
      </c>
      <c r="AY11" s="678" t="s">
        <v>437</v>
      </c>
      <c r="AZ11" s="678" t="s">
        <v>438</v>
      </c>
      <c r="BA11" s="678" t="s">
        <v>574</v>
      </c>
      <c r="BC11" s="676"/>
      <c r="BD11" s="678" t="s">
        <v>436</v>
      </c>
      <c r="BE11" s="678" t="s">
        <v>437</v>
      </c>
      <c r="BF11" s="678" t="s">
        <v>438</v>
      </c>
      <c r="BG11" s="678" t="s">
        <v>574</v>
      </c>
      <c r="BI11" s="676"/>
      <c r="BJ11" s="678" t="s">
        <v>436</v>
      </c>
      <c r="BK11" s="678" t="s">
        <v>437</v>
      </c>
      <c r="BL11" s="678" t="s">
        <v>438</v>
      </c>
      <c r="BM11" s="678" t="s">
        <v>574</v>
      </c>
      <c r="BO11" s="676"/>
      <c r="BP11" s="678" t="s">
        <v>436</v>
      </c>
      <c r="BQ11" s="678" t="s">
        <v>437</v>
      </c>
      <c r="BR11" s="678" t="s">
        <v>438</v>
      </c>
      <c r="BS11" s="678" t="s">
        <v>574</v>
      </c>
      <c r="BU11" s="676"/>
      <c r="BV11" s="678" t="s">
        <v>436</v>
      </c>
      <c r="BW11" s="678" t="s">
        <v>437</v>
      </c>
      <c r="BX11" s="678" t="s">
        <v>438</v>
      </c>
      <c r="BY11" s="678" t="s">
        <v>574</v>
      </c>
      <c r="CA11" s="676"/>
      <c r="CB11" s="678" t="s">
        <v>436</v>
      </c>
      <c r="CC11" s="678" t="s">
        <v>437</v>
      </c>
      <c r="CD11" s="678" t="s">
        <v>438</v>
      </c>
      <c r="CE11" s="678" t="s">
        <v>574</v>
      </c>
      <c r="CG11" s="676"/>
      <c r="CH11" s="678" t="s">
        <v>436</v>
      </c>
      <c r="CI11" s="678" t="s">
        <v>437</v>
      </c>
      <c r="CJ11" s="678" t="s">
        <v>438</v>
      </c>
      <c r="CK11" s="678" t="s">
        <v>574</v>
      </c>
      <c r="CM11" s="676"/>
      <c r="CN11" s="678" t="s">
        <v>436</v>
      </c>
      <c r="CO11" s="678" t="s">
        <v>437</v>
      </c>
      <c r="CP11" s="678" t="s">
        <v>438</v>
      </c>
      <c r="CQ11" s="678" t="s">
        <v>574</v>
      </c>
      <c r="CS11" s="676"/>
      <c r="CT11" s="678" t="s">
        <v>436</v>
      </c>
      <c r="CU11" s="678" t="s">
        <v>437</v>
      </c>
      <c r="CV11" s="678" t="s">
        <v>438</v>
      </c>
      <c r="CW11" s="678" t="s">
        <v>574</v>
      </c>
      <c r="CY11" s="676"/>
      <c r="CZ11" s="678" t="s">
        <v>435</v>
      </c>
      <c r="DA11" s="678" t="s">
        <v>436</v>
      </c>
      <c r="DB11" s="678" t="s">
        <v>437</v>
      </c>
      <c r="DC11" s="678" t="s">
        <v>438</v>
      </c>
      <c r="DD11" s="675" t="s">
        <v>574</v>
      </c>
      <c r="DE11" s="676"/>
      <c r="DF11" s="678"/>
      <c r="DG11" s="678" t="s">
        <v>436</v>
      </c>
      <c r="DH11" s="678" t="s">
        <v>437</v>
      </c>
      <c r="DI11" s="678" t="s">
        <v>438</v>
      </c>
      <c r="DJ11" s="675" t="s">
        <v>574</v>
      </c>
      <c r="DK11" s="676"/>
      <c r="DL11" s="678" t="s">
        <v>436</v>
      </c>
      <c r="DM11" s="678" t="s">
        <v>437</v>
      </c>
      <c r="DN11" s="678" t="s">
        <v>438</v>
      </c>
      <c r="DO11" s="678" t="s">
        <v>574</v>
      </c>
      <c r="DQ11" s="676"/>
      <c r="DR11" s="678" t="s">
        <v>436</v>
      </c>
      <c r="DS11" s="678" t="s">
        <v>437</v>
      </c>
      <c r="DT11" s="678" t="s">
        <v>438</v>
      </c>
      <c r="DU11" s="678" t="s">
        <v>574</v>
      </c>
      <c r="DW11" s="676"/>
      <c r="DX11" s="678" t="s">
        <v>436</v>
      </c>
      <c r="DY11" s="678" t="s">
        <v>437</v>
      </c>
      <c r="DZ11" s="678" t="s">
        <v>438</v>
      </c>
      <c r="EA11" s="678" t="s">
        <v>574</v>
      </c>
      <c r="EC11" s="676"/>
      <c r="ED11" s="678" t="s">
        <v>436</v>
      </c>
      <c r="EE11" s="678" t="s">
        <v>437</v>
      </c>
      <c r="EF11" s="678" t="s">
        <v>438</v>
      </c>
      <c r="EG11" s="678" t="s">
        <v>574</v>
      </c>
      <c r="EI11" s="676"/>
      <c r="EJ11" s="678" t="s">
        <v>436</v>
      </c>
      <c r="EK11" s="678" t="s">
        <v>437</v>
      </c>
      <c r="EL11" s="678" t="s">
        <v>438</v>
      </c>
      <c r="EM11" s="678" t="s">
        <v>574</v>
      </c>
      <c r="EO11" s="676"/>
      <c r="EP11" s="678" t="s">
        <v>436</v>
      </c>
      <c r="EQ11" s="678" t="s">
        <v>437</v>
      </c>
      <c r="ER11" s="678" t="s">
        <v>438</v>
      </c>
      <c r="ES11" s="678" t="s">
        <v>574</v>
      </c>
      <c r="EU11" s="676"/>
      <c r="EV11" s="678" t="s">
        <v>436</v>
      </c>
      <c r="EW11" s="678" t="s">
        <v>437</v>
      </c>
      <c r="EX11" s="678" t="s">
        <v>438</v>
      </c>
      <c r="EY11" s="678" t="s">
        <v>574</v>
      </c>
    </row>
    <row r="12" spans="1:162">
      <c r="M12" s="679">
        <v>1</v>
      </c>
      <c r="N12" s="680">
        <v>60.698820178571431</v>
      </c>
      <c r="O12" s="680">
        <v>118.30029422619047</v>
      </c>
      <c r="P12" s="681">
        <v>124.19683363095237</v>
      </c>
      <c r="Q12" s="676">
        <v>140.09851797619046</v>
      </c>
      <c r="S12" s="679">
        <v>1</v>
      </c>
      <c r="T12" s="680">
        <v>7.7380952380952381</v>
      </c>
      <c r="U12" s="680">
        <v>8.2738095238095237</v>
      </c>
      <c r="V12" s="681">
        <v>10.112500000000001</v>
      </c>
      <c r="W12" s="676">
        <v>9.7624999999999993</v>
      </c>
      <c r="Y12" s="679">
        <v>1</v>
      </c>
      <c r="Z12" s="680">
        <v>26.495153999999999</v>
      </c>
      <c r="AA12" s="680">
        <v>26.193480000000001</v>
      </c>
      <c r="AB12" s="681">
        <v>88.78642518292682</v>
      </c>
      <c r="AC12" s="237">
        <v>81.709419876543208</v>
      </c>
      <c r="AD12" s="237"/>
      <c r="AE12" s="679">
        <v>1</v>
      </c>
      <c r="AF12" s="680">
        <v>21.888805773809526</v>
      </c>
      <c r="AG12" s="680">
        <v>33.708409166666662</v>
      </c>
      <c r="AH12" s="681">
        <v>93.88996232142857</v>
      </c>
      <c r="AI12" s="237">
        <v>65.894647083333339</v>
      </c>
      <c r="AK12" s="679">
        <v>1</v>
      </c>
      <c r="AL12" s="680">
        <v>71.095839285714291</v>
      </c>
      <c r="AM12" s="680">
        <v>79.502595238095225</v>
      </c>
      <c r="AN12" s="681">
        <v>220.38591666666665</v>
      </c>
      <c r="AO12" s="676">
        <v>217.47739285714283</v>
      </c>
      <c r="AQ12" s="679">
        <v>1</v>
      </c>
      <c r="AR12" s="680">
        <v>42.987708333333337</v>
      </c>
      <c r="AS12" s="680">
        <v>32.061190476190475</v>
      </c>
      <c r="AT12" s="681">
        <v>94.755714285714276</v>
      </c>
      <c r="AU12" s="676">
        <v>95.694821428571416</v>
      </c>
      <c r="AW12" s="679">
        <v>1</v>
      </c>
      <c r="AX12" s="680">
        <v>1.4930714285714286</v>
      </c>
      <c r="AY12" s="680">
        <v>1.6364285714285716</v>
      </c>
      <c r="AZ12" s="681">
        <v>1.7492857142857143</v>
      </c>
      <c r="BA12" s="676">
        <v>2.2077142857142857</v>
      </c>
      <c r="BC12" s="679">
        <v>1</v>
      </c>
      <c r="BD12" s="680">
        <v>11.543928571428571</v>
      </c>
      <c r="BE12" s="680">
        <v>16.241071428571431</v>
      </c>
      <c r="BF12" s="681">
        <v>33.761309523809523</v>
      </c>
      <c r="BG12" s="676">
        <v>29.299405714285715</v>
      </c>
      <c r="BI12" s="679">
        <v>1</v>
      </c>
      <c r="BJ12" s="680">
        <v>53.00595238095238</v>
      </c>
      <c r="BK12" s="680">
        <v>94.875</v>
      </c>
      <c r="BL12" s="681">
        <v>162.24404761904762</v>
      </c>
      <c r="BM12" s="676">
        <v>132.44047619047618</v>
      </c>
      <c r="BO12" s="679">
        <v>1</v>
      </c>
      <c r="BP12" s="680">
        <v>8.6220238095238084</v>
      </c>
      <c r="BQ12" s="680">
        <v>8.081547619047619</v>
      </c>
      <c r="BR12" s="681">
        <v>39.466071428571432</v>
      </c>
      <c r="BS12" s="676">
        <v>25.172619047619047</v>
      </c>
      <c r="BU12" s="679">
        <v>1</v>
      </c>
      <c r="BV12" s="680">
        <v>45.740059523809521</v>
      </c>
      <c r="BW12" s="680">
        <v>22.387202380952381</v>
      </c>
      <c r="BX12" s="681">
        <v>27.354583333333331</v>
      </c>
      <c r="BY12" s="676">
        <v>65.462916666666672</v>
      </c>
      <c r="CA12" s="679">
        <v>1</v>
      </c>
      <c r="CB12" s="680">
        <v>109.58663999999999</v>
      </c>
      <c r="CC12" s="680">
        <v>147.1565457142857</v>
      </c>
      <c r="CD12" s="681">
        <v>268.89191285714287</v>
      </c>
      <c r="CE12" s="676">
        <v>523.61036000000001</v>
      </c>
      <c r="CG12" s="679">
        <v>1</v>
      </c>
      <c r="CH12" s="680">
        <v>102.98333333333333</v>
      </c>
      <c r="CI12" s="680">
        <v>66.146488095238098</v>
      </c>
      <c r="CJ12" s="681">
        <v>124.38279761904761</v>
      </c>
      <c r="CK12" s="676">
        <v>224.255</v>
      </c>
      <c r="CM12" s="679">
        <v>1</v>
      </c>
      <c r="CN12" s="680">
        <v>65.27320238095237</v>
      </c>
      <c r="CO12" s="680">
        <v>128.53054166666666</v>
      </c>
      <c r="CP12" s="681">
        <v>290.99485119047614</v>
      </c>
      <c r="CQ12" s="676">
        <v>201.61364880952382</v>
      </c>
      <c r="CS12" s="679">
        <v>1</v>
      </c>
      <c r="CT12" s="680">
        <v>28.413690476190474</v>
      </c>
      <c r="CU12" s="680">
        <v>34.904761904761905</v>
      </c>
      <c r="CV12" s="681">
        <v>113.12142857142858</v>
      </c>
      <c r="CW12" s="676">
        <v>95.520833333333329</v>
      </c>
      <c r="CY12" s="679">
        <v>1</v>
      </c>
      <c r="CZ12" s="680">
        <v>0</v>
      </c>
      <c r="DA12" s="680">
        <v>0</v>
      </c>
      <c r="DB12" s="681">
        <v>0</v>
      </c>
      <c r="DC12" s="676">
        <v>0</v>
      </c>
      <c r="DD12" s="675">
        <v>0.308</v>
      </c>
      <c r="DE12" s="679"/>
      <c r="DF12" s="679">
        <v>1</v>
      </c>
      <c r="DG12" s="680">
        <v>0</v>
      </c>
      <c r="DH12" s="681">
        <v>0</v>
      </c>
      <c r="DI12" s="676">
        <v>0</v>
      </c>
      <c r="DJ12" s="675">
        <v>0</v>
      </c>
      <c r="DK12" s="679">
        <v>1</v>
      </c>
      <c r="DL12" s="680">
        <v>1.83</v>
      </c>
      <c r="DM12" s="680">
        <v>0.80700000000000005</v>
      </c>
      <c r="DN12" s="681">
        <v>1.907</v>
      </c>
      <c r="DO12" s="771">
        <v>0.63</v>
      </c>
      <c r="DQ12" s="679">
        <v>1</v>
      </c>
      <c r="DR12" s="680">
        <v>12.151369047619047</v>
      </c>
      <c r="DS12" s="680">
        <v>11.095357142857143</v>
      </c>
      <c r="DT12" s="681">
        <v>9.5889285714285712</v>
      </c>
      <c r="DU12" s="771">
        <v>10.659880952380952</v>
      </c>
      <c r="DW12" s="679">
        <v>1</v>
      </c>
      <c r="DX12" s="680">
        <v>1.4788630952380952</v>
      </c>
      <c r="DY12" s="680">
        <v>0.82545238095238094</v>
      </c>
      <c r="DZ12" s="681">
        <v>1.3617321428571429</v>
      </c>
      <c r="EA12" s="771">
        <v>1.417875</v>
      </c>
      <c r="EC12" s="679">
        <v>1</v>
      </c>
      <c r="ED12" s="680">
        <v>4.6622222222222218</v>
      </c>
      <c r="EE12" s="680">
        <v>0.25</v>
      </c>
      <c r="EF12" s="681">
        <v>0.82499999999999996</v>
      </c>
      <c r="EG12" s="771">
        <v>3.8852380952380954</v>
      </c>
      <c r="EI12" s="679">
        <v>1</v>
      </c>
      <c r="EJ12" s="680">
        <v>0.13</v>
      </c>
      <c r="EK12" s="680">
        <v>0.29228571428571426</v>
      </c>
      <c r="EL12" s="681">
        <v>0.24</v>
      </c>
      <c r="EM12" s="771">
        <v>0.372</v>
      </c>
      <c r="EO12" s="679">
        <v>1</v>
      </c>
      <c r="EP12" s="680">
        <v>4.1154285714285717</v>
      </c>
      <c r="EQ12" s="680">
        <v>5.826714285714286</v>
      </c>
      <c r="ER12" s="681">
        <v>1.6685714285714286</v>
      </c>
      <c r="ES12" s="771">
        <v>10.486857142857144</v>
      </c>
      <c r="EU12" s="679">
        <v>1</v>
      </c>
      <c r="EV12" s="680">
        <v>0.25</v>
      </c>
      <c r="EW12" s="680">
        <v>0.25</v>
      </c>
      <c r="EX12" s="681">
        <v>0.25</v>
      </c>
      <c r="EY12" s="676">
        <v>0.25</v>
      </c>
    </row>
    <row r="13" spans="1:162">
      <c r="M13" s="679">
        <v>2</v>
      </c>
      <c r="N13" s="680">
        <v>86.629251130952369</v>
      </c>
      <c r="O13" s="680">
        <v>87.559650773809523</v>
      </c>
      <c r="P13" s="681">
        <v>142.48386916666666</v>
      </c>
      <c r="Q13" s="676">
        <v>148.1922913095238</v>
      </c>
      <c r="S13" s="679">
        <v>2</v>
      </c>
      <c r="T13" s="680">
        <v>5.105952380952381</v>
      </c>
      <c r="U13" s="680">
        <v>5.1898809523809524</v>
      </c>
      <c r="V13" s="681">
        <v>10.614880952380952</v>
      </c>
      <c r="W13" s="676">
        <v>9.966666666666665</v>
      </c>
      <c r="Y13" s="679">
        <v>2</v>
      </c>
      <c r="Z13" s="680">
        <v>21.311193809523811</v>
      </c>
      <c r="AA13" s="680">
        <v>47.827152711864407</v>
      </c>
      <c r="AB13" s="681">
        <v>76.312980848484841</v>
      </c>
      <c r="AC13" s="237">
        <v>50.203965217391307</v>
      </c>
      <c r="AD13" s="237"/>
      <c r="AE13" s="679">
        <v>2</v>
      </c>
      <c r="AF13" s="680">
        <v>52.070680773809521</v>
      </c>
      <c r="AG13" s="680">
        <v>25.991475000000001</v>
      </c>
      <c r="AH13" s="681">
        <v>112.34464339285714</v>
      </c>
      <c r="AI13" s="237">
        <v>47.158423749999997</v>
      </c>
      <c r="AK13" s="679">
        <v>2</v>
      </c>
      <c r="AL13" s="680">
        <v>56.996488095238092</v>
      </c>
      <c r="AM13" s="680">
        <v>82.984999999999999</v>
      </c>
      <c r="AN13" s="681">
        <v>126.21670833333332</v>
      </c>
      <c r="AO13" s="676">
        <v>124.40014285714285</v>
      </c>
      <c r="AQ13" s="679">
        <v>2</v>
      </c>
      <c r="AR13" s="680">
        <v>27.815761904761906</v>
      </c>
      <c r="AS13" s="680">
        <v>34.565595238095234</v>
      </c>
      <c r="AT13" s="681">
        <v>78.50595238095238</v>
      </c>
      <c r="AU13" s="676">
        <v>60.187053571428564</v>
      </c>
      <c r="AW13" s="679">
        <v>2</v>
      </c>
      <c r="AX13" s="680">
        <v>4.3837142857142855</v>
      </c>
      <c r="AY13" s="680">
        <v>1.4351428571428573</v>
      </c>
      <c r="AZ13" s="681">
        <v>2.2167142857142861</v>
      </c>
      <c r="BA13" s="676">
        <v>1.5207142857142857</v>
      </c>
      <c r="BC13" s="679">
        <v>2</v>
      </c>
      <c r="BD13" s="680">
        <v>10.532738095238095</v>
      </c>
      <c r="BE13" s="680">
        <v>13.111309523809522</v>
      </c>
      <c r="BF13" s="681">
        <v>23.841369047619047</v>
      </c>
      <c r="BG13" s="676">
        <v>20.934522857142856</v>
      </c>
      <c r="BI13" s="679">
        <v>2</v>
      </c>
      <c r="BJ13" s="680">
        <v>85.154761904761898</v>
      </c>
      <c r="BK13" s="680">
        <v>63.964285714285708</v>
      </c>
      <c r="BL13" s="681">
        <v>129.33928571428569</v>
      </c>
      <c r="BM13" s="676">
        <v>114.32142857142856</v>
      </c>
      <c r="BO13" s="679">
        <v>2</v>
      </c>
      <c r="BP13" s="680">
        <v>16.483333333333334</v>
      </c>
      <c r="BQ13" s="680">
        <v>8.3011904761904756</v>
      </c>
      <c r="BR13" s="681">
        <v>28.008928571428569</v>
      </c>
      <c r="BS13" s="676">
        <v>18.363690476190477</v>
      </c>
      <c r="BU13" s="679">
        <v>2</v>
      </c>
      <c r="BV13" s="680">
        <v>44.318214285714284</v>
      </c>
      <c r="BW13" s="680">
        <v>20.756666666666664</v>
      </c>
      <c r="BX13" s="681">
        <v>26.725535714285712</v>
      </c>
      <c r="BY13" s="676">
        <v>75.157380952380947</v>
      </c>
      <c r="CA13" s="679">
        <v>2</v>
      </c>
      <c r="CB13" s="680">
        <v>122.15352142857144</v>
      </c>
      <c r="CC13" s="680">
        <v>134.57828428571426</v>
      </c>
      <c r="CD13" s="681">
        <v>293.80802285714287</v>
      </c>
      <c r="CE13" s="676">
        <v>321.32898999999998</v>
      </c>
      <c r="CG13" s="679">
        <v>2</v>
      </c>
      <c r="CH13" s="680">
        <v>187.8260714285714</v>
      </c>
      <c r="CI13" s="680">
        <v>61.672023809523807</v>
      </c>
      <c r="CJ13" s="681">
        <v>142.93428571428569</v>
      </c>
      <c r="CK13" s="676">
        <v>280.94928571428568</v>
      </c>
      <c r="CM13" s="679">
        <v>2</v>
      </c>
      <c r="CN13" s="680">
        <v>96.07277380952381</v>
      </c>
      <c r="CO13" s="680">
        <v>81.639958333333325</v>
      </c>
      <c r="CP13" s="681">
        <v>243.20825595238094</v>
      </c>
      <c r="CQ13" s="676">
        <v>145.3066975595238</v>
      </c>
      <c r="CS13" s="679">
        <v>2</v>
      </c>
      <c r="CT13" s="680">
        <v>29.998214285714283</v>
      </c>
      <c r="CU13" s="680">
        <v>28.24345238095238</v>
      </c>
      <c r="CV13" s="681">
        <v>104.79583333333333</v>
      </c>
      <c r="CW13" s="676">
        <v>55.897023809523809</v>
      </c>
      <c r="CY13" s="679">
        <v>2</v>
      </c>
      <c r="CZ13" s="680">
        <v>0</v>
      </c>
      <c r="DA13" s="680">
        <v>0</v>
      </c>
      <c r="DB13" s="681">
        <v>0</v>
      </c>
      <c r="DC13" s="676">
        <v>0</v>
      </c>
      <c r="DD13" s="675">
        <v>0.308</v>
      </c>
      <c r="DE13" s="679"/>
      <c r="DF13" s="679">
        <v>2</v>
      </c>
      <c r="DG13" s="680">
        <v>0</v>
      </c>
      <c r="DH13" s="681">
        <v>0</v>
      </c>
      <c r="DI13" s="676">
        <v>0</v>
      </c>
      <c r="DJ13" s="675">
        <v>0</v>
      </c>
      <c r="DK13" s="679">
        <v>2</v>
      </c>
      <c r="DL13" s="680">
        <v>1.83</v>
      </c>
      <c r="DM13" s="680">
        <v>0.80700000000000005</v>
      </c>
      <c r="DN13" s="681">
        <v>1.907</v>
      </c>
      <c r="DO13" s="771">
        <v>0.63</v>
      </c>
      <c r="DQ13" s="679">
        <v>2</v>
      </c>
      <c r="DR13" s="680">
        <v>15.379761904761905</v>
      </c>
      <c r="DS13" s="680">
        <v>10.665119047619047</v>
      </c>
      <c r="DT13" s="681">
        <v>8.8026785714285722</v>
      </c>
      <c r="DU13" s="771">
        <v>10.985714285714286</v>
      </c>
      <c r="DW13" s="679">
        <v>2</v>
      </c>
      <c r="DX13" s="680">
        <v>1.464172619047619</v>
      </c>
      <c r="DY13" s="680">
        <v>0.81767261904761912</v>
      </c>
      <c r="DZ13" s="681">
        <v>1.4181845238095239</v>
      </c>
      <c r="EA13" s="771">
        <v>1.5238809523809524</v>
      </c>
      <c r="EC13" s="679">
        <v>2</v>
      </c>
      <c r="ED13" s="680">
        <v>8.1722222222222225</v>
      </c>
      <c r="EE13" s="680">
        <v>0.28000000000000003</v>
      </c>
      <c r="EF13" s="681">
        <v>3.1924999999999999</v>
      </c>
      <c r="EG13" s="771">
        <v>6.3609090909090913</v>
      </c>
      <c r="EI13" s="679">
        <v>2</v>
      </c>
      <c r="EJ13" s="680">
        <v>0.13</v>
      </c>
      <c r="EK13" s="680">
        <v>0.25800000000000001</v>
      </c>
      <c r="EL13" s="681">
        <v>0.24</v>
      </c>
      <c r="EM13" s="771">
        <v>0.372</v>
      </c>
      <c r="EO13" s="679">
        <v>2</v>
      </c>
      <c r="EP13" s="680">
        <v>7.0179485714285716</v>
      </c>
      <c r="EQ13" s="680">
        <v>5.5138571428571428</v>
      </c>
      <c r="ER13" s="681">
        <v>1.9</v>
      </c>
      <c r="ES13" s="771">
        <v>10.226892857142856</v>
      </c>
      <c r="EU13" s="679">
        <v>2</v>
      </c>
      <c r="EV13" s="680">
        <v>0.25</v>
      </c>
      <c r="EW13" s="680">
        <v>0.25</v>
      </c>
      <c r="EX13" s="681">
        <v>0.25</v>
      </c>
      <c r="EY13" s="676">
        <v>0.25</v>
      </c>
    </row>
    <row r="14" spans="1:162">
      <c r="M14" s="679">
        <v>3</v>
      </c>
      <c r="N14" s="680">
        <v>105.94555714285713</v>
      </c>
      <c r="O14" s="680">
        <v>55.700483452380951</v>
      </c>
      <c r="P14" s="681">
        <v>134.36388583333334</v>
      </c>
      <c r="Q14" s="676">
        <v>126.37637035714286</v>
      </c>
      <c r="S14" s="679">
        <v>3</v>
      </c>
      <c r="T14" s="680">
        <v>3.7202380952380953</v>
      </c>
      <c r="U14" s="680">
        <v>2.8779761904761902</v>
      </c>
      <c r="V14" s="681">
        <v>10.901785714285715</v>
      </c>
      <c r="W14" s="676">
        <v>12.827380952380953</v>
      </c>
      <c r="Y14" s="679">
        <v>3</v>
      </c>
      <c r="Z14" s="680">
        <v>18.4038</v>
      </c>
      <c r="AA14" s="680">
        <v>38.682492142857143</v>
      </c>
      <c r="AB14" s="681">
        <v>69.859485106382976</v>
      </c>
      <c r="AC14" s="237">
        <v>45.818493827160495</v>
      </c>
      <c r="AD14" s="237"/>
      <c r="AE14" s="679">
        <v>3</v>
      </c>
      <c r="AF14" s="680">
        <v>49.971241190476185</v>
      </c>
      <c r="AG14" s="680">
        <v>41.108489404761904</v>
      </c>
      <c r="AH14" s="681">
        <v>94.990901309523807</v>
      </c>
      <c r="AI14" s="237">
        <v>51.663300299757623</v>
      </c>
      <c r="AK14" s="679">
        <v>3</v>
      </c>
      <c r="AL14" s="680">
        <v>56.568488095238095</v>
      </c>
      <c r="AM14" s="680">
        <v>85.672571428571416</v>
      </c>
      <c r="AN14" s="681">
        <v>156.85198214285714</v>
      </c>
      <c r="AO14" s="676">
        <v>95.204273809523812</v>
      </c>
      <c r="AQ14" s="679">
        <v>3</v>
      </c>
      <c r="AR14" s="680">
        <v>25.573815476190475</v>
      </c>
      <c r="AS14" s="680">
        <v>53.262976190476188</v>
      </c>
      <c r="AT14" s="681">
        <v>86.924410714285699</v>
      </c>
      <c r="AU14" s="676">
        <v>27.363720238095237</v>
      </c>
      <c r="AW14" s="679">
        <v>3</v>
      </c>
      <c r="AX14" s="680">
        <v>3.4293214285714289</v>
      </c>
      <c r="AY14" s="680">
        <v>1.1248571428571428</v>
      </c>
      <c r="AZ14" s="681">
        <v>1.9202857142857144</v>
      </c>
      <c r="BA14" s="676">
        <v>4.088857142857143</v>
      </c>
      <c r="BC14" s="679">
        <v>3</v>
      </c>
      <c r="BD14" s="680">
        <v>12.373452380952379</v>
      </c>
      <c r="BE14" s="680">
        <v>14.104166666666668</v>
      </c>
      <c r="BF14" s="681">
        <v>33.810119047619047</v>
      </c>
      <c r="BG14" s="676">
        <v>19.824404761904759</v>
      </c>
      <c r="BI14" s="679">
        <v>3</v>
      </c>
      <c r="BJ14" s="680">
        <v>79.166666666666657</v>
      </c>
      <c r="BK14" s="680">
        <v>66.660714285714278</v>
      </c>
      <c r="BL14" s="681">
        <v>143.57142857142856</v>
      </c>
      <c r="BM14" s="676">
        <v>156.94642857142858</v>
      </c>
      <c r="BO14" s="679">
        <v>3</v>
      </c>
      <c r="BP14" s="680">
        <v>14.234523809523807</v>
      </c>
      <c r="BQ14" s="680">
        <v>13.864285714285716</v>
      </c>
      <c r="BR14" s="681">
        <v>30.448214285714286</v>
      </c>
      <c r="BS14" s="676">
        <v>24.808333333333334</v>
      </c>
      <c r="BU14" s="679">
        <v>3</v>
      </c>
      <c r="BV14" s="680">
        <v>55.868511904761903</v>
      </c>
      <c r="BW14" s="680">
        <v>14.163095238095238</v>
      </c>
      <c r="BX14" s="681">
        <v>25.479166666666668</v>
      </c>
      <c r="BY14" s="676">
        <v>57.009285714285717</v>
      </c>
      <c r="CA14" s="679">
        <v>3</v>
      </c>
      <c r="CB14" s="680">
        <v>177.14736428571427</v>
      </c>
      <c r="CC14" s="680">
        <v>104.53121857142855</v>
      </c>
      <c r="CD14" s="681">
        <v>303.6156157142857</v>
      </c>
      <c r="CE14" s="676">
        <v>269.22536142857143</v>
      </c>
      <c r="CG14" s="679">
        <v>3</v>
      </c>
      <c r="CH14" s="680">
        <v>218.00309523809526</v>
      </c>
      <c r="CI14" s="680">
        <v>46.159166666666664</v>
      </c>
      <c r="CJ14" s="681">
        <v>97.427499999999995</v>
      </c>
      <c r="CK14" s="676">
        <v>302.52779761904765</v>
      </c>
      <c r="CM14" s="679">
        <v>3</v>
      </c>
      <c r="CN14" s="680">
        <v>98.782499999999999</v>
      </c>
      <c r="CO14" s="680">
        <v>71.090196428571417</v>
      </c>
      <c r="CP14" s="681">
        <v>269.28491071428567</v>
      </c>
      <c r="CQ14" s="676">
        <v>173.61822184523808</v>
      </c>
      <c r="CS14" s="679">
        <v>3</v>
      </c>
      <c r="CT14" s="680">
        <v>55.5625</v>
      </c>
      <c r="CU14" s="680">
        <v>26.6875</v>
      </c>
      <c r="CV14" s="681">
        <v>119.06607142857142</v>
      </c>
      <c r="CW14" s="676">
        <v>41.173214285714288</v>
      </c>
      <c r="CY14" s="679">
        <v>3</v>
      </c>
      <c r="CZ14" s="680">
        <v>0</v>
      </c>
      <c r="DA14" s="680">
        <v>0</v>
      </c>
      <c r="DB14" s="681">
        <v>0</v>
      </c>
      <c r="DC14" s="676">
        <v>0</v>
      </c>
      <c r="DD14" s="675">
        <v>0.308</v>
      </c>
      <c r="DE14" s="679"/>
      <c r="DF14" s="679">
        <v>3</v>
      </c>
      <c r="DG14" s="680">
        <v>0</v>
      </c>
      <c r="DH14" s="681">
        <v>0</v>
      </c>
      <c r="DI14" s="676">
        <v>0</v>
      </c>
      <c r="DJ14" s="675">
        <v>0</v>
      </c>
      <c r="DK14" s="679">
        <v>3</v>
      </c>
      <c r="DL14" s="680">
        <v>1.83</v>
      </c>
      <c r="DM14" s="680">
        <v>0.80700000000000005</v>
      </c>
      <c r="DN14" s="681">
        <v>1.907</v>
      </c>
      <c r="DO14" s="771">
        <v>0.63</v>
      </c>
      <c r="DQ14" s="679">
        <v>3</v>
      </c>
      <c r="DR14" s="680">
        <v>13.331011904761905</v>
      </c>
      <c r="DS14" s="680">
        <v>10.825059523809525</v>
      </c>
      <c r="DT14" s="681">
        <v>8.9224404761904754</v>
      </c>
      <c r="DU14" s="771">
        <v>11.73267857142857</v>
      </c>
      <c r="DW14" s="679">
        <v>3</v>
      </c>
      <c r="DX14" s="680">
        <v>1.4559285714285715</v>
      </c>
      <c r="DY14" s="680">
        <v>0.90885714285714292</v>
      </c>
      <c r="DZ14" s="681">
        <v>1.4368571428571428</v>
      </c>
      <c r="EA14" s="771">
        <v>1.4956785714285716</v>
      </c>
      <c r="EC14" s="679">
        <v>3</v>
      </c>
      <c r="ED14" s="680">
        <v>4.5495238095238095</v>
      </c>
      <c r="EE14" s="680">
        <v>4.4933333333333332</v>
      </c>
      <c r="EF14" s="681">
        <v>3.1475</v>
      </c>
      <c r="EG14" s="771">
        <v>3.7113999999999998</v>
      </c>
      <c r="EI14" s="679">
        <v>3</v>
      </c>
      <c r="EJ14" s="680">
        <v>0.13</v>
      </c>
      <c r="EK14" s="680">
        <v>0.25800000000000001</v>
      </c>
      <c r="EL14" s="681">
        <v>0.24</v>
      </c>
      <c r="EM14" s="771">
        <v>0.372</v>
      </c>
      <c r="EO14" s="679">
        <v>3</v>
      </c>
      <c r="EP14" s="680">
        <v>2.5666171428571429</v>
      </c>
      <c r="EQ14" s="680">
        <v>1.2242857142857144</v>
      </c>
      <c r="ER14" s="681">
        <v>1.79</v>
      </c>
      <c r="ES14" s="771">
        <v>7.394571428571429</v>
      </c>
      <c r="EU14" s="679">
        <v>3</v>
      </c>
      <c r="EV14" s="680">
        <v>0.25</v>
      </c>
      <c r="EW14" s="680">
        <v>0.25</v>
      </c>
      <c r="EX14" s="681">
        <v>0.25</v>
      </c>
      <c r="EY14" s="676">
        <v>0.25</v>
      </c>
    </row>
    <row r="15" spans="1:162">
      <c r="M15" s="679">
        <v>4</v>
      </c>
      <c r="N15" s="680">
        <v>129.45321488095237</v>
      </c>
      <c r="O15" s="680">
        <v>97.446473571428569</v>
      </c>
      <c r="P15" s="681">
        <v>137.64216166666665</v>
      </c>
      <c r="Q15" s="676">
        <v>149.84982583333334</v>
      </c>
      <c r="S15" s="679">
        <v>4</v>
      </c>
      <c r="T15" s="680">
        <v>3.0059523809523809</v>
      </c>
      <c r="U15" s="680">
        <v>1.1000000000000001</v>
      </c>
      <c r="V15" s="681">
        <v>11.298214285714286</v>
      </c>
      <c r="W15" s="676">
        <v>11.665277777777778</v>
      </c>
      <c r="Y15" s="679">
        <v>4</v>
      </c>
      <c r="Z15" s="680">
        <v>38.874150999999998</v>
      </c>
      <c r="AA15" s="680">
        <v>42.911521904761905</v>
      </c>
      <c r="AB15" s="681">
        <v>79.846007151898732</v>
      </c>
      <c r="AC15" s="237">
        <v>50.606926829268296</v>
      </c>
      <c r="AD15" s="237"/>
      <c r="AE15" s="679">
        <v>4</v>
      </c>
      <c r="AF15" s="680">
        <v>84.002267202380949</v>
      </c>
      <c r="AG15" s="680">
        <v>43.022029880952381</v>
      </c>
      <c r="AH15" s="681">
        <v>96.903960773809516</v>
      </c>
      <c r="AI15" s="237">
        <v>47.207325952380948</v>
      </c>
      <c r="AK15" s="679">
        <v>4</v>
      </c>
      <c r="AL15" s="680">
        <v>96.856434523809511</v>
      </c>
      <c r="AM15" s="680">
        <v>119.73223809523809</v>
      </c>
      <c r="AN15" s="681">
        <v>160.14499404761904</v>
      </c>
      <c r="AO15" s="676">
        <v>104.69656944444445</v>
      </c>
      <c r="AQ15" s="679">
        <v>4</v>
      </c>
      <c r="AR15" s="680">
        <v>46.265053571428567</v>
      </c>
      <c r="AS15" s="680">
        <v>106.51192857142857</v>
      </c>
      <c r="AT15" s="681">
        <v>57.605696428571427</v>
      </c>
      <c r="AU15" s="676">
        <v>24.282652777777777</v>
      </c>
      <c r="AW15" s="679">
        <v>4</v>
      </c>
      <c r="AX15" s="680">
        <v>5.88375</v>
      </c>
      <c r="AY15" s="680">
        <v>1.6419999999999999</v>
      </c>
      <c r="AZ15" s="681">
        <v>6.3637142857142859</v>
      </c>
      <c r="BA15" s="676">
        <v>11.140857142857142</v>
      </c>
      <c r="BC15" s="679">
        <v>4</v>
      </c>
      <c r="BD15" s="680">
        <v>13.78154761904762</v>
      </c>
      <c r="BE15" s="680">
        <v>13.683333333333334</v>
      </c>
      <c r="BF15" s="681">
        <v>28.35773857142857</v>
      </c>
      <c r="BG15" s="676">
        <v>22.567499999999999</v>
      </c>
      <c r="BI15" s="679">
        <v>4</v>
      </c>
      <c r="BJ15" s="680">
        <v>156.24404761904762</v>
      </c>
      <c r="BK15" s="680">
        <v>85.19047619047619</v>
      </c>
      <c r="BL15" s="681">
        <v>140.56547619047618</v>
      </c>
      <c r="BM15" s="676">
        <v>121.675</v>
      </c>
      <c r="BO15" s="679">
        <v>4</v>
      </c>
      <c r="BP15" s="680">
        <v>35.655357142857142</v>
      </c>
      <c r="BQ15" s="680">
        <v>19.117857142857144</v>
      </c>
      <c r="BR15" s="681">
        <v>28.722023809523808</v>
      </c>
      <c r="BS15" s="676">
        <v>19.094999999999999</v>
      </c>
      <c r="BU15" s="679">
        <v>4</v>
      </c>
      <c r="BV15" s="680">
        <v>129.97273809523807</v>
      </c>
      <c r="BW15" s="680">
        <v>12.92077380952381</v>
      </c>
      <c r="BX15" s="681">
        <v>34.767499999999998</v>
      </c>
      <c r="BY15" s="676">
        <v>61.917142857142856</v>
      </c>
      <c r="CA15" s="679">
        <v>4</v>
      </c>
      <c r="CB15" s="680">
        <v>324.79086714285711</v>
      </c>
      <c r="CC15" s="680">
        <v>108.99326999999998</v>
      </c>
      <c r="CD15" s="681">
        <v>307.86485714285709</v>
      </c>
      <c r="CE15" s="676">
        <v>337.02061464285714</v>
      </c>
      <c r="CG15" s="679">
        <v>4</v>
      </c>
      <c r="CH15" s="680">
        <v>436.99065476190475</v>
      </c>
      <c r="CI15" s="680">
        <v>47.766666666666666</v>
      </c>
      <c r="CJ15" s="681">
        <v>134.39386904761903</v>
      </c>
      <c r="CK15" s="676">
        <v>291.01238095238091</v>
      </c>
      <c r="CM15" s="679">
        <v>4</v>
      </c>
      <c r="CN15" s="680">
        <v>164.13628571428569</v>
      </c>
      <c r="CO15" s="680">
        <v>91.668916666666661</v>
      </c>
      <c r="CP15" s="681">
        <v>256.24823809523809</v>
      </c>
      <c r="CQ15" s="676">
        <v>164.86864404761903</v>
      </c>
      <c r="CS15" s="679">
        <v>4</v>
      </c>
      <c r="CT15" s="680">
        <v>67.37202380952381</v>
      </c>
      <c r="CU15" s="680">
        <v>35.523809523809526</v>
      </c>
      <c r="CV15" s="681">
        <v>158.13452380952381</v>
      </c>
      <c r="CW15" s="676">
        <v>78.73571428571428</v>
      </c>
      <c r="CY15" s="679">
        <v>4</v>
      </c>
      <c r="CZ15" s="680">
        <v>0</v>
      </c>
      <c r="DA15" s="680">
        <v>0</v>
      </c>
      <c r="DB15" s="681">
        <v>0</v>
      </c>
      <c r="DC15" s="676">
        <v>0</v>
      </c>
      <c r="DD15" s="675">
        <v>0.308</v>
      </c>
      <c r="DE15" s="679"/>
      <c r="DF15" s="679">
        <v>4</v>
      </c>
      <c r="DG15" s="680">
        <v>0</v>
      </c>
      <c r="DH15" s="681">
        <v>0</v>
      </c>
      <c r="DI15" s="676">
        <v>0</v>
      </c>
      <c r="DJ15" s="675">
        <v>0</v>
      </c>
      <c r="DK15" s="679">
        <v>4</v>
      </c>
      <c r="DL15" s="680">
        <v>1.7728571428571429</v>
      </c>
      <c r="DM15" s="680">
        <v>0.80700000000000005</v>
      </c>
      <c r="DN15" s="681">
        <v>1.907</v>
      </c>
      <c r="DO15" s="771">
        <v>0.63</v>
      </c>
      <c r="DQ15" s="679">
        <v>4</v>
      </c>
      <c r="DR15" s="680">
        <v>12.147083333333335</v>
      </c>
      <c r="DS15" s="680">
        <v>11.076488095238096</v>
      </c>
      <c r="DT15" s="681">
        <v>9.0116666666666667</v>
      </c>
      <c r="DU15" s="771">
        <v>10.965654761904762</v>
      </c>
      <c r="DW15" s="679">
        <v>4</v>
      </c>
      <c r="DX15" s="680">
        <v>1.4273571428571428</v>
      </c>
      <c r="DY15" s="680">
        <v>0.8240535714285715</v>
      </c>
      <c r="DZ15" s="681">
        <v>1.384095238095238</v>
      </c>
      <c r="EA15" s="771">
        <v>1.5192321428571429</v>
      </c>
      <c r="EC15" s="679">
        <v>4</v>
      </c>
      <c r="ED15" s="680">
        <v>1.0416666666666667</v>
      </c>
      <c r="EE15" s="680">
        <v>0.28999999999999998</v>
      </c>
      <c r="EF15" s="681">
        <v>1.8030303030303032</v>
      </c>
      <c r="EG15" s="771">
        <v>1.595</v>
      </c>
      <c r="EI15" s="679">
        <v>4</v>
      </c>
      <c r="EJ15" s="680">
        <v>0.13</v>
      </c>
      <c r="EK15" s="680">
        <v>0.25800000000000001</v>
      </c>
      <c r="EL15" s="681">
        <v>0.24</v>
      </c>
      <c r="EM15" s="771">
        <v>0.372</v>
      </c>
      <c r="EO15" s="679">
        <v>4</v>
      </c>
      <c r="EP15" s="680">
        <v>2.0738571428571428</v>
      </c>
      <c r="EQ15" s="680">
        <v>1.4867142857142859</v>
      </c>
      <c r="ER15" s="681">
        <v>3.6697142857142859</v>
      </c>
      <c r="ES15" s="771">
        <v>4.8791428571428579</v>
      </c>
      <c r="EU15" s="679">
        <v>4</v>
      </c>
      <c r="EV15" s="680">
        <v>0.25</v>
      </c>
      <c r="EW15" s="680">
        <v>0.25</v>
      </c>
      <c r="EX15" s="681">
        <v>0.25</v>
      </c>
      <c r="EY15" s="676">
        <v>0.25</v>
      </c>
    </row>
    <row r="16" spans="1:162">
      <c r="M16" s="679">
        <v>5</v>
      </c>
      <c r="N16" s="680">
        <v>145.63710660714284</v>
      </c>
      <c r="O16" s="680">
        <v>101.61142529761905</v>
      </c>
      <c r="P16" s="681">
        <v>112.4656475595238</v>
      </c>
      <c r="Q16" s="676">
        <v>147.11559047619048</v>
      </c>
      <c r="S16" s="679">
        <v>5</v>
      </c>
      <c r="T16" s="680">
        <v>3.0071428571428576</v>
      </c>
      <c r="U16" s="680">
        <v>1.1172619047619048</v>
      </c>
      <c r="V16" s="681">
        <v>11.771428571428572</v>
      </c>
      <c r="W16" s="676">
        <v>11.844642857142858</v>
      </c>
      <c r="Y16" s="679">
        <v>5</v>
      </c>
      <c r="Z16" s="680">
        <v>43.204165238095243</v>
      </c>
      <c r="AA16" s="680">
        <v>37.061470434782606</v>
      </c>
      <c r="AB16" s="681">
        <v>82.510010645161287</v>
      </c>
      <c r="AC16" s="237">
        <v>84.394737804878048</v>
      </c>
      <c r="AD16" s="237"/>
      <c r="AE16" s="679">
        <v>5</v>
      </c>
      <c r="AF16" s="680">
        <v>94.820056428571419</v>
      </c>
      <c r="AG16" s="680">
        <v>48.545656458333333</v>
      </c>
      <c r="AH16" s="681">
        <v>113.08854785714284</v>
      </c>
      <c r="AI16" s="237">
        <v>47.265305476190477</v>
      </c>
      <c r="AK16" s="679">
        <v>5</v>
      </c>
      <c r="AL16" s="680">
        <v>81.592928571428558</v>
      </c>
      <c r="AM16" s="680">
        <v>93.180404761904754</v>
      </c>
      <c r="AN16" s="681">
        <v>183.71745238095238</v>
      </c>
      <c r="AO16" s="676">
        <v>179.81583928571428</v>
      </c>
      <c r="AQ16" s="679">
        <v>5</v>
      </c>
      <c r="AR16" s="680">
        <v>29.483529761904759</v>
      </c>
      <c r="AS16" s="680">
        <v>42.072315476190475</v>
      </c>
      <c r="AT16" s="681">
        <v>50.341470238095233</v>
      </c>
      <c r="AU16" s="676">
        <v>84.200863095238077</v>
      </c>
      <c r="AW16" s="679">
        <v>5</v>
      </c>
      <c r="AX16" s="680">
        <v>5.6550714285714285</v>
      </c>
      <c r="AY16" s="680">
        <v>3.9332857142857147</v>
      </c>
      <c r="AZ16" s="681">
        <v>3.7480000000000002</v>
      </c>
      <c r="BA16" s="676">
        <v>5.9905714285714291</v>
      </c>
      <c r="BC16" s="679">
        <v>5</v>
      </c>
      <c r="BD16" s="680">
        <v>16.136904761904759</v>
      </c>
      <c r="BE16" s="680">
        <v>16.3</v>
      </c>
      <c r="BF16" s="681">
        <v>35.438095238095237</v>
      </c>
      <c r="BG16" s="676">
        <v>27.892855238095237</v>
      </c>
      <c r="BI16" s="679">
        <v>5</v>
      </c>
      <c r="BJ16" s="680">
        <v>182</v>
      </c>
      <c r="BK16" s="680">
        <v>146.64285714285714</v>
      </c>
      <c r="BL16" s="681">
        <v>192.27380952380952</v>
      </c>
      <c r="BM16" s="676">
        <v>109.56547619047619</v>
      </c>
      <c r="BO16" s="679">
        <v>5</v>
      </c>
      <c r="BP16" s="680">
        <v>43.192857142857143</v>
      </c>
      <c r="BQ16" s="680">
        <v>16.501785714285713</v>
      </c>
      <c r="BR16" s="681">
        <v>47.694642857142853</v>
      </c>
      <c r="BS16" s="676">
        <v>17.520833333333332</v>
      </c>
      <c r="BU16" s="679">
        <v>5</v>
      </c>
      <c r="BV16" s="680">
        <v>128.41071428571428</v>
      </c>
      <c r="BW16" s="680">
        <v>30.605357142857141</v>
      </c>
      <c r="BX16" s="681">
        <v>59.226964285714281</v>
      </c>
      <c r="BY16" s="676">
        <v>76.744652777777773</v>
      </c>
      <c r="CA16" s="679">
        <v>5</v>
      </c>
      <c r="CB16" s="680">
        <v>349.04842857142859</v>
      </c>
      <c r="CC16" s="680">
        <v>198.2332026190476</v>
      </c>
      <c r="CD16" s="681">
        <v>810.30588571428564</v>
      </c>
      <c r="CE16" s="676">
        <v>416.02936142857141</v>
      </c>
      <c r="CG16" s="679">
        <v>5</v>
      </c>
      <c r="CH16" s="680">
        <v>401.0955952380952</v>
      </c>
      <c r="CI16" s="680">
        <v>92.98571428571428</v>
      </c>
      <c r="CJ16" s="681">
        <v>305.48827380952383</v>
      </c>
      <c r="CK16" s="676">
        <v>294.27375000000001</v>
      </c>
      <c r="CM16" s="679">
        <v>5</v>
      </c>
      <c r="CN16" s="680">
        <v>166.42035714285714</v>
      </c>
      <c r="CO16" s="680">
        <v>99.703869047619051</v>
      </c>
      <c r="CP16" s="681">
        <v>248.02462499999999</v>
      </c>
      <c r="CQ16" s="676">
        <v>214.43275595238092</v>
      </c>
      <c r="CS16" s="679">
        <v>5</v>
      </c>
      <c r="CT16" s="680">
        <v>65.49166666666666</v>
      </c>
      <c r="CU16" s="680">
        <v>63.268452380952382</v>
      </c>
      <c r="CV16" s="681">
        <v>146.41309523809522</v>
      </c>
      <c r="CW16" s="676">
        <v>81.427380952380943</v>
      </c>
      <c r="CY16" s="679">
        <v>5</v>
      </c>
      <c r="CZ16" s="680">
        <v>0</v>
      </c>
      <c r="DA16" s="680">
        <v>0</v>
      </c>
      <c r="DB16" s="681">
        <v>0</v>
      </c>
      <c r="DC16" s="676">
        <v>0</v>
      </c>
      <c r="DD16" s="675">
        <v>0.308</v>
      </c>
      <c r="DE16" s="679"/>
      <c r="DF16" s="679">
        <v>5</v>
      </c>
      <c r="DG16" s="680">
        <v>0</v>
      </c>
      <c r="DH16" s="681">
        <v>0</v>
      </c>
      <c r="DI16" s="676">
        <v>0</v>
      </c>
      <c r="DJ16" s="675">
        <v>0</v>
      </c>
      <c r="DK16" s="679">
        <v>5</v>
      </c>
      <c r="DL16" s="680">
        <v>1.6871428571428573</v>
      </c>
      <c r="DM16" s="680">
        <v>0.80700000000000005</v>
      </c>
      <c r="DN16" s="681">
        <v>1.907</v>
      </c>
      <c r="DO16" s="771">
        <v>0.63</v>
      </c>
      <c r="DQ16" s="679">
        <v>5</v>
      </c>
      <c r="DR16" s="680">
        <v>11.765000000000001</v>
      </c>
      <c r="DS16" s="680">
        <v>10.581666666666667</v>
      </c>
      <c r="DT16" s="681">
        <v>9.0458333333333325</v>
      </c>
      <c r="DU16" s="771">
        <v>14.874702380952382</v>
      </c>
      <c r="DW16" s="679">
        <v>5</v>
      </c>
      <c r="DX16" s="680">
        <v>1.4926726190476189</v>
      </c>
      <c r="DY16" s="680">
        <v>0.81022619047619049</v>
      </c>
      <c r="DZ16" s="681">
        <v>1.3870654761904762</v>
      </c>
      <c r="EA16" s="771">
        <v>1.5303988095238097</v>
      </c>
      <c r="EC16" s="679">
        <v>5</v>
      </c>
      <c r="ED16" s="680">
        <v>0.22</v>
      </c>
      <c r="EE16" s="680">
        <v>0.18</v>
      </c>
      <c r="EF16" s="681">
        <v>1.71</v>
      </c>
      <c r="EG16" s="771">
        <v>0.54896551724137932</v>
      </c>
      <c r="EI16" s="679">
        <v>5</v>
      </c>
      <c r="EJ16" s="680">
        <v>0.13</v>
      </c>
      <c r="EK16" s="680">
        <v>0.20799999999999999</v>
      </c>
      <c r="EL16" s="681">
        <v>0.24</v>
      </c>
      <c r="EM16" s="771">
        <v>0.372</v>
      </c>
      <c r="EO16" s="679">
        <v>5</v>
      </c>
      <c r="EP16" s="680">
        <v>2.0924285714285715</v>
      </c>
      <c r="EQ16" s="680">
        <v>1.513857142857143</v>
      </c>
      <c r="ER16" s="681">
        <v>8.825857142857144</v>
      </c>
      <c r="ES16" s="771">
        <v>6.7685714285714287</v>
      </c>
      <c r="EU16" s="679">
        <v>5</v>
      </c>
      <c r="EV16" s="680">
        <v>0.48428571428571432</v>
      </c>
      <c r="EW16" s="680">
        <v>0.25</v>
      </c>
      <c r="EX16" s="681">
        <v>0.25</v>
      </c>
      <c r="EY16" s="676">
        <v>0.25</v>
      </c>
    </row>
    <row r="17" spans="13:155">
      <c r="M17" s="679">
        <v>6</v>
      </c>
      <c r="N17" s="680">
        <v>140.85977226190477</v>
      </c>
      <c r="O17" s="680">
        <v>88.516864285714291</v>
      </c>
      <c r="P17" s="681">
        <v>116.79518125</v>
      </c>
      <c r="Q17" s="676">
        <v>149.52542178571429</v>
      </c>
      <c r="S17" s="679">
        <v>6</v>
      </c>
      <c r="T17" s="680">
        <v>3</v>
      </c>
      <c r="U17" s="680">
        <v>2.5386904761904763</v>
      </c>
      <c r="V17" s="681">
        <v>12.205952380952382</v>
      </c>
      <c r="W17" s="676">
        <v>8.8458333333333332</v>
      </c>
      <c r="Y17" s="679">
        <v>6</v>
      </c>
      <c r="Z17" s="680">
        <v>79.274011904761892</v>
      </c>
      <c r="AA17" s="680">
        <v>46.240595294117647</v>
      </c>
      <c r="AB17" s="681">
        <v>90.765432944785275</v>
      </c>
      <c r="AC17" s="237">
        <v>97.784104938271597</v>
      </c>
      <c r="AD17" s="237"/>
      <c r="AE17" s="679">
        <v>6</v>
      </c>
      <c r="AF17" s="680">
        <v>82.226530892857141</v>
      </c>
      <c r="AG17" s="680">
        <v>66.576255059523803</v>
      </c>
      <c r="AH17" s="681">
        <v>98.356794642857139</v>
      </c>
      <c r="AI17" s="237">
        <v>69.041706973443226</v>
      </c>
      <c r="AK17" s="679">
        <v>6</v>
      </c>
      <c r="AL17" s="680">
        <v>136.49740476190476</v>
      </c>
      <c r="AM17" s="680">
        <v>76.965345238095239</v>
      </c>
      <c r="AN17" s="681">
        <v>159.22662500000001</v>
      </c>
      <c r="AO17" s="676">
        <v>278.24124404761903</v>
      </c>
      <c r="AQ17" s="679">
        <v>6</v>
      </c>
      <c r="AR17" s="680">
        <v>66.893071428571432</v>
      </c>
      <c r="AS17" s="680">
        <v>29.099369047619046</v>
      </c>
      <c r="AT17" s="681">
        <v>91.752750000000006</v>
      </c>
      <c r="AU17" s="676">
        <v>171.03647619047618</v>
      </c>
      <c r="AW17" s="679">
        <v>6</v>
      </c>
      <c r="AX17" s="680">
        <v>2.0953571428571429</v>
      </c>
      <c r="AY17" s="680">
        <v>7.3275714285714288</v>
      </c>
      <c r="AZ17" s="681">
        <v>3.3497142857142856</v>
      </c>
      <c r="BA17" s="676">
        <v>8.7311428571428564</v>
      </c>
      <c r="BC17" s="679">
        <v>6</v>
      </c>
      <c r="BD17" s="680">
        <v>18.235714285714288</v>
      </c>
      <c r="BE17" s="680">
        <v>27.55</v>
      </c>
      <c r="BF17" s="681">
        <v>26.566665238095236</v>
      </c>
      <c r="BG17" s="676">
        <v>32.130357142857143</v>
      </c>
      <c r="BI17" s="679">
        <v>6</v>
      </c>
      <c r="BJ17" s="680">
        <v>179.08333333333331</v>
      </c>
      <c r="BK17" s="680">
        <v>176.99404761904762</v>
      </c>
      <c r="BL17" s="681">
        <v>126.92261904761904</v>
      </c>
      <c r="BM17" s="676">
        <v>163.48214285714286</v>
      </c>
      <c r="BO17" s="679">
        <v>6</v>
      </c>
      <c r="BP17" s="680">
        <v>33.553571428571423</v>
      </c>
      <c r="BQ17" s="680">
        <v>28.74345238095238</v>
      </c>
      <c r="BR17" s="681">
        <v>32.891666666666666</v>
      </c>
      <c r="BS17" s="676">
        <v>49.701190476190476</v>
      </c>
      <c r="BU17" s="679">
        <v>6</v>
      </c>
      <c r="BV17" s="680">
        <v>133.23184523809525</v>
      </c>
      <c r="BW17" s="680">
        <v>52.350952380952386</v>
      </c>
      <c r="BX17" s="681">
        <v>53.733273809523801</v>
      </c>
      <c r="BY17" s="676">
        <v>89.511666666666656</v>
      </c>
      <c r="CA17" s="679">
        <v>6</v>
      </c>
      <c r="CB17" s="680">
        <v>527.41624714285706</v>
      </c>
      <c r="CC17" s="680">
        <v>344.44026142857138</v>
      </c>
      <c r="CD17" s="681">
        <v>861.17537571428568</v>
      </c>
      <c r="CE17" s="676">
        <v>606.23885714285711</v>
      </c>
      <c r="CG17" s="679">
        <v>6</v>
      </c>
      <c r="CH17" s="680">
        <v>424.3161904761904</v>
      </c>
      <c r="CI17" s="680">
        <v>131.0242857142857</v>
      </c>
      <c r="CJ17" s="681">
        <v>222.49267857142854</v>
      </c>
      <c r="CK17" s="676">
        <v>322.73059523809525</v>
      </c>
      <c r="CM17" s="679">
        <v>6</v>
      </c>
      <c r="CN17" s="680">
        <v>197.58699999999999</v>
      </c>
      <c r="CO17" s="680">
        <v>94.078446428571425</v>
      </c>
      <c r="CP17" s="681">
        <v>181.86349999999999</v>
      </c>
      <c r="CQ17" s="676">
        <v>300.66753571428569</v>
      </c>
      <c r="CS17" s="679">
        <v>6</v>
      </c>
      <c r="CT17" s="680">
        <v>75.938690476190473</v>
      </c>
      <c r="CU17" s="680">
        <v>119.54107142857141</v>
      </c>
      <c r="CV17" s="681">
        <v>129.30654761904762</v>
      </c>
      <c r="CW17" s="676">
        <v>117.07083333333333</v>
      </c>
      <c r="CY17" s="679">
        <v>6</v>
      </c>
      <c r="CZ17" s="680">
        <v>0</v>
      </c>
      <c r="DA17" s="680">
        <v>0</v>
      </c>
      <c r="DB17" s="681">
        <v>0</v>
      </c>
      <c r="DC17" s="676">
        <v>0</v>
      </c>
      <c r="DD17" s="675">
        <v>0.308</v>
      </c>
      <c r="DE17" s="679"/>
      <c r="DF17" s="679">
        <v>6</v>
      </c>
      <c r="DG17" s="680">
        <v>0</v>
      </c>
      <c r="DH17" s="681">
        <v>0</v>
      </c>
      <c r="DI17" s="676">
        <v>0</v>
      </c>
      <c r="DJ17" s="675">
        <v>0</v>
      </c>
      <c r="DK17" s="679">
        <v>6</v>
      </c>
      <c r="DL17" s="680">
        <v>1.8014285714285716</v>
      </c>
      <c r="DM17" s="680">
        <v>0.80700000000000005</v>
      </c>
      <c r="DN17" s="681">
        <v>1.907</v>
      </c>
      <c r="DO17" s="771">
        <v>0.63</v>
      </c>
      <c r="DQ17" s="679">
        <v>6</v>
      </c>
      <c r="DR17" s="680">
        <v>11.749166666666667</v>
      </c>
      <c r="DS17" s="680">
        <v>20.581607142857145</v>
      </c>
      <c r="DT17" s="681">
        <v>9.3132738095238086</v>
      </c>
      <c r="DU17" s="771">
        <v>16.32</v>
      </c>
      <c r="DW17" s="679">
        <v>6</v>
      </c>
      <c r="DX17" s="680">
        <v>1.4576249999999999</v>
      </c>
      <c r="DY17" s="680">
        <v>0.81513095238095246</v>
      </c>
      <c r="DZ17" s="681">
        <v>1.4041130952380954</v>
      </c>
      <c r="EA17" s="771">
        <v>1.5049642857142858</v>
      </c>
      <c r="EC17" s="679">
        <v>6</v>
      </c>
      <c r="ED17" s="680">
        <v>0.37</v>
      </c>
      <c r="EE17" s="680">
        <v>0.08</v>
      </c>
      <c r="EF17" s="681">
        <v>2.3834426229508194</v>
      </c>
      <c r="EG17" s="771">
        <v>1.5550649350649353</v>
      </c>
      <c r="EI17" s="679">
        <v>6</v>
      </c>
      <c r="EJ17" s="680">
        <v>0.13</v>
      </c>
      <c r="EK17" s="680">
        <v>0.20799999999999999</v>
      </c>
      <c r="EL17" s="681">
        <v>0.24</v>
      </c>
      <c r="EM17" s="771">
        <v>0.372</v>
      </c>
      <c r="EO17" s="679">
        <v>6</v>
      </c>
      <c r="EP17" s="680">
        <v>2.2420285714285715</v>
      </c>
      <c r="EQ17" s="680">
        <v>1.5881428571428571</v>
      </c>
      <c r="ER17" s="681">
        <v>8.1685214285714292</v>
      </c>
      <c r="ES17" s="771">
        <v>10.744142857142856</v>
      </c>
      <c r="EU17" s="679">
        <v>6</v>
      </c>
      <c r="EV17" s="680">
        <v>0.25</v>
      </c>
      <c r="EW17" s="680">
        <v>0.25</v>
      </c>
      <c r="EX17" s="681">
        <v>0.25</v>
      </c>
      <c r="EY17" s="676">
        <v>0.25</v>
      </c>
    </row>
    <row r="18" spans="13:155">
      <c r="M18" s="679">
        <v>7</v>
      </c>
      <c r="N18" s="680">
        <v>138.5461845238095</v>
      </c>
      <c r="O18" s="680">
        <v>122.71896214285712</v>
      </c>
      <c r="P18" s="681">
        <v>112.47341011904761</v>
      </c>
      <c r="Q18" s="676">
        <v>143.03125386904762</v>
      </c>
      <c r="S18" s="679">
        <v>7</v>
      </c>
      <c r="T18" s="680">
        <v>1.9357142857142857</v>
      </c>
      <c r="U18" s="680">
        <v>12.574305555555554</v>
      </c>
      <c r="V18" s="681">
        <v>12.599404761904763</v>
      </c>
      <c r="W18" s="676">
        <v>6.4779761904761912</v>
      </c>
      <c r="Y18" s="679">
        <v>7</v>
      </c>
      <c r="Z18" s="680">
        <v>68.801238095238091</v>
      </c>
      <c r="AA18" s="680">
        <v>58.161496666666665</v>
      </c>
      <c r="AB18" s="681">
        <v>56.000994037267084</v>
      </c>
      <c r="AC18" s="237">
        <v>126.87994927536232</v>
      </c>
      <c r="AD18" s="237"/>
      <c r="AE18" s="679">
        <v>7</v>
      </c>
      <c r="AF18" s="680">
        <v>105.77795666666665</v>
      </c>
      <c r="AG18" s="680">
        <v>70.351523511904759</v>
      </c>
      <c r="AH18" s="681">
        <v>99.705908630952365</v>
      </c>
      <c r="AI18" s="237">
        <v>80.615868125000006</v>
      </c>
      <c r="AK18" s="679">
        <v>7</v>
      </c>
      <c r="AL18" s="680">
        <v>190.02344642857142</v>
      </c>
      <c r="AM18" s="680">
        <v>100.04470238095237</v>
      </c>
      <c r="AN18" s="681">
        <v>144.85677976190476</v>
      </c>
      <c r="AO18" s="676">
        <v>327.07780357142855</v>
      </c>
      <c r="AQ18" s="679">
        <v>7</v>
      </c>
      <c r="AR18" s="680">
        <v>100.91279166666666</v>
      </c>
      <c r="AS18" s="680">
        <v>90.138035714285706</v>
      </c>
      <c r="AT18" s="681">
        <v>70.21075595238095</v>
      </c>
      <c r="AU18" s="676">
        <v>88.797761904761899</v>
      </c>
      <c r="AW18" s="679">
        <v>7</v>
      </c>
      <c r="AX18" s="680">
        <v>2.2542142857142857</v>
      </c>
      <c r="AY18" s="680">
        <v>5.7774285714285716</v>
      </c>
      <c r="AZ18" s="681">
        <v>2.12</v>
      </c>
      <c r="BA18" s="676">
        <v>24.413857142857143</v>
      </c>
      <c r="BC18" s="679">
        <v>7</v>
      </c>
      <c r="BD18" s="680">
        <v>27.457142857142856</v>
      </c>
      <c r="BE18" s="680">
        <v>25.610714285714288</v>
      </c>
      <c r="BF18" s="681">
        <v>21.577975238095238</v>
      </c>
      <c r="BG18" s="676">
        <v>31.149305555555554</v>
      </c>
      <c r="BI18" s="679">
        <v>7</v>
      </c>
      <c r="BJ18" s="680">
        <v>266.19047619047615</v>
      </c>
      <c r="BK18" s="680">
        <v>150.71428571428569</v>
      </c>
      <c r="BL18" s="681">
        <v>147.73809523809524</v>
      </c>
      <c r="BM18" s="676">
        <v>210.54166666666669</v>
      </c>
      <c r="BO18" s="679">
        <v>7</v>
      </c>
      <c r="BP18" s="680">
        <v>54.730952380952381</v>
      </c>
      <c r="BQ18" s="680">
        <v>26.149404761904762</v>
      </c>
      <c r="BR18" s="681">
        <v>25.339285714285715</v>
      </c>
      <c r="BS18" s="676">
        <v>48.957638888888887</v>
      </c>
      <c r="BU18" s="679">
        <v>7</v>
      </c>
      <c r="BV18" s="680">
        <v>109.22261904761905</v>
      </c>
      <c r="BW18" s="680">
        <v>59.593392857142859</v>
      </c>
      <c r="BX18" s="681">
        <v>92.061428571428564</v>
      </c>
      <c r="BY18" s="676">
        <v>109.69184523809523</v>
      </c>
      <c r="CA18" s="679">
        <v>7</v>
      </c>
      <c r="CB18" s="680">
        <v>601.03512428571423</v>
      </c>
      <c r="CC18" s="680">
        <v>361.5221557142857</v>
      </c>
      <c r="CD18" s="681">
        <v>443.99369857142852</v>
      </c>
      <c r="CE18" s="676">
        <v>774.12422666666669</v>
      </c>
      <c r="CG18" s="679">
        <v>7</v>
      </c>
      <c r="CH18" s="680">
        <v>400.99607142857138</v>
      </c>
      <c r="CI18" s="680">
        <v>148.99196428571426</v>
      </c>
      <c r="CJ18" s="681">
        <v>247.14660714285714</v>
      </c>
      <c r="CK18" s="676">
        <v>477.48410714285711</v>
      </c>
      <c r="CM18" s="679">
        <v>7</v>
      </c>
      <c r="CN18" s="680">
        <v>286.16391071428569</v>
      </c>
      <c r="CO18" s="680">
        <v>157.38133416666665</v>
      </c>
      <c r="CP18" s="681">
        <v>193.91727380952381</v>
      </c>
      <c r="CQ18" s="676">
        <v>359.03563095238093</v>
      </c>
      <c r="CS18" s="679">
        <v>7</v>
      </c>
      <c r="CT18" s="680">
        <v>102.63988095238096</v>
      </c>
      <c r="CU18" s="680">
        <v>89.99761904761904</v>
      </c>
      <c r="CV18" s="681">
        <v>89.401190476190479</v>
      </c>
      <c r="CW18" s="676">
        <v>137.12261904761905</v>
      </c>
      <c r="CY18" s="679">
        <v>7</v>
      </c>
      <c r="CZ18" s="680">
        <v>0</v>
      </c>
      <c r="DA18" s="680">
        <v>0</v>
      </c>
      <c r="DB18" s="681">
        <v>0</v>
      </c>
      <c r="DC18" s="676">
        <v>0</v>
      </c>
      <c r="DD18" s="675">
        <v>0.308</v>
      </c>
      <c r="DE18" s="679"/>
      <c r="DF18" s="679">
        <v>7</v>
      </c>
      <c r="DG18" s="680">
        <v>0</v>
      </c>
      <c r="DH18" s="681">
        <v>0</v>
      </c>
      <c r="DI18" s="676">
        <v>0</v>
      </c>
      <c r="DJ18" s="675">
        <v>0</v>
      </c>
      <c r="DK18" s="679">
        <v>7</v>
      </c>
      <c r="DL18" s="680">
        <v>1.87</v>
      </c>
      <c r="DM18" s="680">
        <v>0.80700000000000005</v>
      </c>
      <c r="DN18" s="681">
        <v>1.907</v>
      </c>
      <c r="DO18" s="771">
        <v>0.63</v>
      </c>
      <c r="DQ18" s="679">
        <v>7</v>
      </c>
      <c r="DR18" s="680">
        <v>11.628452380952382</v>
      </c>
      <c r="DS18" s="680">
        <v>23.861666666666668</v>
      </c>
      <c r="DT18" s="681">
        <v>8.9435119047619054</v>
      </c>
      <c r="DU18" s="771">
        <v>20.844345238095237</v>
      </c>
      <c r="DW18" s="679">
        <v>7</v>
      </c>
      <c r="DX18" s="680">
        <v>1.4410535714285715</v>
      </c>
      <c r="DY18" s="680">
        <v>0.87006547619047614</v>
      </c>
      <c r="DZ18" s="681">
        <v>1.4378630952380953</v>
      </c>
      <c r="EA18" s="771">
        <v>1.5916666666666668</v>
      </c>
      <c r="EC18" s="679">
        <v>7</v>
      </c>
      <c r="ED18" s="680">
        <v>0.38</v>
      </c>
      <c r="EE18" s="680">
        <v>0.08</v>
      </c>
      <c r="EF18" s="681">
        <v>5.1141780821917813</v>
      </c>
      <c r="EG18" s="771">
        <v>5.5266666666666664</v>
      </c>
      <c r="EI18" s="679">
        <v>7</v>
      </c>
      <c r="EJ18" s="680">
        <v>0.13</v>
      </c>
      <c r="EK18" s="680">
        <v>0.19800000000000001</v>
      </c>
      <c r="EL18" s="681">
        <v>0.25833714285714288</v>
      </c>
      <c r="EM18" s="771">
        <v>0.372</v>
      </c>
      <c r="EO18" s="679">
        <v>7</v>
      </c>
      <c r="EP18" s="680">
        <v>3.8294571428571427</v>
      </c>
      <c r="EQ18" s="680">
        <v>1.6367142857142858</v>
      </c>
      <c r="ER18" s="681">
        <v>5.9203857142857146</v>
      </c>
      <c r="ES18" s="771">
        <v>17.193857142857144</v>
      </c>
      <c r="EU18" s="679">
        <v>7</v>
      </c>
      <c r="EV18" s="680">
        <v>0.25</v>
      </c>
      <c r="EW18" s="680">
        <v>0.25</v>
      </c>
      <c r="EX18" s="681">
        <v>0.25</v>
      </c>
      <c r="EY18" s="676">
        <v>0.25</v>
      </c>
    </row>
    <row r="19" spans="13:155">
      <c r="M19" s="679">
        <v>8</v>
      </c>
      <c r="N19" s="680">
        <v>135.57879791666667</v>
      </c>
      <c r="O19" s="680">
        <v>117.08835226190476</v>
      </c>
      <c r="P19" s="681">
        <v>125.88837672619046</v>
      </c>
      <c r="Q19" s="676">
        <v>147.14297148809524</v>
      </c>
      <c r="S19" s="679">
        <v>8</v>
      </c>
      <c r="T19" s="680">
        <v>7.6785714285714288</v>
      </c>
      <c r="U19" s="680">
        <v>9.1160714285714288</v>
      </c>
      <c r="V19" s="681">
        <v>16.288690476190478</v>
      </c>
      <c r="W19" s="676">
        <v>11.725</v>
      </c>
      <c r="Y19" s="679">
        <v>8</v>
      </c>
      <c r="Z19" s="680">
        <v>69.998097142857148</v>
      </c>
      <c r="AA19" s="680">
        <v>97.257871176470587</v>
      </c>
      <c r="AB19" s="681">
        <v>49.396999029850747</v>
      </c>
      <c r="AC19" s="237">
        <v>142.40980487804879</v>
      </c>
      <c r="AD19" s="237"/>
      <c r="AE19" s="679">
        <v>8</v>
      </c>
      <c r="AF19" s="680">
        <v>88.104849940476186</v>
      </c>
      <c r="AG19" s="680">
        <v>75.145815476190478</v>
      </c>
      <c r="AH19" s="681">
        <v>88.814247321428567</v>
      </c>
      <c r="AI19" s="237">
        <v>92.14778011904761</v>
      </c>
      <c r="AK19" s="679">
        <v>8</v>
      </c>
      <c r="AL19" s="680">
        <v>143.43532142857143</v>
      </c>
      <c r="AM19" s="680">
        <v>126.84483333333333</v>
      </c>
      <c r="AN19" s="681">
        <v>119.54448214285713</v>
      </c>
      <c r="AO19" s="676">
        <v>360.37261309523802</v>
      </c>
      <c r="AQ19" s="679">
        <v>8</v>
      </c>
      <c r="AR19" s="680">
        <v>70.857619047619053</v>
      </c>
      <c r="AS19" s="680">
        <v>116.1221388888889</v>
      </c>
      <c r="AT19" s="681">
        <v>37.471678571428576</v>
      </c>
      <c r="AU19" s="676">
        <v>208.56799404761904</v>
      </c>
      <c r="AW19" s="679">
        <v>8</v>
      </c>
      <c r="AX19" s="680">
        <v>4.1637142857142857</v>
      </c>
      <c r="AY19" s="680">
        <v>2.5667499999999999</v>
      </c>
      <c r="AZ19" s="681">
        <v>6.4627142857142861</v>
      </c>
      <c r="BA19" s="676">
        <v>9.0441714285714294</v>
      </c>
      <c r="BC19" s="679">
        <v>8</v>
      </c>
      <c r="BD19" s="680">
        <v>25.341071428571428</v>
      </c>
      <c r="BE19" s="680">
        <v>37.597619047619048</v>
      </c>
      <c r="BF19" s="681">
        <v>22.176189999999998</v>
      </c>
      <c r="BG19" s="676">
        <v>36.467025238095239</v>
      </c>
      <c r="BI19" s="679">
        <v>8</v>
      </c>
      <c r="BJ19" s="680">
        <v>167.45833333333331</v>
      </c>
      <c r="BK19" s="680">
        <v>196.54166666666666</v>
      </c>
      <c r="BL19" s="681">
        <v>117.14880952380952</v>
      </c>
      <c r="BM19" s="676">
        <v>206.77976190476187</v>
      </c>
      <c r="BO19" s="679">
        <v>8</v>
      </c>
      <c r="BP19" s="680">
        <v>52.961309523809526</v>
      </c>
      <c r="BQ19" s="680">
        <v>45.887500000000003</v>
      </c>
      <c r="BR19" s="681">
        <v>22.356547619047621</v>
      </c>
      <c r="BS19" s="676">
        <v>50.75119047619048</v>
      </c>
      <c r="BU19" s="679">
        <v>8</v>
      </c>
      <c r="BV19" s="680">
        <v>69.528511904761899</v>
      </c>
      <c r="BW19" s="680">
        <v>32.824285714285715</v>
      </c>
      <c r="BX19" s="681">
        <v>79.35797619047618</v>
      </c>
      <c r="BY19" s="676">
        <v>81.494285714285709</v>
      </c>
      <c r="CA19" s="679">
        <v>8</v>
      </c>
      <c r="CB19" s="680">
        <v>541.06815857142851</v>
      </c>
      <c r="CC19" s="680">
        <v>497.81073142857139</v>
      </c>
      <c r="CD19" s="681">
        <v>455.61061000000001</v>
      </c>
      <c r="CE19" s="676">
        <v>857.9091957142856</v>
      </c>
      <c r="CG19" s="679">
        <v>8</v>
      </c>
      <c r="CH19" s="680">
        <v>295.18773809523805</v>
      </c>
      <c r="CI19" s="680">
        <v>130.17386904761904</v>
      </c>
      <c r="CJ19" s="681">
        <v>228.33754491017962</v>
      </c>
      <c r="CK19" s="676">
        <v>377.81821428571425</v>
      </c>
      <c r="CM19" s="679">
        <v>8</v>
      </c>
      <c r="CN19" s="680">
        <v>229.473375</v>
      </c>
      <c r="CO19" s="680">
        <v>243.77472023809523</v>
      </c>
      <c r="CP19" s="681">
        <v>184.560125</v>
      </c>
      <c r="CQ19" s="676">
        <v>374.64655357142857</v>
      </c>
      <c r="CS19" s="679">
        <v>8</v>
      </c>
      <c r="CT19" s="680">
        <v>106.16071428571428</v>
      </c>
      <c r="CU19" s="680">
        <v>121.35297619047618</v>
      </c>
      <c r="CV19" s="681">
        <v>101.12619047619047</v>
      </c>
      <c r="CW19" s="676">
        <v>210.72916666666666</v>
      </c>
      <c r="CY19" s="679">
        <v>8</v>
      </c>
      <c r="CZ19" s="680">
        <v>0</v>
      </c>
      <c r="DA19" s="680">
        <v>0</v>
      </c>
      <c r="DB19" s="681">
        <v>0</v>
      </c>
      <c r="DC19" s="676">
        <v>0</v>
      </c>
      <c r="DD19" s="675">
        <v>0.308</v>
      </c>
      <c r="DE19" s="679"/>
      <c r="DF19" s="679">
        <v>8</v>
      </c>
      <c r="DG19" s="680">
        <v>0</v>
      </c>
      <c r="DH19" s="681">
        <v>0</v>
      </c>
      <c r="DI19" s="676">
        <v>0</v>
      </c>
      <c r="DJ19" s="675">
        <v>0</v>
      </c>
      <c r="DK19" s="679">
        <v>8</v>
      </c>
      <c r="DL19" s="680">
        <v>1.6157142857142857</v>
      </c>
      <c r="DM19" s="680">
        <v>0.80700000000000005</v>
      </c>
      <c r="DN19" s="681">
        <v>1.907</v>
      </c>
      <c r="DO19" s="771">
        <v>0.63</v>
      </c>
      <c r="DQ19" s="679">
        <v>8</v>
      </c>
      <c r="DR19" s="680">
        <v>11.586785714285716</v>
      </c>
      <c r="DS19" s="680">
        <v>17.428035714285713</v>
      </c>
      <c r="DT19" s="681">
        <v>9.7093452380952368</v>
      </c>
      <c r="DU19" s="771">
        <v>21.203095238095237</v>
      </c>
      <c r="DW19" s="679">
        <v>8</v>
      </c>
      <c r="DX19" s="680">
        <v>1.4574166666666668</v>
      </c>
      <c r="DY19" s="680">
        <v>0.88977976190476193</v>
      </c>
      <c r="DZ19" s="681">
        <v>1.4708809523809525</v>
      </c>
      <c r="EA19" s="771">
        <v>1.5198690476190477</v>
      </c>
      <c r="EC19" s="679">
        <v>8</v>
      </c>
      <c r="ED19" s="680">
        <v>0.57999999999999996</v>
      </c>
      <c r="EE19" s="680">
        <v>0.09</v>
      </c>
      <c r="EF19" s="681">
        <v>6.6314285714285717</v>
      </c>
      <c r="EG19" s="771">
        <v>10.455265199999999</v>
      </c>
      <c r="EI19" s="679">
        <v>8</v>
      </c>
      <c r="EJ19" s="680">
        <v>0.13</v>
      </c>
      <c r="EK19" s="680">
        <v>0.19800000000000001</v>
      </c>
      <c r="EL19" s="681">
        <v>0.27209</v>
      </c>
      <c r="EM19" s="771">
        <v>0.372</v>
      </c>
      <c r="EO19" s="679">
        <v>8</v>
      </c>
      <c r="EP19" s="680">
        <v>2.6063142857142858</v>
      </c>
      <c r="EQ19" s="680">
        <v>1.9402857142857144</v>
      </c>
      <c r="ER19" s="681">
        <v>5.9961000000000002</v>
      </c>
      <c r="ES19" s="771">
        <v>23.831714285714284</v>
      </c>
      <c r="EU19" s="679">
        <v>8</v>
      </c>
      <c r="EV19" s="680">
        <v>0.25</v>
      </c>
      <c r="EW19" s="680">
        <v>0.25</v>
      </c>
      <c r="EX19" s="681">
        <v>0.25</v>
      </c>
      <c r="EY19" s="676">
        <v>0.25</v>
      </c>
    </row>
    <row r="20" spans="13:155">
      <c r="M20" s="679">
        <v>9</v>
      </c>
      <c r="N20" s="680">
        <v>123.95574035714284</v>
      </c>
      <c r="O20" s="680">
        <v>127.90294708333333</v>
      </c>
      <c r="P20" s="681">
        <v>104.55156702380951</v>
      </c>
      <c r="Q20" s="676">
        <v>150.40839672619046</v>
      </c>
      <c r="S20" s="679">
        <v>9</v>
      </c>
      <c r="T20" s="680">
        <v>3</v>
      </c>
      <c r="U20" s="680">
        <v>14.384523809523808</v>
      </c>
      <c r="V20" s="681">
        <v>7.1154761904761905</v>
      </c>
      <c r="W20" s="676">
        <v>12.307142857142857</v>
      </c>
      <c r="Y20" s="679">
        <v>9</v>
      </c>
      <c r="Z20" s="680">
        <v>89.518461500000001</v>
      </c>
      <c r="AA20" s="680">
        <v>89.914340624999994</v>
      </c>
      <c r="AB20" s="681">
        <v>63.555682469135803</v>
      </c>
      <c r="AC20" s="237">
        <v>124.52673049645388</v>
      </c>
      <c r="AD20" s="237"/>
      <c r="AE20" s="679">
        <v>9</v>
      </c>
      <c r="AF20" s="680">
        <v>121.77173636904762</v>
      </c>
      <c r="AG20" s="680">
        <v>67.165702916666675</v>
      </c>
      <c r="AH20" s="681">
        <v>161.7561001190476</v>
      </c>
      <c r="AI20" s="237">
        <v>118.59204756944445</v>
      </c>
      <c r="AK20" s="679">
        <v>9</v>
      </c>
      <c r="AL20" s="680">
        <v>201.53692261904763</v>
      </c>
      <c r="AM20" s="680">
        <v>152.06356547619046</v>
      </c>
      <c r="AN20" s="681">
        <v>115.17915476190475</v>
      </c>
      <c r="AO20" s="676">
        <v>410.81005952380957</v>
      </c>
      <c r="AQ20" s="679">
        <v>9</v>
      </c>
      <c r="AR20" s="680">
        <v>202.4355773809524</v>
      </c>
      <c r="AS20" s="680">
        <v>71.975642857142859</v>
      </c>
      <c r="AT20" s="681">
        <v>30.892482142857141</v>
      </c>
      <c r="AU20" s="676">
        <v>159.35308333333333</v>
      </c>
      <c r="AW20" s="679">
        <v>9</v>
      </c>
      <c r="AX20" s="680">
        <v>4.8723928571428576</v>
      </c>
      <c r="AY20" s="680">
        <v>1.7609999999999999</v>
      </c>
      <c r="AZ20" s="681">
        <v>12.602142857142857</v>
      </c>
      <c r="BA20" s="676">
        <v>10.514285714285714</v>
      </c>
      <c r="BC20" s="679">
        <v>9</v>
      </c>
      <c r="BD20" s="680">
        <v>27.784523809523808</v>
      </c>
      <c r="BE20" s="680">
        <v>27.357142857142858</v>
      </c>
      <c r="BF20" s="681">
        <v>30.277381904761906</v>
      </c>
      <c r="BG20" s="676">
        <v>37.32010571428571</v>
      </c>
      <c r="BI20" s="679">
        <v>9</v>
      </c>
      <c r="BJ20" s="680">
        <v>152.44642857142858</v>
      </c>
      <c r="BK20" s="680">
        <v>110.57738095238093</v>
      </c>
      <c r="BL20" s="681">
        <v>239.86309523809524</v>
      </c>
      <c r="BM20" s="676">
        <v>212.5297619047619</v>
      </c>
      <c r="BO20" s="679">
        <v>9</v>
      </c>
      <c r="BP20" s="680">
        <v>60.130357142857136</v>
      </c>
      <c r="BQ20" s="680">
        <v>28.721428571428572</v>
      </c>
      <c r="BR20" s="681">
        <v>65.093452380952385</v>
      </c>
      <c r="BS20" s="676">
        <v>58.129761904761899</v>
      </c>
      <c r="BU20" s="679">
        <v>9</v>
      </c>
      <c r="BV20" s="680">
        <v>186.18616766467065</v>
      </c>
      <c r="BW20" s="680">
        <v>24.261527777777779</v>
      </c>
      <c r="BX20" s="681">
        <v>82.086726190476185</v>
      </c>
      <c r="BY20" s="676">
        <v>103.60339285714285</v>
      </c>
      <c r="CA20" s="679">
        <v>9</v>
      </c>
      <c r="CB20" s="680">
        <v>502.97556999999995</v>
      </c>
      <c r="CC20" s="680">
        <v>334.24387999999999</v>
      </c>
      <c r="CD20" s="681">
        <v>610.82882428571429</v>
      </c>
      <c r="CE20" s="676">
        <v>929.46835738095228</v>
      </c>
      <c r="CG20" s="679">
        <v>9</v>
      </c>
      <c r="CH20" s="680">
        <v>304.37952380952379</v>
      </c>
      <c r="CI20" s="680">
        <v>96.228095238095236</v>
      </c>
      <c r="CJ20" s="681">
        <v>237.70791666666665</v>
      </c>
      <c r="CK20" s="676">
        <v>403.83714285714285</v>
      </c>
      <c r="CM20" s="679">
        <v>9</v>
      </c>
      <c r="CN20" s="680">
        <v>288.36045238095238</v>
      </c>
      <c r="CO20" s="680">
        <v>154.18108333333333</v>
      </c>
      <c r="CP20" s="681">
        <v>265.71529761904765</v>
      </c>
      <c r="CQ20" s="676">
        <v>462.65977380952376</v>
      </c>
      <c r="CS20" s="679">
        <v>9</v>
      </c>
      <c r="CT20" s="680">
        <v>126.97619047619047</v>
      </c>
      <c r="CU20" s="680">
        <v>84.268452380952382</v>
      </c>
      <c r="CV20" s="681">
        <v>161.28749999999999</v>
      </c>
      <c r="CW20" s="676">
        <v>202.9160714285714</v>
      </c>
      <c r="CY20" s="679">
        <v>9</v>
      </c>
      <c r="CZ20" s="680">
        <v>0</v>
      </c>
      <c r="DA20" s="680">
        <v>0</v>
      </c>
      <c r="DB20" s="681">
        <v>0</v>
      </c>
      <c r="DC20" s="676">
        <v>0</v>
      </c>
      <c r="DD20" s="675">
        <v>0.308</v>
      </c>
      <c r="DE20" s="679"/>
      <c r="DF20" s="679">
        <v>9</v>
      </c>
      <c r="DG20" s="680">
        <v>0</v>
      </c>
      <c r="DH20" s="681">
        <v>0</v>
      </c>
      <c r="DI20" s="676">
        <v>0</v>
      </c>
      <c r="DJ20" s="675">
        <v>0</v>
      </c>
      <c r="DK20" s="679">
        <v>9</v>
      </c>
      <c r="DL20" s="680">
        <v>3.9342857142857142</v>
      </c>
      <c r="DM20" s="680">
        <v>0.80700000000000005</v>
      </c>
      <c r="DN20" s="681">
        <v>1.907</v>
      </c>
      <c r="DO20" s="771">
        <v>0.63</v>
      </c>
      <c r="DQ20" s="679">
        <v>9</v>
      </c>
      <c r="DR20" s="680">
        <v>15.540178571428571</v>
      </c>
      <c r="DS20" s="680">
        <v>10.229166666666666</v>
      </c>
      <c r="DT20" s="681">
        <v>11.628333333333332</v>
      </c>
      <c r="DU20" s="771">
        <v>23.617440476190474</v>
      </c>
      <c r="DW20" s="679">
        <v>9</v>
      </c>
      <c r="DX20" s="680">
        <v>1.4432083333333334</v>
      </c>
      <c r="DY20" s="680">
        <v>1.0744761904761904</v>
      </c>
      <c r="DZ20" s="681">
        <v>1.3981904761904762</v>
      </c>
      <c r="EA20" s="771">
        <v>1.4859464285714286</v>
      </c>
      <c r="EC20" s="679">
        <v>9</v>
      </c>
      <c r="ED20" s="680">
        <v>0.53</v>
      </c>
      <c r="EE20" s="680">
        <v>0.28000000000000003</v>
      </c>
      <c r="EF20" s="681">
        <v>8.3497131147540973</v>
      </c>
      <c r="EG20" s="771">
        <v>13.217988333333333</v>
      </c>
      <c r="EI20" s="679">
        <v>9</v>
      </c>
      <c r="EJ20" s="680">
        <v>1.321</v>
      </c>
      <c r="EK20" s="680">
        <v>0.19800000000000001</v>
      </c>
      <c r="EL20" s="681">
        <v>0.60466142857142857</v>
      </c>
      <c r="EM20" s="771">
        <v>1.4655714285714285</v>
      </c>
      <c r="EO20" s="679">
        <v>9</v>
      </c>
      <c r="EP20" s="680">
        <v>3.0052857142857143</v>
      </c>
      <c r="EQ20" s="680">
        <v>1.9924285714285714</v>
      </c>
      <c r="ER20" s="681">
        <v>6.003285714285715</v>
      </c>
      <c r="ES20" s="771">
        <v>23.114714285714289</v>
      </c>
      <c r="EU20" s="679">
        <v>9</v>
      </c>
      <c r="EV20" s="680">
        <v>0.25</v>
      </c>
      <c r="EW20" s="680">
        <v>0.25</v>
      </c>
      <c r="EX20" s="681">
        <v>0.25</v>
      </c>
      <c r="EY20" s="676">
        <v>0.25</v>
      </c>
    </row>
    <row r="21" spans="13:155">
      <c r="M21" s="679">
        <v>10</v>
      </c>
      <c r="N21" s="680">
        <v>115.72079095238094</v>
      </c>
      <c r="O21" s="680">
        <v>141.30928</v>
      </c>
      <c r="P21" s="681">
        <v>122.99312226190476</v>
      </c>
      <c r="Q21" s="676">
        <v>149.92932309523809</v>
      </c>
      <c r="S21" s="679">
        <v>10</v>
      </c>
      <c r="T21" s="680">
        <v>4.5476190476190474</v>
      </c>
      <c r="U21" s="680">
        <v>10.116666666666667</v>
      </c>
      <c r="V21" s="681">
        <v>6.668452380952381</v>
      </c>
      <c r="W21" s="676">
        <v>16.890476190476189</v>
      </c>
      <c r="Y21" s="679">
        <v>10</v>
      </c>
      <c r="Z21" s="680">
        <v>109.5652757142857</v>
      </c>
      <c r="AA21" s="680">
        <v>68.829984999999994</v>
      </c>
      <c r="AB21" s="681">
        <v>81.906282208588948</v>
      </c>
      <c r="AC21" s="237">
        <v>76.23312962962963</v>
      </c>
      <c r="AD21" s="237"/>
      <c r="AE21" s="679">
        <v>10</v>
      </c>
      <c r="AF21" s="680">
        <v>121.88282628742515</v>
      </c>
      <c r="AG21" s="680">
        <v>59.413575178571428</v>
      </c>
      <c r="AH21" s="681">
        <v>166.00835327380952</v>
      </c>
      <c r="AI21" s="237">
        <v>131.41592422619047</v>
      </c>
      <c r="AK21" s="679">
        <v>10</v>
      </c>
      <c r="AL21" s="680">
        <v>305.35840476190475</v>
      </c>
      <c r="AM21" s="680">
        <v>150.94912500000001</v>
      </c>
      <c r="AN21" s="681">
        <v>179.15565476190474</v>
      </c>
      <c r="AO21" s="676">
        <v>294.47723809523808</v>
      </c>
      <c r="AQ21" s="679">
        <v>10</v>
      </c>
      <c r="AR21" s="680">
        <v>141.44591666666665</v>
      </c>
      <c r="AS21" s="680">
        <v>148.17406547619046</v>
      </c>
      <c r="AT21" s="681">
        <v>81.040886904761905</v>
      </c>
      <c r="AU21" s="676">
        <v>73.341916666666663</v>
      </c>
      <c r="AW21" s="679">
        <v>10</v>
      </c>
      <c r="AX21" s="680">
        <v>5.4506428571428573</v>
      </c>
      <c r="AY21" s="680">
        <v>1.4684285714285714</v>
      </c>
      <c r="AZ21" s="681">
        <v>14.171428571428573</v>
      </c>
      <c r="BA21" s="676">
        <v>11.743285714285713</v>
      </c>
      <c r="BC21" s="679">
        <v>10</v>
      </c>
      <c r="BD21" s="680">
        <v>26.11428571428571</v>
      </c>
      <c r="BE21" s="680">
        <v>23.728571428571428</v>
      </c>
      <c r="BF21" s="681">
        <v>33.422023809523807</v>
      </c>
      <c r="BG21" s="676">
        <v>27.896442857142855</v>
      </c>
      <c r="BI21" s="679">
        <v>10</v>
      </c>
      <c r="BJ21" s="680">
        <v>132.36309523809521</v>
      </c>
      <c r="BK21" s="680">
        <v>94.220238095238088</v>
      </c>
      <c r="BL21" s="681">
        <v>278.61676646706587</v>
      </c>
      <c r="BM21" s="676">
        <v>260.32142857142856</v>
      </c>
      <c r="BO21" s="679">
        <v>10</v>
      </c>
      <c r="BP21" s="680">
        <v>48.526785714285715</v>
      </c>
      <c r="BQ21" s="680">
        <v>24.092261904761905</v>
      </c>
      <c r="BR21" s="681">
        <v>72.984523809523807</v>
      </c>
      <c r="BS21" s="676">
        <v>85.607738095238091</v>
      </c>
      <c r="BU21" s="679">
        <v>10</v>
      </c>
      <c r="BV21" s="680">
        <v>91.656547619047615</v>
      </c>
      <c r="BW21" s="680">
        <v>22.903988095238098</v>
      </c>
      <c r="BX21" s="681">
        <v>55.520654761904758</v>
      </c>
      <c r="BY21" s="676">
        <v>138.84595238095238</v>
      </c>
      <c r="CA21" s="679">
        <v>10</v>
      </c>
      <c r="CB21" s="680">
        <v>366.83817999999997</v>
      </c>
      <c r="CC21" s="680">
        <v>197.17181428571428</v>
      </c>
      <c r="CD21" s="681">
        <v>1049.9604728571428</v>
      </c>
      <c r="CE21" s="676">
        <v>1111.2430171428571</v>
      </c>
      <c r="CG21" s="679">
        <v>10</v>
      </c>
      <c r="CH21" s="680">
        <v>322.93630952380954</v>
      </c>
      <c r="CI21" s="680">
        <v>64.479345238095235</v>
      </c>
      <c r="CJ21" s="681">
        <v>296.62309523809523</v>
      </c>
      <c r="CK21" s="676">
        <v>588.50059523809523</v>
      </c>
      <c r="CM21" s="679">
        <v>10</v>
      </c>
      <c r="CN21" s="680">
        <v>227.91723809523808</v>
      </c>
      <c r="CO21" s="680">
        <v>165.24186392857143</v>
      </c>
      <c r="CP21" s="681">
        <v>337.98545238095238</v>
      </c>
      <c r="CQ21" s="676">
        <v>416.63458928571424</v>
      </c>
      <c r="CS21" s="679">
        <v>10</v>
      </c>
      <c r="CT21" s="680">
        <v>126.46428571428571</v>
      </c>
      <c r="CU21" s="680">
        <v>69.646428571428572</v>
      </c>
      <c r="CV21" s="681">
        <v>191.19583333333333</v>
      </c>
      <c r="CW21" s="676">
        <v>176.63095238095238</v>
      </c>
      <c r="CY21" s="679">
        <v>10</v>
      </c>
      <c r="CZ21" s="680">
        <v>0</v>
      </c>
      <c r="DA21" s="680">
        <v>0</v>
      </c>
      <c r="DB21" s="681">
        <v>0</v>
      </c>
      <c r="DC21" s="676">
        <v>0</v>
      </c>
      <c r="DD21" s="675">
        <v>0.308</v>
      </c>
      <c r="DE21" s="679"/>
      <c r="DF21" s="679">
        <v>10</v>
      </c>
      <c r="DG21" s="680">
        <v>0</v>
      </c>
      <c r="DH21" s="681">
        <v>0</v>
      </c>
      <c r="DI21" s="676">
        <v>0</v>
      </c>
      <c r="DJ21" s="675">
        <v>0</v>
      </c>
      <c r="DK21" s="679">
        <v>10</v>
      </c>
      <c r="DL21" s="680">
        <v>5.7</v>
      </c>
      <c r="DM21" s="680">
        <v>0.80700000000000005</v>
      </c>
      <c r="DN21" s="681">
        <v>1.907</v>
      </c>
      <c r="DO21" s="771">
        <v>0.63</v>
      </c>
      <c r="DQ21" s="679">
        <v>10</v>
      </c>
      <c r="DR21" s="680">
        <v>15.892142857142856</v>
      </c>
      <c r="DS21" s="680">
        <v>9.9522023809523805</v>
      </c>
      <c r="DT21" s="681">
        <v>23.922142857142855</v>
      </c>
      <c r="DU21" s="771">
        <v>23.425178571428571</v>
      </c>
      <c r="DW21" s="679">
        <v>10</v>
      </c>
      <c r="DX21" s="680">
        <v>1.4477500000000001</v>
      </c>
      <c r="DY21" s="680">
        <v>1.1383392857142858</v>
      </c>
      <c r="DZ21" s="681">
        <v>1.404797619047619</v>
      </c>
      <c r="EA21" s="771">
        <v>1.4842380952380951</v>
      </c>
      <c r="EC21" s="679">
        <v>10</v>
      </c>
      <c r="ED21" s="680">
        <v>0.65</v>
      </c>
      <c r="EE21" s="680">
        <v>0.28000000000000003</v>
      </c>
      <c r="EF21" s="681">
        <v>14.1118497949419</v>
      </c>
      <c r="EG21" s="771">
        <v>16.04515620689655</v>
      </c>
      <c r="EI21" s="679">
        <v>10</v>
      </c>
      <c r="EJ21" s="680">
        <v>2.1040000000000001</v>
      </c>
      <c r="EK21" s="680">
        <v>0.19800000000000001</v>
      </c>
      <c r="EL21" s="681">
        <v>1.3763757142857143</v>
      </c>
      <c r="EM21" s="771">
        <v>2.8362857142857143</v>
      </c>
      <c r="EO21" s="679">
        <v>10</v>
      </c>
      <c r="EP21" s="680">
        <v>4.6364985714285716</v>
      </c>
      <c r="EQ21" s="680">
        <v>2.0834571428571431</v>
      </c>
      <c r="ER21" s="681">
        <v>8.4034285714285719</v>
      </c>
      <c r="ES21" s="771">
        <v>22.83409</v>
      </c>
      <c r="EU21" s="679">
        <v>10</v>
      </c>
      <c r="EV21" s="680">
        <v>0.36714285714285716</v>
      </c>
      <c r="EW21" s="680">
        <v>0.25</v>
      </c>
      <c r="EX21" s="681">
        <v>0.25</v>
      </c>
      <c r="EY21" s="676">
        <v>0.25</v>
      </c>
    </row>
    <row r="22" spans="13:155">
      <c r="M22" s="679">
        <v>11</v>
      </c>
      <c r="N22" s="680">
        <v>118.00327583333332</v>
      </c>
      <c r="O22" s="680">
        <v>145.71029375000001</v>
      </c>
      <c r="P22" s="681">
        <v>116.34380178571429</v>
      </c>
      <c r="Q22" s="682">
        <v>144.79871833333334</v>
      </c>
      <c r="S22" s="679">
        <v>11</v>
      </c>
      <c r="T22" s="680">
        <v>12.021428571428572</v>
      </c>
      <c r="U22" s="680">
        <v>10.293452380952381</v>
      </c>
      <c r="V22" s="681">
        <v>8.9684523809523817</v>
      </c>
      <c r="W22" s="682">
        <v>10.436309523809523</v>
      </c>
      <c r="Y22" s="679">
        <v>11</v>
      </c>
      <c r="Z22" s="680">
        <v>119.25398523809524</v>
      </c>
      <c r="AA22" s="680">
        <v>102.01439137931033</v>
      </c>
      <c r="AB22" s="681">
        <v>60.191685961538461</v>
      </c>
      <c r="AC22" s="236">
        <v>82.261938271604933</v>
      </c>
      <c r="AD22" s="237"/>
      <c r="AE22" s="679">
        <v>11</v>
      </c>
      <c r="AF22" s="680">
        <v>115.71211904761905</v>
      </c>
      <c r="AG22" s="680">
        <v>70.294060119047614</v>
      </c>
      <c r="AH22" s="681">
        <v>115.41716886904761</v>
      </c>
      <c r="AI22" s="236">
        <v>144.99574345238094</v>
      </c>
      <c r="AK22" s="679">
        <v>11</v>
      </c>
      <c r="AL22" s="680">
        <v>322.04860714285712</v>
      </c>
      <c r="AM22" s="680">
        <v>380.20494047619047</v>
      </c>
      <c r="AN22" s="681">
        <v>116.94872023809522</v>
      </c>
      <c r="AO22" s="682">
        <v>330.1411845238095</v>
      </c>
      <c r="AQ22" s="679">
        <v>11</v>
      </c>
      <c r="AR22" s="680">
        <v>75.359380952380945</v>
      </c>
      <c r="AS22" s="680">
        <v>181.67506547619047</v>
      </c>
      <c r="AT22" s="681">
        <v>41.238374999999998</v>
      </c>
      <c r="AU22" s="682">
        <v>170.56931547619047</v>
      </c>
      <c r="AW22" s="679">
        <v>11</v>
      </c>
      <c r="AX22" s="680">
        <v>3.3848571428571432</v>
      </c>
      <c r="AY22" s="680">
        <v>1.6931428571428571</v>
      </c>
      <c r="AZ22" s="681">
        <v>13.100428571428571</v>
      </c>
      <c r="BA22" s="682">
        <v>7.5498571428571433</v>
      </c>
      <c r="BC22" s="679">
        <v>11</v>
      </c>
      <c r="BD22" s="680">
        <v>33.420833333333334</v>
      </c>
      <c r="BE22" s="680">
        <v>34.043452380952381</v>
      </c>
      <c r="BF22" s="681">
        <v>22.218760952380951</v>
      </c>
      <c r="BG22" s="682">
        <v>30.233334285714285</v>
      </c>
      <c r="BI22" s="679">
        <v>11</v>
      </c>
      <c r="BJ22" s="680">
        <v>223.70833333333334</v>
      </c>
      <c r="BK22" s="680">
        <v>119.81547619047618</v>
      </c>
      <c r="BL22" s="681">
        <v>140.14285714285714</v>
      </c>
      <c r="BM22" s="682">
        <v>210.32738095238096</v>
      </c>
      <c r="BO22" s="679">
        <v>11</v>
      </c>
      <c r="BP22" s="680">
        <v>65.082142857142856</v>
      </c>
      <c r="BQ22" s="680">
        <v>36.970833333333331</v>
      </c>
      <c r="BR22" s="681">
        <v>33.427976190476187</v>
      </c>
      <c r="BS22" s="682">
        <v>62.149404761904762</v>
      </c>
      <c r="BU22" s="679">
        <v>11</v>
      </c>
      <c r="BV22" s="680">
        <v>112.27541666666667</v>
      </c>
      <c r="BW22" s="680">
        <v>34.473928571428573</v>
      </c>
      <c r="BX22" s="681">
        <v>40.315892857142856</v>
      </c>
      <c r="BY22" s="682">
        <v>96.498511904761898</v>
      </c>
      <c r="CA22" s="679">
        <v>11</v>
      </c>
      <c r="CB22" s="680">
        <v>471.87288428571429</v>
      </c>
      <c r="CC22" s="680">
        <v>366.16232714285712</v>
      </c>
      <c r="CD22" s="681">
        <v>714.62588428571416</v>
      </c>
      <c r="CE22" s="682">
        <v>825.40722285714287</v>
      </c>
      <c r="CG22" s="679">
        <v>11</v>
      </c>
      <c r="CH22" s="680">
        <v>413.0866666666667</v>
      </c>
      <c r="CI22" s="680">
        <v>90.926309523809522</v>
      </c>
      <c r="CJ22" s="681">
        <v>243.711369047619</v>
      </c>
      <c r="CK22" s="682">
        <v>458.52749999999997</v>
      </c>
      <c r="CM22" s="679">
        <v>11</v>
      </c>
      <c r="CN22" s="680">
        <v>292.15018452380951</v>
      </c>
      <c r="CO22" s="680">
        <v>234.02109999999999</v>
      </c>
      <c r="CP22" s="681">
        <v>237.38300595238093</v>
      </c>
      <c r="CQ22" s="682">
        <v>419.39736309523801</v>
      </c>
      <c r="CS22" s="679">
        <v>11</v>
      </c>
      <c r="CT22" s="680">
        <v>130.65714285714284</v>
      </c>
      <c r="CU22" s="680">
        <v>127.81011904761904</v>
      </c>
      <c r="CV22" s="681">
        <v>122.56547619047619</v>
      </c>
      <c r="CW22" s="682">
        <v>170.98690476190475</v>
      </c>
      <c r="CY22" s="679">
        <v>11</v>
      </c>
      <c r="CZ22" s="680">
        <v>0</v>
      </c>
      <c r="DA22" s="680">
        <v>0</v>
      </c>
      <c r="DB22" s="681">
        <v>0</v>
      </c>
      <c r="DC22" s="682">
        <v>0</v>
      </c>
      <c r="DD22" s="675">
        <v>0.308</v>
      </c>
      <c r="DE22" s="679"/>
      <c r="DF22" s="679">
        <v>11</v>
      </c>
      <c r="DG22" s="680">
        <v>0</v>
      </c>
      <c r="DH22" s="681">
        <v>0</v>
      </c>
      <c r="DI22" s="682">
        <v>0</v>
      </c>
      <c r="DJ22" s="675">
        <v>0</v>
      </c>
      <c r="DK22" s="679">
        <v>11</v>
      </c>
      <c r="DL22" s="680">
        <v>5.7</v>
      </c>
      <c r="DM22" s="680">
        <v>0.80700000000000005</v>
      </c>
      <c r="DN22" s="681">
        <v>1.907</v>
      </c>
      <c r="DO22" s="772">
        <v>0.63</v>
      </c>
      <c r="DQ22" s="679">
        <v>11</v>
      </c>
      <c r="DR22" s="680">
        <v>15.861726190476189</v>
      </c>
      <c r="DS22" s="680">
        <v>10.030357142857143</v>
      </c>
      <c r="DT22" s="681">
        <v>23.400238095238095</v>
      </c>
      <c r="DU22" s="772">
        <v>23.931428571428572</v>
      </c>
      <c r="DW22" s="679">
        <v>11</v>
      </c>
      <c r="DX22" s="680">
        <v>1.4441845238095239</v>
      </c>
      <c r="DY22" s="680">
        <v>1.2335833333333335</v>
      </c>
      <c r="DZ22" s="681">
        <v>1.4614583333333335</v>
      </c>
      <c r="EA22" s="772">
        <v>1.4797321428571428</v>
      </c>
      <c r="EC22" s="679">
        <v>11</v>
      </c>
      <c r="ED22" s="680">
        <v>1.03</v>
      </c>
      <c r="EE22" s="680">
        <v>0.28000000000000003</v>
      </c>
      <c r="EF22" s="681">
        <v>12.584526060606059</v>
      </c>
      <c r="EG22" s="772">
        <v>15.50047619047619</v>
      </c>
      <c r="EI22" s="679">
        <v>11</v>
      </c>
      <c r="EJ22" s="680">
        <v>2.1040000000000001</v>
      </c>
      <c r="EK22" s="680">
        <v>0.19800000000000001</v>
      </c>
      <c r="EL22" s="681">
        <v>0.88157142857142856</v>
      </c>
      <c r="EM22" s="772">
        <v>2.713714285714286</v>
      </c>
      <c r="EO22" s="679">
        <v>11</v>
      </c>
      <c r="EP22" s="680">
        <v>7.1928542857142865</v>
      </c>
      <c r="EQ22" s="680">
        <v>2.1363142857142856</v>
      </c>
      <c r="ER22" s="681">
        <v>8.375571428571428</v>
      </c>
      <c r="ES22" s="772">
        <v>18.229857142857142</v>
      </c>
      <c r="EU22" s="679">
        <v>11</v>
      </c>
      <c r="EV22" s="680">
        <v>0.25</v>
      </c>
      <c r="EW22" s="680">
        <v>0.25</v>
      </c>
      <c r="EX22" s="681">
        <v>0.25</v>
      </c>
      <c r="EY22" s="682">
        <v>0.25</v>
      </c>
    </row>
    <row r="23" spans="13:155">
      <c r="M23" s="679">
        <v>12</v>
      </c>
      <c r="N23" s="680">
        <v>123.53101535714285</v>
      </c>
      <c r="O23" s="680">
        <v>142.04656315476188</v>
      </c>
      <c r="P23" s="681">
        <v>113.31166232142856</v>
      </c>
      <c r="Q23" s="682">
        <v>146.18267678571428</v>
      </c>
      <c r="S23" s="679">
        <v>12</v>
      </c>
      <c r="T23" s="680">
        <v>6.9511904761904759</v>
      </c>
      <c r="U23" s="680">
        <v>10.195833333333333</v>
      </c>
      <c r="V23" s="681">
        <v>4.2172619047619051</v>
      </c>
      <c r="W23" s="682">
        <v>8.4922619047619037</v>
      </c>
      <c r="Y23" s="679">
        <v>12</v>
      </c>
      <c r="Z23" s="680">
        <v>86.8437555</v>
      </c>
      <c r="AA23" s="680">
        <v>97.595699230769227</v>
      </c>
      <c r="AB23" s="681">
        <v>79.227227266187043</v>
      </c>
      <c r="AC23" s="236">
        <v>70.557218181818186</v>
      </c>
      <c r="AD23" s="237"/>
      <c r="AE23" s="679">
        <v>12</v>
      </c>
      <c r="AF23" s="680">
        <v>85.227260892857146</v>
      </c>
      <c r="AG23" s="680">
        <v>75.268540595238093</v>
      </c>
      <c r="AH23" s="681">
        <v>98.379097916666666</v>
      </c>
      <c r="AI23" s="236">
        <v>90.90168083333333</v>
      </c>
      <c r="AK23" s="679">
        <v>12</v>
      </c>
      <c r="AL23" s="680">
        <v>192.14585714285715</v>
      </c>
      <c r="AM23" s="680">
        <v>218.21585714285712</v>
      </c>
      <c r="AN23" s="681">
        <v>151.26183333333333</v>
      </c>
      <c r="AO23" s="682">
        <v>228.71362500000001</v>
      </c>
      <c r="AQ23" s="679">
        <v>12</v>
      </c>
      <c r="AR23" s="680">
        <v>126.76622023809523</v>
      </c>
      <c r="AS23" s="680">
        <v>71.607255952380953</v>
      </c>
      <c r="AT23" s="681">
        <v>23.355202380952381</v>
      </c>
      <c r="AU23" s="682">
        <v>119.36090476190475</v>
      </c>
      <c r="AW23" s="679">
        <v>12</v>
      </c>
      <c r="AX23" s="680">
        <v>2.6403928571428574</v>
      </c>
      <c r="AY23" s="680">
        <v>3.4074285714285719</v>
      </c>
      <c r="AZ23" s="681">
        <v>10.327</v>
      </c>
      <c r="BA23" s="682">
        <v>4.6092571428571434</v>
      </c>
      <c r="BC23" s="679">
        <v>12</v>
      </c>
      <c r="BD23" s="680">
        <v>23.80595238095238</v>
      </c>
      <c r="BE23" s="680">
        <v>30.341666666666665</v>
      </c>
      <c r="BF23" s="681">
        <v>26.69753857142857</v>
      </c>
      <c r="BG23" s="682">
        <v>24.166139999999999</v>
      </c>
      <c r="BI23" s="679">
        <v>12</v>
      </c>
      <c r="BJ23" s="680">
        <v>151.51785714285714</v>
      </c>
      <c r="BK23" s="680">
        <v>120.23214285714285</v>
      </c>
      <c r="BL23" s="681">
        <v>143.42261904761904</v>
      </c>
      <c r="BM23" s="682">
        <v>142.69642857142856</v>
      </c>
      <c r="BO23" s="679">
        <v>12</v>
      </c>
      <c r="BP23" s="680">
        <v>38.394047619047619</v>
      </c>
      <c r="BQ23" s="680">
        <v>35.331547619047619</v>
      </c>
      <c r="BR23" s="681">
        <v>31.274999999999999</v>
      </c>
      <c r="BS23" s="682">
        <v>45.172023809523807</v>
      </c>
      <c r="BU23" s="679">
        <v>12</v>
      </c>
      <c r="BV23" s="680">
        <v>82.19779761904762</v>
      </c>
      <c r="BW23" s="680">
        <v>76.775628742514968</v>
      </c>
      <c r="BX23" s="681">
        <v>52.448571428571427</v>
      </c>
      <c r="BY23" s="682">
        <v>62.056726190476191</v>
      </c>
      <c r="CA23" s="679">
        <v>12</v>
      </c>
      <c r="CB23" s="680">
        <v>352.38915285714285</v>
      </c>
      <c r="CC23" s="680">
        <v>401.03404999999998</v>
      </c>
      <c r="CD23" s="681">
        <v>424.53822857142853</v>
      </c>
      <c r="CE23" s="682">
        <v>495.2901842857143</v>
      </c>
      <c r="CG23" s="679">
        <v>12</v>
      </c>
      <c r="CH23" s="680">
        <v>291.84785714285715</v>
      </c>
      <c r="CI23" s="680">
        <v>274.24023809523806</v>
      </c>
      <c r="CJ23" s="681">
        <v>280.53547619047617</v>
      </c>
      <c r="CK23" s="682">
        <v>278.10660714285711</v>
      </c>
      <c r="CM23" s="679">
        <v>12</v>
      </c>
      <c r="CN23" s="680">
        <v>183.14323214285713</v>
      </c>
      <c r="CO23" s="680">
        <v>242.04084523809524</v>
      </c>
      <c r="CP23" s="681">
        <v>182.08883928571427</v>
      </c>
      <c r="CQ23" s="682">
        <v>270.59588690476187</v>
      </c>
      <c r="CS23" s="679">
        <v>12</v>
      </c>
      <c r="CT23" s="680">
        <v>89.708333333333329</v>
      </c>
      <c r="CU23" s="680">
        <v>107.56845238095238</v>
      </c>
      <c r="CV23" s="681">
        <v>106.5797619047619</v>
      </c>
      <c r="CW23" s="682">
        <v>111.31190476190476</v>
      </c>
      <c r="CY23" s="679">
        <v>12</v>
      </c>
      <c r="CZ23" s="680">
        <v>0</v>
      </c>
      <c r="DA23" s="680">
        <v>0</v>
      </c>
      <c r="DB23" s="681">
        <v>0</v>
      </c>
      <c r="DC23" s="682">
        <v>0</v>
      </c>
      <c r="DD23" s="675">
        <v>0.308</v>
      </c>
      <c r="DE23" s="679"/>
      <c r="DF23" s="679">
        <v>12</v>
      </c>
      <c r="DG23" s="680">
        <v>0</v>
      </c>
      <c r="DH23" s="681">
        <v>0</v>
      </c>
      <c r="DI23" s="682">
        <v>0</v>
      </c>
      <c r="DJ23" s="675">
        <v>0</v>
      </c>
      <c r="DK23" s="679">
        <v>12</v>
      </c>
      <c r="DL23" s="680">
        <v>5.7</v>
      </c>
      <c r="DM23" s="680">
        <v>0.80700000000000005</v>
      </c>
      <c r="DN23" s="681">
        <v>1.907</v>
      </c>
      <c r="DO23" s="772">
        <v>0.63</v>
      </c>
      <c r="DQ23" s="679">
        <v>12</v>
      </c>
      <c r="DR23" s="680">
        <v>15.601666666666667</v>
      </c>
      <c r="DS23" s="680">
        <v>9.9896428571428579</v>
      </c>
      <c r="DT23" s="681">
        <v>23.540892857142858</v>
      </c>
      <c r="DU23" s="772">
        <v>19.208392857142858</v>
      </c>
      <c r="DW23" s="679">
        <v>12</v>
      </c>
      <c r="DX23" s="680">
        <v>1.3740952380952383</v>
      </c>
      <c r="DY23" s="680">
        <v>1.2689702380952383</v>
      </c>
      <c r="DZ23" s="681">
        <v>1.3700178571428572</v>
      </c>
      <c r="EA23" s="772">
        <v>1.4745357142857143</v>
      </c>
      <c r="EC23" s="679">
        <v>12</v>
      </c>
      <c r="ED23" s="680">
        <v>1.39</v>
      </c>
      <c r="EE23" s="680">
        <v>0.28000000000000003</v>
      </c>
      <c r="EF23" s="681">
        <v>3.7479373214285716</v>
      </c>
      <c r="EG23" s="772">
        <v>2.8926398989898994</v>
      </c>
      <c r="EI23" s="679">
        <v>12</v>
      </c>
      <c r="EJ23" s="680">
        <v>2.1339999999999999</v>
      </c>
      <c r="EK23" s="680">
        <v>0.19800000000000001</v>
      </c>
      <c r="EL23" s="681">
        <v>0.72885714285714287</v>
      </c>
      <c r="EM23" s="772">
        <v>1.8175714285714286</v>
      </c>
      <c r="EO23" s="679">
        <v>12</v>
      </c>
      <c r="EP23" s="680">
        <v>6.6765500000000007</v>
      </c>
      <c r="EQ23" s="680">
        <v>2.2081428571428572</v>
      </c>
      <c r="ER23" s="681">
        <v>7.2121428571428572</v>
      </c>
      <c r="ES23" s="772">
        <v>22.468</v>
      </c>
      <c r="EU23" s="679">
        <v>12</v>
      </c>
      <c r="EV23" s="680">
        <v>0.25</v>
      </c>
      <c r="EW23" s="680">
        <v>0.25</v>
      </c>
      <c r="EX23" s="681">
        <v>0.25</v>
      </c>
      <c r="EY23" s="682">
        <v>0.25</v>
      </c>
    </row>
    <row r="24" spans="13:155">
      <c r="M24" s="679">
        <v>13</v>
      </c>
      <c r="N24" s="680">
        <v>118.55330744047617</v>
      </c>
      <c r="O24" s="680">
        <v>132.91985452380951</v>
      </c>
      <c r="P24" s="681">
        <v>113.62462315476189</v>
      </c>
      <c r="Q24" s="682">
        <v>142.89877166666665</v>
      </c>
      <c r="S24" s="679">
        <v>13</v>
      </c>
      <c r="T24" s="680">
        <v>5.8571428571428577</v>
      </c>
      <c r="U24" s="680">
        <v>6.5464285714285717</v>
      </c>
      <c r="V24" s="681">
        <v>12.745833333333334</v>
      </c>
      <c r="W24" s="682">
        <v>15.120238095238095</v>
      </c>
      <c r="Y24" s="679">
        <v>13</v>
      </c>
      <c r="Z24" s="680">
        <v>94.784509523809518</v>
      </c>
      <c r="AA24" s="680">
        <v>81.407957037037022</v>
      </c>
      <c r="AB24" s="681">
        <v>78.404101818181815</v>
      </c>
      <c r="AC24" s="236">
        <v>89.316006060606057</v>
      </c>
      <c r="AD24" s="237"/>
      <c r="AE24" s="679">
        <v>13</v>
      </c>
      <c r="AF24" s="680">
        <v>78.701860297619049</v>
      </c>
      <c r="AG24" s="680">
        <v>103.75185452380953</v>
      </c>
      <c r="AH24" s="681">
        <v>150.0089782738095</v>
      </c>
      <c r="AI24" s="236">
        <v>83.277038333333323</v>
      </c>
      <c r="AK24" s="679">
        <v>13</v>
      </c>
      <c r="AL24" s="680">
        <v>246.19388690476188</v>
      </c>
      <c r="AM24" s="680">
        <v>153.89365476190474</v>
      </c>
      <c r="AN24" s="681">
        <v>225.50697619047617</v>
      </c>
      <c r="AO24" s="682">
        <v>372.04590476190475</v>
      </c>
      <c r="AQ24" s="679">
        <v>13</v>
      </c>
      <c r="AR24" s="680">
        <v>182.03190476190474</v>
      </c>
      <c r="AS24" s="680">
        <v>74.664744047619052</v>
      </c>
      <c r="AT24" s="681">
        <v>19.802994047619048</v>
      </c>
      <c r="AU24" s="682">
        <v>216.81592857142854</v>
      </c>
      <c r="AW24" s="679">
        <v>13</v>
      </c>
      <c r="AX24" s="680">
        <v>2.0653214285714285</v>
      </c>
      <c r="AY24" s="680">
        <v>8.769285714285715</v>
      </c>
      <c r="AZ24" s="681">
        <v>6.8137142857142861</v>
      </c>
      <c r="BA24" s="682">
        <v>2.7965714285714287</v>
      </c>
      <c r="BC24" s="679">
        <v>13</v>
      </c>
      <c r="BD24" s="680">
        <v>28.491666666666667</v>
      </c>
      <c r="BE24" s="680">
        <v>22.344047619047618</v>
      </c>
      <c r="BF24" s="681">
        <v>35.581682857142859</v>
      </c>
      <c r="BG24" s="682">
        <v>31.47266619047619</v>
      </c>
      <c r="BI24" s="679">
        <v>13</v>
      </c>
      <c r="BJ24" s="680">
        <v>178.99404761904762</v>
      </c>
      <c r="BK24" s="680">
        <v>181.9345238095238</v>
      </c>
      <c r="BL24" s="681">
        <v>204.07738095238093</v>
      </c>
      <c r="BM24" s="682">
        <v>153.32738095238096</v>
      </c>
      <c r="BO24" s="679">
        <v>13</v>
      </c>
      <c r="BP24" s="680">
        <v>36.349404761904758</v>
      </c>
      <c r="BQ24" s="680">
        <v>43.063095238095237</v>
      </c>
      <c r="BR24" s="681">
        <v>41.92916666666666</v>
      </c>
      <c r="BS24" s="682">
        <v>35.578571428571429</v>
      </c>
      <c r="BU24" s="679">
        <v>13</v>
      </c>
      <c r="BV24" s="680">
        <v>62.071309523809525</v>
      </c>
      <c r="BW24" s="680">
        <v>62.271309523809521</v>
      </c>
      <c r="BX24" s="681">
        <v>48.303928571428571</v>
      </c>
      <c r="BY24" s="682">
        <v>65.945892857142866</v>
      </c>
      <c r="CA24" s="679">
        <v>13</v>
      </c>
      <c r="CB24" s="680">
        <v>519.54119857142859</v>
      </c>
      <c r="CC24" s="680">
        <v>407.06409857142853</v>
      </c>
      <c r="CD24" s="681">
        <v>652.67873299401197</v>
      </c>
      <c r="CE24" s="682">
        <v>725.10825857142856</v>
      </c>
      <c r="CG24" s="679">
        <v>13</v>
      </c>
      <c r="CH24" s="680">
        <v>267.13892857142855</v>
      </c>
      <c r="CI24" s="680">
        <v>219.05815476190475</v>
      </c>
      <c r="CJ24" s="681">
        <v>245.87571428571428</v>
      </c>
      <c r="CK24" s="682">
        <v>298.38720238095237</v>
      </c>
      <c r="CM24" s="679">
        <v>13</v>
      </c>
      <c r="CN24" s="680">
        <v>189.70978571428569</v>
      </c>
      <c r="CO24" s="680">
        <v>237.51745833333334</v>
      </c>
      <c r="CP24" s="681">
        <v>316.57714285714286</v>
      </c>
      <c r="CQ24" s="682">
        <v>274.56377380952381</v>
      </c>
      <c r="CS24" s="679">
        <v>13</v>
      </c>
      <c r="CT24" s="680">
        <v>97.625</v>
      </c>
      <c r="CU24" s="680">
        <v>88.776785714285708</v>
      </c>
      <c r="CV24" s="681">
        <v>152.14523809523808</v>
      </c>
      <c r="CW24" s="682">
        <v>214.96250000000001</v>
      </c>
      <c r="CY24" s="679">
        <v>13</v>
      </c>
      <c r="CZ24" s="680">
        <v>0</v>
      </c>
      <c r="DA24" s="680">
        <v>0</v>
      </c>
      <c r="DB24" s="681">
        <v>0</v>
      </c>
      <c r="DC24" s="682">
        <v>0</v>
      </c>
      <c r="DD24" s="675">
        <v>0.308</v>
      </c>
      <c r="DE24" s="679"/>
      <c r="DF24" s="679">
        <v>13</v>
      </c>
      <c r="DG24" s="680">
        <v>0</v>
      </c>
      <c r="DH24" s="681">
        <v>0</v>
      </c>
      <c r="DI24" s="682">
        <v>0</v>
      </c>
      <c r="DJ24" s="675">
        <v>0</v>
      </c>
      <c r="DK24" s="679">
        <v>13</v>
      </c>
      <c r="DL24" s="680">
        <v>5.7</v>
      </c>
      <c r="DM24" s="680">
        <v>0.80700000000000005</v>
      </c>
      <c r="DN24" s="681">
        <v>1.907</v>
      </c>
      <c r="DO24" s="772">
        <v>0.63</v>
      </c>
      <c r="DQ24" s="679">
        <v>13</v>
      </c>
      <c r="DR24" s="680">
        <v>14.271309523809524</v>
      </c>
      <c r="DS24" s="680">
        <v>16.947619047619046</v>
      </c>
      <c r="DT24" s="681">
        <v>23.859523809523807</v>
      </c>
      <c r="DU24" s="772">
        <v>23.013571428571428</v>
      </c>
      <c r="DW24" s="679">
        <v>13</v>
      </c>
      <c r="DX24" s="680">
        <v>1.3876904761904763</v>
      </c>
      <c r="DY24" s="680">
        <v>1.2905714285714287</v>
      </c>
      <c r="DZ24" s="681">
        <v>1.4206428571428573</v>
      </c>
      <c r="EA24" s="772">
        <v>1.4894345238095239</v>
      </c>
      <c r="EC24" s="679">
        <v>13</v>
      </c>
      <c r="ED24" s="680">
        <v>0.56000000000000005</v>
      </c>
      <c r="EE24" s="680">
        <v>0.28000000000000003</v>
      </c>
      <c r="EF24" s="681">
        <v>14.385755324675323</v>
      </c>
      <c r="EG24" s="772">
        <v>14.681637070707072</v>
      </c>
      <c r="EI24" s="679">
        <v>13</v>
      </c>
      <c r="EJ24" s="680">
        <v>2.1339999999999999</v>
      </c>
      <c r="EK24" s="680">
        <v>0.19800000000000001</v>
      </c>
      <c r="EL24" s="681">
        <v>1.04809</v>
      </c>
      <c r="EM24" s="772">
        <v>1.113</v>
      </c>
      <c r="EO24" s="679">
        <v>13</v>
      </c>
      <c r="EP24" s="680">
        <v>8.555714285714286</v>
      </c>
      <c r="EQ24" s="680">
        <v>2.2695714285714286</v>
      </c>
      <c r="ER24" s="681">
        <v>7.7802857142857151</v>
      </c>
      <c r="ES24" s="772">
        <v>24.378285714285717</v>
      </c>
      <c r="EU24" s="679">
        <v>13</v>
      </c>
      <c r="EV24" s="680">
        <v>0.25</v>
      </c>
      <c r="EW24" s="680">
        <v>0.25</v>
      </c>
      <c r="EX24" s="681">
        <v>0.25</v>
      </c>
      <c r="EY24" s="682">
        <v>0.25</v>
      </c>
    </row>
    <row r="25" spans="13:155">
      <c r="M25" s="679">
        <v>14</v>
      </c>
      <c r="N25" s="680">
        <v>115.98453910714285</v>
      </c>
      <c r="O25" s="680">
        <v>131.64998053571429</v>
      </c>
      <c r="P25" s="681">
        <v>112.72916220238095</v>
      </c>
      <c r="Q25" s="682">
        <v>137.03918827380951</v>
      </c>
      <c r="S25" s="679">
        <v>14</v>
      </c>
      <c r="T25" s="680">
        <v>12.407142857142857</v>
      </c>
      <c r="U25" s="680">
        <v>5.225595238095238</v>
      </c>
      <c r="V25" s="681">
        <v>12.520238095238094</v>
      </c>
      <c r="W25" s="682">
        <v>24.073214285714283</v>
      </c>
      <c r="Y25" s="679">
        <v>14</v>
      </c>
      <c r="Z25" s="680">
        <v>107.18982857142858</v>
      </c>
      <c r="AA25" s="680">
        <v>46.887472333333335</v>
      </c>
      <c r="AB25" s="681">
        <v>69.295260490797546</v>
      </c>
      <c r="AC25" s="236">
        <v>74.509130434782605</v>
      </c>
      <c r="AD25" s="237"/>
      <c r="AE25" s="679">
        <v>14</v>
      </c>
      <c r="AF25" s="680">
        <v>77.889510238095241</v>
      </c>
      <c r="AG25" s="680">
        <v>91.333499940476187</v>
      </c>
      <c r="AH25" s="681">
        <v>127.79776720238095</v>
      </c>
      <c r="AI25" s="236">
        <v>101.17493678571428</v>
      </c>
      <c r="AK25" s="679">
        <v>14</v>
      </c>
      <c r="AL25" s="680">
        <v>299.5350357142857</v>
      </c>
      <c r="AM25" s="680">
        <v>135.64004761904761</v>
      </c>
      <c r="AN25" s="681">
        <v>136.11150000000001</v>
      </c>
      <c r="AO25" s="682">
        <v>250.60123214285713</v>
      </c>
      <c r="AQ25" s="679">
        <v>14</v>
      </c>
      <c r="AR25" s="680">
        <v>126.58510714285713</v>
      </c>
      <c r="AS25" s="680">
        <v>131.34695833333333</v>
      </c>
      <c r="AT25" s="681">
        <v>36.977398809523812</v>
      </c>
      <c r="AU25" s="682">
        <v>170.68872023809521</v>
      </c>
      <c r="AW25" s="679">
        <v>14</v>
      </c>
      <c r="AX25" s="680">
        <v>1.8045714285714287</v>
      </c>
      <c r="AY25" s="680">
        <v>4.3440000000000003</v>
      </c>
      <c r="AZ25" s="681">
        <v>4.9985714285714291</v>
      </c>
      <c r="BA25" s="682">
        <v>3.1478571428571431</v>
      </c>
      <c r="BC25" s="679">
        <v>14</v>
      </c>
      <c r="BD25" s="680">
        <v>27.723809523809525</v>
      </c>
      <c r="BE25" s="680">
        <v>21.747619047619047</v>
      </c>
      <c r="BF25" s="681">
        <v>30.344757142857144</v>
      </c>
      <c r="BG25" s="682">
        <v>25.730500476190475</v>
      </c>
      <c r="BI25" s="679">
        <v>14</v>
      </c>
      <c r="BJ25" s="680">
        <v>183.63690476190476</v>
      </c>
      <c r="BK25" s="680">
        <v>126.89285714285714</v>
      </c>
      <c r="BL25" s="681">
        <v>143.21428571428569</v>
      </c>
      <c r="BM25" s="682">
        <v>157</v>
      </c>
      <c r="BO25" s="679">
        <v>14</v>
      </c>
      <c r="BP25" s="680">
        <v>45.316071428571433</v>
      </c>
      <c r="BQ25" s="680">
        <v>36.577976190476193</v>
      </c>
      <c r="BR25" s="681">
        <v>30.532142857142858</v>
      </c>
      <c r="BS25" s="682">
        <v>46.553571428571431</v>
      </c>
      <c r="BU25" s="679">
        <v>14</v>
      </c>
      <c r="BV25" s="680">
        <v>47.173749999999998</v>
      </c>
      <c r="BW25" s="680">
        <v>48.000833333333333</v>
      </c>
      <c r="BX25" s="681">
        <v>60.706904761904759</v>
      </c>
      <c r="BY25" s="682">
        <v>56.782023809523807</v>
      </c>
      <c r="CA25" s="679">
        <v>14</v>
      </c>
      <c r="CB25" s="680">
        <v>899.83257999999989</v>
      </c>
      <c r="CC25" s="680">
        <v>319.13726857142854</v>
      </c>
      <c r="CD25" s="681">
        <v>617.4352771428571</v>
      </c>
      <c r="CE25" s="682">
        <v>649.53569000000005</v>
      </c>
      <c r="CG25" s="679">
        <v>14</v>
      </c>
      <c r="CH25" s="680">
        <v>231.95946428571429</v>
      </c>
      <c r="CI25" s="680">
        <v>185.69089285714284</v>
      </c>
      <c r="CJ25" s="681">
        <v>281.42077380952378</v>
      </c>
      <c r="CK25" s="682">
        <v>278.63595238095235</v>
      </c>
      <c r="CM25" s="679">
        <v>14</v>
      </c>
      <c r="CN25" s="680">
        <v>231.89868452380952</v>
      </c>
      <c r="CO25" s="680">
        <v>190.09301785714285</v>
      </c>
      <c r="CP25" s="681">
        <v>232.79140476190474</v>
      </c>
      <c r="CQ25" s="682">
        <v>292.74074404761905</v>
      </c>
      <c r="CS25" s="679">
        <v>14</v>
      </c>
      <c r="CT25" s="680">
        <v>125.92857142857142</v>
      </c>
      <c r="CU25" s="680">
        <v>72.668452380952374</v>
      </c>
      <c r="CV25" s="681">
        <v>108.07202380952381</v>
      </c>
      <c r="CW25" s="682">
        <v>193.9785714285714</v>
      </c>
      <c r="CY25" s="679">
        <v>14</v>
      </c>
      <c r="CZ25" s="680">
        <v>0</v>
      </c>
      <c r="DA25" s="680">
        <v>0</v>
      </c>
      <c r="DB25" s="681">
        <v>0</v>
      </c>
      <c r="DC25" s="682">
        <v>0</v>
      </c>
      <c r="DD25" s="675">
        <v>0.308</v>
      </c>
      <c r="DE25" s="679"/>
      <c r="DF25" s="679">
        <v>14</v>
      </c>
      <c r="DG25" s="680">
        <v>0</v>
      </c>
      <c r="DH25" s="681">
        <v>0</v>
      </c>
      <c r="DI25" s="682">
        <v>0</v>
      </c>
      <c r="DJ25" s="675">
        <v>0</v>
      </c>
      <c r="DK25" s="679">
        <v>14</v>
      </c>
      <c r="DL25" s="680">
        <v>5.7</v>
      </c>
      <c r="DM25" s="680">
        <v>0.80700000000000005</v>
      </c>
      <c r="DN25" s="681">
        <v>1.907</v>
      </c>
      <c r="DO25" s="772">
        <v>0.63</v>
      </c>
      <c r="DQ25" s="679">
        <v>14</v>
      </c>
      <c r="DR25" s="680">
        <v>12.459285714285713</v>
      </c>
      <c r="DS25" s="680">
        <v>11.487678571428571</v>
      </c>
      <c r="DT25" s="681">
        <v>22.821726190476188</v>
      </c>
      <c r="DU25" s="772">
        <v>23.282857142857143</v>
      </c>
      <c r="DW25" s="679">
        <v>14</v>
      </c>
      <c r="DX25" s="680">
        <v>1.4388928571428572</v>
      </c>
      <c r="DY25" s="680">
        <v>1.2704821428571429</v>
      </c>
      <c r="DZ25" s="681">
        <v>1.4046190476190477</v>
      </c>
      <c r="EA25" s="772">
        <v>1.4846845238095239</v>
      </c>
      <c r="EC25" s="679">
        <v>14</v>
      </c>
      <c r="ED25" s="680">
        <v>3.57</v>
      </c>
      <c r="EE25" s="680">
        <v>0.28000000000000003</v>
      </c>
      <c r="EF25" s="681">
        <v>14.6935775</v>
      </c>
      <c r="EG25" s="772">
        <v>13.591277622950818</v>
      </c>
      <c r="EI25" s="679">
        <v>14</v>
      </c>
      <c r="EJ25" s="680">
        <v>2.2170000000000001</v>
      </c>
      <c r="EK25" s="680">
        <v>0.19800000000000001</v>
      </c>
      <c r="EL25" s="681">
        <v>1.04809</v>
      </c>
      <c r="EM25" s="772">
        <v>1.113</v>
      </c>
      <c r="EO25" s="679">
        <v>14</v>
      </c>
      <c r="EP25" s="680">
        <v>14.207021428571428</v>
      </c>
      <c r="EQ25" s="680">
        <v>2.5313971428571427</v>
      </c>
      <c r="ER25" s="681">
        <v>8.6662857142857135</v>
      </c>
      <c r="ES25" s="772">
        <v>35.052571428571426</v>
      </c>
      <c r="EU25" s="679">
        <v>14</v>
      </c>
      <c r="EV25" s="680">
        <v>0.25</v>
      </c>
      <c r="EW25" s="680">
        <v>0.25</v>
      </c>
      <c r="EX25" s="681">
        <v>0.25</v>
      </c>
      <c r="EY25" s="682">
        <v>0.25</v>
      </c>
    </row>
    <row r="26" spans="13:155">
      <c r="M26" s="679">
        <v>15</v>
      </c>
      <c r="N26" s="680">
        <v>126.54867458333334</v>
      </c>
      <c r="O26" s="680">
        <v>130.62114053571429</v>
      </c>
      <c r="P26" s="681">
        <v>135.74600136904763</v>
      </c>
      <c r="Q26" s="682">
        <v>135.34958892857142</v>
      </c>
      <c r="S26" s="679">
        <v>15</v>
      </c>
      <c r="T26" s="680">
        <v>8.5952380952380949</v>
      </c>
      <c r="U26" s="680">
        <v>5.2952380952380951</v>
      </c>
      <c r="V26" s="681">
        <v>18.895238095238096</v>
      </c>
      <c r="W26" s="682">
        <v>11.783333333333333</v>
      </c>
      <c r="Y26" s="679">
        <v>15</v>
      </c>
      <c r="Z26" s="680">
        <v>81.303376666666665</v>
      </c>
      <c r="AA26" s="680">
        <v>51.658918125</v>
      </c>
      <c r="AB26" s="681">
        <v>81.418286582278469</v>
      </c>
      <c r="AC26" s="236">
        <v>28.539903680981595</v>
      </c>
      <c r="AD26" s="237"/>
      <c r="AE26" s="679">
        <v>15</v>
      </c>
      <c r="AF26" s="680">
        <v>58.255905654761904</v>
      </c>
      <c r="AG26" s="680">
        <v>55.704789107142851</v>
      </c>
      <c r="AH26" s="681">
        <v>123.42690095238093</v>
      </c>
      <c r="AI26" s="236">
        <v>88.626130892857134</v>
      </c>
      <c r="AK26" s="679">
        <v>15</v>
      </c>
      <c r="AL26" s="680">
        <v>161.58610119047617</v>
      </c>
      <c r="AM26" s="680">
        <v>129.75667857142858</v>
      </c>
      <c r="AN26" s="681">
        <v>137.78995238095237</v>
      </c>
      <c r="AO26" s="682">
        <v>195.83966666666666</v>
      </c>
      <c r="AQ26" s="679">
        <v>15</v>
      </c>
      <c r="AR26" s="680">
        <v>108.36579761904763</v>
      </c>
      <c r="AS26" s="680">
        <v>86.614934523809524</v>
      </c>
      <c r="AT26" s="681">
        <v>44.727767857142858</v>
      </c>
      <c r="AU26" s="682">
        <v>100.61518452380952</v>
      </c>
      <c r="AW26" s="679">
        <v>15</v>
      </c>
      <c r="AX26" s="680">
        <v>1.5654285714285714</v>
      </c>
      <c r="AY26" s="680">
        <v>2.714</v>
      </c>
      <c r="AZ26" s="681">
        <v>3.8874285714285719</v>
      </c>
      <c r="BA26" s="682">
        <v>2.0779999999999998</v>
      </c>
      <c r="BC26" s="679">
        <v>15</v>
      </c>
      <c r="BD26" s="680">
        <v>22.026428571428571</v>
      </c>
      <c r="BE26" s="680">
        <v>17.902976190476188</v>
      </c>
      <c r="BF26" s="681">
        <v>28.492922380952383</v>
      </c>
      <c r="BG26" s="682">
        <v>19.497046666666666</v>
      </c>
      <c r="BI26" s="679">
        <v>15</v>
      </c>
      <c r="BJ26" s="680">
        <v>124.73809523809523</v>
      </c>
      <c r="BK26" s="680">
        <v>95.922619047619037</v>
      </c>
      <c r="BL26" s="681">
        <v>112.08333333333331</v>
      </c>
      <c r="BM26" s="682">
        <v>128.89285714285714</v>
      </c>
      <c r="BO26" s="679">
        <v>15</v>
      </c>
      <c r="BP26" s="680">
        <v>26.343452380952382</v>
      </c>
      <c r="BQ26" s="680">
        <v>21.657738095238098</v>
      </c>
      <c r="BR26" s="681">
        <v>25.524999999999999</v>
      </c>
      <c r="BS26" s="682">
        <v>30.706547619047615</v>
      </c>
      <c r="BU26" s="679">
        <v>15</v>
      </c>
      <c r="BV26" s="680">
        <v>36.217321428571431</v>
      </c>
      <c r="BW26" s="680">
        <v>40.025119047619043</v>
      </c>
      <c r="BX26" s="681">
        <v>43.28023809523809</v>
      </c>
      <c r="BY26" s="682">
        <v>53.252499999999998</v>
      </c>
      <c r="CA26" s="679">
        <v>15</v>
      </c>
      <c r="CB26" s="680">
        <v>588.94089285714279</v>
      </c>
      <c r="CC26" s="680">
        <v>221.24078428571428</v>
      </c>
      <c r="CD26" s="681">
        <v>530.55076571428572</v>
      </c>
      <c r="CE26" s="682">
        <v>411.65102571428571</v>
      </c>
      <c r="CG26" s="679">
        <v>15</v>
      </c>
      <c r="CH26" s="680">
        <v>216.75630952380953</v>
      </c>
      <c r="CI26" s="680">
        <v>142.92273809523809</v>
      </c>
      <c r="CJ26" s="681">
        <v>218.85654761904763</v>
      </c>
      <c r="CK26" s="682">
        <v>185.25446428571428</v>
      </c>
      <c r="CM26" s="679">
        <v>15</v>
      </c>
      <c r="CN26" s="680">
        <v>160.00347619047616</v>
      </c>
      <c r="CO26" s="680">
        <v>150.86177976190476</v>
      </c>
      <c r="CP26" s="681">
        <v>177.40020833333332</v>
      </c>
      <c r="CQ26" s="682">
        <v>216.44545238095239</v>
      </c>
      <c r="CS26" s="679">
        <v>15</v>
      </c>
      <c r="CT26" s="680">
        <v>87.702380952380949</v>
      </c>
      <c r="CU26" s="680">
        <v>68.766666666666666</v>
      </c>
      <c r="CV26" s="681">
        <v>109.29166666666666</v>
      </c>
      <c r="CW26" s="682">
        <v>104.60059523809522</v>
      </c>
      <c r="CY26" s="679">
        <v>15</v>
      </c>
      <c r="CZ26" s="680">
        <v>0</v>
      </c>
      <c r="DA26" s="680">
        <v>0</v>
      </c>
      <c r="DB26" s="681">
        <v>0</v>
      </c>
      <c r="DC26" s="682">
        <v>0</v>
      </c>
      <c r="DD26" s="675">
        <v>0.308</v>
      </c>
      <c r="DE26" s="679"/>
      <c r="DF26" s="679">
        <v>15</v>
      </c>
      <c r="DG26" s="680">
        <v>0</v>
      </c>
      <c r="DH26" s="681">
        <v>0</v>
      </c>
      <c r="DI26" s="682">
        <v>0</v>
      </c>
      <c r="DJ26" s="675">
        <v>0</v>
      </c>
      <c r="DK26" s="679">
        <v>15</v>
      </c>
      <c r="DL26" s="680">
        <v>5.7214285714285715</v>
      </c>
      <c r="DM26" s="680">
        <v>0.80700000000000005</v>
      </c>
      <c r="DN26" s="681">
        <v>1.907</v>
      </c>
      <c r="DO26" s="772">
        <v>0.63</v>
      </c>
      <c r="DQ26" s="679">
        <v>15</v>
      </c>
      <c r="DR26" s="680">
        <v>12.322202380952382</v>
      </c>
      <c r="DS26" s="680">
        <v>9.0023809523809515</v>
      </c>
      <c r="DT26" s="681">
        <v>23.119761904761905</v>
      </c>
      <c r="DU26" s="772">
        <v>23.913869047619045</v>
      </c>
      <c r="DW26" s="679">
        <v>15</v>
      </c>
      <c r="DX26" s="680">
        <v>1.3466488095238096</v>
      </c>
      <c r="DY26" s="680">
        <v>1.2867261904761906</v>
      </c>
      <c r="DZ26" s="681">
        <v>1.4808154761904762</v>
      </c>
      <c r="EA26" s="772">
        <v>1.4881309523809525</v>
      </c>
      <c r="EC26" s="679">
        <v>15</v>
      </c>
      <c r="ED26" s="680">
        <v>4.0244444444444447</v>
      </c>
      <c r="EE26" s="680">
        <v>0.28000000000000003</v>
      </c>
      <c r="EF26" s="681">
        <v>7.9850277241379306</v>
      </c>
      <c r="EG26" s="772">
        <v>10.420952540983606</v>
      </c>
      <c r="EI26" s="679">
        <v>15</v>
      </c>
      <c r="EJ26" s="680">
        <v>2.2170000000000001</v>
      </c>
      <c r="EK26" s="680">
        <v>0.19800000000000001</v>
      </c>
      <c r="EL26" s="681">
        <v>1.04809</v>
      </c>
      <c r="EM26" s="772">
        <v>1.113</v>
      </c>
      <c r="EO26" s="679">
        <v>15</v>
      </c>
      <c r="EP26" s="680">
        <v>15.186338571428571</v>
      </c>
      <c r="EQ26" s="680">
        <v>6.1909371428571429</v>
      </c>
      <c r="ER26" s="681">
        <v>14.267714285714286</v>
      </c>
      <c r="ES26" s="772">
        <v>27.180857142857143</v>
      </c>
      <c r="EU26" s="679">
        <v>15</v>
      </c>
      <c r="EV26" s="680">
        <v>0.25</v>
      </c>
      <c r="EW26" s="680">
        <v>0.25</v>
      </c>
      <c r="EX26" s="681">
        <v>0.25</v>
      </c>
      <c r="EY26" s="682">
        <v>0.25</v>
      </c>
    </row>
    <row r="27" spans="13:155">
      <c r="M27" s="679">
        <v>16</v>
      </c>
      <c r="N27" s="680">
        <v>127.2109538095238</v>
      </c>
      <c r="O27" s="680">
        <v>141.51324946428571</v>
      </c>
      <c r="P27" s="681">
        <v>138.68091541666666</v>
      </c>
      <c r="Q27" s="682">
        <v>143.08670047619046</v>
      </c>
      <c r="S27" s="679">
        <v>16</v>
      </c>
      <c r="T27" s="680">
        <v>3.0750000000000002</v>
      </c>
      <c r="U27" s="680">
        <v>5.04702380952381</v>
      </c>
      <c r="V27" s="681">
        <v>18.00357142857143</v>
      </c>
      <c r="W27" s="682">
        <v>3</v>
      </c>
      <c r="Y27" s="679">
        <v>16</v>
      </c>
      <c r="Z27" s="680">
        <v>56.107022499999999</v>
      </c>
      <c r="AA27" s="680">
        <v>48.362686666666669</v>
      </c>
      <c r="AB27" s="681">
        <v>49.408082171052634</v>
      </c>
      <c r="AC27" s="236">
        <v>20.086570060240962</v>
      </c>
      <c r="AD27" s="237"/>
      <c r="AE27" s="679">
        <v>16</v>
      </c>
      <c r="AF27" s="680">
        <v>43.096236369047617</v>
      </c>
      <c r="AG27" s="680">
        <v>32.568072321428566</v>
      </c>
      <c r="AH27" s="681">
        <v>62.043079285714285</v>
      </c>
      <c r="AI27" s="236">
        <v>65.774306011904756</v>
      </c>
      <c r="AK27" s="679">
        <v>16</v>
      </c>
      <c r="AL27" s="680">
        <v>100.25120238095238</v>
      </c>
      <c r="AM27" s="680">
        <v>144.20861904761904</v>
      </c>
      <c r="AN27" s="681">
        <v>119.82991666666666</v>
      </c>
      <c r="AO27" s="682">
        <v>155.14683333333332</v>
      </c>
      <c r="AQ27" s="679">
        <v>16</v>
      </c>
      <c r="AR27" s="680">
        <v>80.749875000000003</v>
      </c>
      <c r="AS27" s="680">
        <v>122.8224226190476</v>
      </c>
      <c r="AT27" s="681">
        <v>23.616560297619046</v>
      </c>
      <c r="AU27" s="682">
        <v>78.608035714285705</v>
      </c>
      <c r="AW27" s="679">
        <v>16</v>
      </c>
      <c r="AX27" s="680">
        <v>1.6847142857142858</v>
      </c>
      <c r="AY27" s="680">
        <v>1.9338571428571429</v>
      </c>
      <c r="AZ27" s="681">
        <v>2.6228571428571428</v>
      </c>
      <c r="BA27" s="682">
        <v>2.0594285714285716</v>
      </c>
      <c r="BC27" s="679">
        <v>16</v>
      </c>
      <c r="BD27" s="680">
        <v>15.927976190476191</v>
      </c>
      <c r="BE27" s="680">
        <v>16.516666666666666</v>
      </c>
      <c r="BF27" s="681">
        <v>24.209981904761904</v>
      </c>
      <c r="BG27" s="682">
        <v>17.059524285714286</v>
      </c>
      <c r="BI27" s="679">
        <v>16</v>
      </c>
      <c r="BJ27" s="680">
        <v>78.339285714285708</v>
      </c>
      <c r="BK27" s="680">
        <v>80.702380952380949</v>
      </c>
      <c r="BL27" s="681">
        <v>82.74404761904762</v>
      </c>
      <c r="BM27" s="682">
        <v>106.28571428571429</v>
      </c>
      <c r="BO27" s="679">
        <v>16</v>
      </c>
      <c r="BP27" s="680">
        <v>19.653571428571428</v>
      </c>
      <c r="BQ27" s="680">
        <v>17.351190476190474</v>
      </c>
      <c r="BR27" s="681">
        <v>19.833928571428569</v>
      </c>
      <c r="BS27" s="682">
        <v>28.054761904761904</v>
      </c>
      <c r="BU27" s="679">
        <v>16</v>
      </c>
      <c r="BV27" s="680">
        <v>27.318035714285713</v>
      </c>
      <c r="BW27" s="680">
        <v>25.149166666666666</v>
      </c>
      <c r="BX27" s="681">
        <v>35.570476190476185</v>
      </c>
      <c r="BY27" s="682">
        <v>40.331845238095241</v>
      </c>
      <c r="CA27" s="679">
        <v>16</v>
      </c>
      <c r="CB27" s="680">
        <v>254.20857285714285</v>
      </c>
      <c r="CC27" s="680">
        <v>165.36131142857141</v>
      </c>
      <c r="CD27" s="681">
        <v>334.52101714285715</v>
      </c>
      <c r="CE27" s="682">
        <v>301.68192142857146</v>
      </c>
      <c r="CG27" s="679">
        <v>16</v>
      </c>
      <c r="CH27" s="680">
        <v>130.34029761904762</v>
      </c>
      <c r="CI27" s="680">
        <v>94.682916666666671</v>
      </c>
      <c r="CJ27" s="681">
        <v>188.31619047619046</v>
      </c>
      <c r="CK27" s="682">
        <v>145.25005952380951</v>
      </c>
      <c r="CM27" s="679">
        <v>16</v>
      </c>
      <c r="CN27" s="680">
        <v>119.0878869047619</v>
      </c>
      <c r="CO27" s="680">
        <v>151.21558583333334</v>
      </c>
      <c r="CP27" s="681">
        <v>158.09252976190476</v>
      </c>
      <c r="CQ27" s="682">
        <v>181.32738095238093</v>
      </c>
      <c r="CS27" s="679">
        <v>16</v>
      </c>
      <c r="CT27" s="680">
        <v>56.357142857142854</v>
      </c>
      <c r="CU27" s="680">
        <v>55.250595238095237</v>
      </c>
      <c r="CV27" s="681">
        <v>80.110119047619037</v>
      </c>
      <c r="CW27" s="682">
        <v>71.409523809523805</v>
      </c>
      <c r="CY27" s="679">
        <v>16</v>
      </c>
      <c r="CZ27" s="680">
        <v>0</v>
      </c>
      <c r="DA27" s="680">
        <v>0</v>
      </c>
      <c r="DB27" s="681">
        <v>0</v>
      </c>
      <c r="DC27" s="682">
        <v>0</v>
      </c>
      <c r="DD27" s="675">
        <v>0.308</v>
      </c>
      <c r="DE27" s="679"/>
      <c r="DF27" s="679">
        <v>16</v>
      </c>
      <c r="DG27" s="680">
        <v>0.76466714285714299</v>
      </c>
      <c r="DH27" s="681">
        <v>0</v>
      </c>
      <c r="DI27" s="682">
        <v>0</v>
      </c>
      <c r="DJ27" s="675">
        <v>0</v>
      </c>
      <c r="DK27" s="679">
        <v>16</v>
      </c>
      <c r="DL27" s="680">
        <v>3.8471428571428574</v>
      </c>
      <c r="DM27" s="680">
        <v>0.80700000000000005</v>
      </c>
      <c r="DN27" s="681">
        <v>1.907</v>
      </c>
      <c r="DO27" s="772">
        <v>0.63</v>
      </c>
      <c r="DQ27" s="679">
        <v>16</v>
      </c>
      <c r="DR27" s="680">
        <v>12.955416666666666</v>
      </c>
      <c r="DS27" s="680">
        <v>9.1518452380952375</v>
      </c>
      <c r="DT27" s="681">
        <v>20.361309523809524</v>
      </c>
      <c r="DU27" s="772">
        <v>18.317916666666665</v>
      </c>
      <c r="DW27" s="679">
        <v>16</v>
      </c>
      <c r="DX27" s="680">
        <v>0.67966071428571428</v>
      </c>
      <c r="DY27" s="680">
        <v>1.2563095238095239</v>
      </c>
      <c r="DZ27" s="681">
        <v>1.4025178571428571</v>
      </c>
      <c r="EA27" s="772">
        <v>1.4603809523809523</v>
      </c>
      <c r="EC27" s="679">
        <v>16</v>
      </c>
      <c r="ED27" s="680">
        <v>1.94</v>
      </c>
      <c r="EE27" s="680"/>
      <c r="EF27" s="681">
        <v>10.51043515151515</v>
      </c>
      <c r="EG27" s="772">
        <v>2.8239285714285716</v>
      </c>
      <c r="EI27" s="679">
        <v>16</v>
      </c>
      <c r="EJ27" s="680">
        <v>2.2170000000000001</v>
      </c>
      <c r="EK27" s="680">
        <v>0.19800000000000001</v>
      </c>
      <c r="EL27" s="681">
        <v>0.9868042857142858</v>
      </c>
      <c r="EM27" s="772">
        <v>1.0272857142857141</v>
      </c>
      <c r="EO27" s="679">
        <v>16</v>
      </c>
      <c r="EP27" s="680">
        <v>10.167032857142857</v>
      </c>
      <c r="EQ27" s="680">
        <v>5.9495714285714296</v>
      </c>
      <c r="ER27" s="681">
        <v>19.662285714285712</v>
      </c>
      <c r="ES27" s="772">
        <v>18.975285714285715</v>
      </c>
      <c r="EU27" s="679">
        <v>16</v>
      </c>
      <c r="EV27" s="680">
        <v>3.1428571428571428</v>
      </c>
      <c r="EW27" s="680">
        <v>0.25</v>
      </c>
      <c r="EX27" s="681">
        <v>0.25</v>
      </c>
      <c r="EY27" s="682">
        <v>0.25</v>
      </c>
    </row>
    <row r="28" spans="13:155">
      <c r="M28" s="679">
        <v>17</v>
      </c>
      <c r="N28" s="680">
        <v>75.570596904761899</v>
      </c>
      <c r="O28" s="680">
        <v>86.893008214285715</v>
      </c>
      <c r="P28" s="681">
        <v>104.88934267857142</v>
      </c>
      <c r="Q28" s="682">
        <v>118.39869577380952</v>
      </c>
      <c r="S28" s="679">
        <v>17</v>
      </c>
      <c r="T28" s="680">
        <v>1.2910714285714286</v>
      </c>
      <c r="U28" s="680">
        <v>3.4351190476190476</v>
      </c>
      <c r="V28" s="681">
        <v>4.5672619047619047</v>
      </c>
      <c r="W28" s="682">
        <v>3.1696428571428577</v>
      </c>
      <c r="Y28" s="679">
        <v>17</v>
      </c>
      <c r="Z28" s="680">
        <v>41.996172857142859</v>
      </c>
      <c r="AA28" s="680">
        <v>40.558080416666662</v>
      </c>
      <c r="AB28" s="681">
        <v>46.540500394736839</v>
      </c>
      <c r="AC28" s="236">
        <v>29.461481481481481</v>
      </c>
      <c r="AD28" s="237"/>
      <c r="AE28" s="679">
        <v>17</v>
      </c>
      <c r="AF28" s="680">
        <v>43.193337797619051</v>
      </c>
      <c r="AG28" s="680">
        <v>28.112008273809522</v>
      </c>
      <c r="AH28" s="681">
        <v>38.795942619047622</v>
      </c>
      <c r="AI28" s="236">
        <v>57.720653988095236</v>
      </c>
      <c r="AK28" s="679">
        <v>17</v>
      </c>
      <c r="AL28" s="680">
        <v>67.81218452380952</v>
      </c>
      <c r="AM28" s="680">
        <v>104.17830952380953</v>
      </c>
      <c r="AN28" s="681">
        <v>89.129458333333332</v>
      </c>
      <c r="AO28" s="682">
        <v>181.37935714285715</v>
      </c>
      <c r="AQ28" s="679">
        <v>17</v>
      </c>
      <c r="AR28" s="680">
        <v>68.480440476190481</v>
      </c>
      <c r="AS28" s="680">
        <v>111.59986904761905</v>
      </c>
      <c r="AT28" s="681">
        <v>45.043803571428576</v>
      </c>
      <c r="AU28" s="682">
        <v>131.15575595238096</v>
      </c>
      <c r="AW28" s="679">
        <v>17</v>
      </c>
      <c r="AX28" s="680">
        <v>1.6890000000000001</v>
      </c>
      <c r="AY28" s="680">
        <v>1.635</v>
      </c>
      <c r="AZ28" s="681">
        <v>2.1997142857142857</v>
      </c>
      <c r="BA28" s="682">
        <v>1.6194285714285714</v>
      </c>
      <c r="BC28" s="679">
        <v>17</v>
      </c>
      <c r="BD28" s="680">
        <v>14.522619047619047</v>
      </c>
      <c r="BE28" s="680">
        <v>15.535714285714286</v>
      </c>
      <c r="BF28" s="681">
        <v>20.523017619047621</v>
      </c>
      <c r="BG28" s="682">
        <v>19.067261428571431</v>
      </c>
      <c r="BI28" s="679">
        <v>17</v>
      </c>
      <c r="BJ28" s="680">
        <v>66.11904761904762</v>
      </c>
      <c r="BK28" s="680">
        <v>55.785714285714285</v>
      </c>
      <c r="BL28" s="681">
        <v>65.61904761904762</v>
      </c>
      <c r="BM28" s="682">
        <v>106.19642857142856</v>
      </c>
      <c r="BO28" s="679">
        <v>17</v>
      </c>
      <c r="BP28" s="680">
        <v>19.585119047619049</v>
      </c>
      <c r="BQ28" s="680">
        <v>13.676785714285716</v>
      </c>
      <c r="BR28" s="681">
        <v>16.553571428571431</v>
      </c>
      <c r="BS28" s="682">
        <v>22.351785714285715</v>
      </c>
      <c r="BU28" s="679">
        <v>17</v>
      </c>
      <c r="BV28" s="680">
        <v>17.891964285714288</v>
      </c>
      <c r="BW28" s="680">
        <v>19.712261904761903</v>
      </c>
      <c r="BX28" s="681">
        <v>24.515119047619049</v>
      </c>
      <c r="BY28" s="682">
        <v>27.989761904761902</v>
      </c>
      <c r="CA28" s="679">
        <v>17</v>
      </c>
      <c r="CB28" s="680">
        <v>187.03745428571429</v>
      </c>
      <c r="CC28" s="680">
        <v>124.72951</v>
      </c>
      <c r="CD28" s="681">
        <v>213.51329428571427</v>
      </c>
      <c r="CE28" s="682">
        <v>309.19820571428568</v>
      </c>
      <c r="CG28" s="679">
        <v>17</v>
      </c>
      <c r="CH28" s="680">
        <v>98.390357142857141</v>
      </c>
      <c r="CI28" s="680">
        <v>65.57083333333334</v>
      </c>
      <c r="CJ28" s="681">
        <v>137.52196428571429</v>
      </c>
      <c r="CK28" s="682">
        <v>111.23160714285714</v>
      </c>
      <c r="CM28" s="679">
        <v>17</v>
      </c>
      <c r="CN28" s="680">
        <v>72.613279761904764</v>
      </c>
      <c r="CO28" s="680">
        <v>87.714916666666653</v>
      </c>
      <c r="CP28" s="681">
        <v>109.92815833333333</v>
      </c>
      <c r="CQ28" s="682">
        <v>163.70576190476189</v>
      </c>
      <c r="CS28" s="679">
        <v>17</v>
      </c>
      <c r="CT28" s="680">
        <v>39.56547619047619</v>
      </c>
      <c r="CU28" s="680">
        <v>36.413095238095238</v>
      </c>
      <c r="CV28" s="681">
        <v>58.227380952380955</v>
      </c>
      <c r="CW28" s="682">
        <v>68.30952380952381</v>
      </c>
      <c r="CY28" s="679">
        <v>17</v>
      </c>
      <c r="CZ28" s="680">
        <v>0</v>
      </c>
      <c r="DA28" s="680">
        <v>0</v>
      </c>
      <c r="DB28" s="681">
        <v>0</v>
      </c>
      <c r="DC28" s="682">
        <v>0</v>
      </c>
      <c r="DD28" s="675">
        <v>0.308</v>
      </c>
      <c r="DE28" s="679"/>
      <c r="DF28" s="679">
        <v>17</v>
      </c>
      <c r="DG28" s="680">
        <v>0</v>
      </c>
      <c r="DH28" s="681">
        <v>0</v>
      </c>
      <c r="DI28" s="682">
        <v>0</v>
      </c>
      <c r="DJ28" s="675">
        <v>0</v>
      </c>
      <c r="DK28" s="679">
        <v>17</v>
      </c>
      <c r="DL28" s="680">
        <v>2.1800000000000002</v>
      </c>
      <c r="DM28" s="680">
        <v>0.80700000000000005</v>
      </c>
      <c r="DN28" s="681">
        <v>1.8355714285714286</v>
      </c>
      <c r="DO28" s="772">
        <v>0.63</v>
      </c>
      <c r="DQ28" s="679">
        <v>17</v>
      </c>
      <c r="DR28" s="680">
        <v>12.944107142857144</v>
      </c>
      <c r="DS28" s="680">
        <v>9.4439285714285717</v>
      </c>
      <c r="DT28" s="681">
        <v>12.997958333333333</v>
      </c>
      <c r="DU28" s="772">
        <v>14.359047619047619</v>
      </c>
      <c r="DW28" s="679">
        <v>17</v>
      </c>
      <c r="DX28" s="680">
        <v>1.4606011904761906</v>
      </c>
      <c r="DY28" s="680">
        <v>1.2972976190476191</v>
      </c>
      <c r="DZ28" s="681">
        <v>1.4080833333333336</v>
      </c>
      <c r="EA28" s="772">
        <v>1.465672619047619</v>
      </c>
      <c r="EC28" s="679">
        <v>17</v>
      </c>
      <c r="ED28" s="680">
        <v>4.6387499999999999</v>
      </c>
      <c r="EE28" s="680">
        <v>0.7</v>
      </c>
      <c r="EF28" s="681">
        <v>5.1834006896551728</v>
      </c>
      <c r="EG28" s="772">
        <v>6.4777976190476192</v>
      </c>
      <c r="EI28" s="679">
        <v>17</v>
      </c>
      <c r="EJ28" s="680">
        <v>0.68400000000000005</v>
      </c>
      <c r="EK28" s="680">
        <v>0.19800000000000001</v>
      </c>
      <c r="EL28" s="681">
        <v>0.61909000000000003</v>
      </c>
      <c r="EM28" s="772">
        <v>1.113</v>
      </c>
      <c r="EO28" s="679">
        <v>17</v>
      </c>
      <c r="EP28" s="680">
        <v>4.9692857142857143</v>
      </c>
      <c r="EQ28" s="680">
        <v>3.2694285714285716</v>
      </c>
      <c r="ER28" s="681">
        <v>14.487468571428572</v>
      </c>
      <c r="ES28" s="772">
        <v>16.252328571428571</v>
      </c>
      <c r="EU28" s="679">
        <v>17</v>
      </c>
      <c r="EV28" s="680">
        <v>2.3571428571428572</v>
      </c>
      <c r="EW28" s="680">
        <v>0.25</v>
      </c>
      <c r="EX28" s="681">
        <v>0.25</v>
      </c>
      <c r="EY28" s="682">
        <v>0.25</v>
      </c>
    </row>
    <row r="29" spans="13:155">
      <c r="M29" s="679">
        <v>18</v>
      </c>
      <c r="N29" s="680">
        <v>72.999183690476187</v>
      </c>
      <c r="O29" s="680">
        <v>49.564035952380955</v>
      </c>
      <c r="P29" s="681">
        <v>79.955654642857141</v>
      </c>
      <c r="Q29" s="682">
        <v>71.355581428571426</v>
      </c>
      <c r="S29" s="679">
        <v>18</v>
      </c>
      <c r="T29" s="680">
        <v>2</v>
      </c>
      <c r="U29" s="680">
        <v>5.4470238095238104</v>
      </c>
      <c r="V29" s="681">
        <v>1.2428571428571429</v>
      </c>
      <c r="W29" s="682">
        <v>7.9678571428571425</v>
      </c>
      <c r="Y29" s="679">
        <v>18</v>
      </c>
      <c r="Z29" s="680">
        <v>33.278795000000002</v>
      </c>
      <c r="AA29" s="680">
        <v>33.507360499999997</v>
      </c>
      <c r="AB29" s="681">
        <v>39.881361630434782</v>
      </c>
      <c r="AC29" s="682">
        <v>39.092439759036147</v>
      </c>
      <c r="AE29" s="679">
        <v>18</v>
      </c>
      <c r="AF29" s="680">
        <v>35.822160773809522</v>
      </c>
      <c r="AG29" s="680">
        <v>23.947632678571427</v>
      </c>
      <c r="AH29" s="681">
        <v>33.113037619047617</v>
      </c>
      <c r="AI29" s="682">
        <v>57.091101488095241</v>
      </c>
      <c r="AK29" s="679">
        <v>18</v>
      </c>
      <c r="AL29" s="680">
        <v>58.212613095238098</v>
      </c>
      <c r="AM29" s="680">
        <v>64.587315476190469</v>
      </c>
      <c r="AN29" s="681">
        <v>76.267738095238087</v>
      </c>
      <c r="AO29" s="682">
        <v>169.79479761904761</v>
      </c>
      <c r="AQ29" s="679">
        <v>18</v>
      </c>
      <c r="AR29" s="680">
        <v>55.016589285714282</v>
      </c>
      <c r="AS29" s="680">
        <v>80.359458333333322</v>
      </c>
      <c r="AT29" s="681">
        <v>68.592238095238088</v>
      </c>
      <c r="AU29" s="682">
        <v>164.35723809523807</v>
      </c>
      <c r="AW29" s="679">
        <v>18</v>
      </c>
      <c r="AX29" s="680">
        <v>1.5081547619047619</v>
      </c>
      <c r="AY29" s="680">
        <v>1.6892857142857143</v>
      </c>
      <c r="AZ29" s="681">
        <v>2.0242857142857145</v>
      </c>
      <c r="BA29" s="682">
        <v>1.3904285714285716</v>
      </c>
      <c r="BC29" s="679">
        <v>18</v>
      </c>
      <c r="BD29" s="680">
        <v>13.780952380952382</v>
      </c>
      <c r="BE29" s="680">
        <v>14.443452380952381</v>
      </c>
      <c r="BF29" s="681">
        <v>16.404165714285714</v>
      </c>
      <c r="BG29" s="682">
        <v>23.271687619047619</v>
      </c>
      <c r="BI29" s="679">
        <v>18</v>
      </c>
      <c r="BJ29" s="680">
        <v>55.178571428571431</v>
      </c>
      <c r="BK29" s="680">
        <v>45.077380952380956</v>
      </c>
      <c r="BL29" s="681">
        <v>57.458333333333336</v>
      </c>
      <c r="BM29" s="682">
        <v>94.00595238095238</v>
      </c>
      <c r="BO29" s="679">
        <v>18</v>
      </c>
      <c r="BP29" s="680">
        <v>17.828571428571429</v>
      </c>
      <c r="BQ29" s="680">
        <v>11.102976190476191</v>
      </c>
      <c r="BR29" s="681">
        <v>14.15952380952381</v>
      </c>
      <c r="BS29" s="682">
        <v>22.760714285714283</v>
      </c>
      <c r="BU29" s="679">
        <v>18</v>
      </c>
      <c r="BV29" s="680">
        <v>16.581488095238097</v>
      </c>
      <c r="BW29" s="680">
        <v>14.74017857142857</v>
      </c>
      <c r="BX29" s="681">
        <v>19.511369047619048</v>
      </c>
      <c r="BY29" s="682">
        <v>21.338511904761905</v>
      </c>
      <c r="CA29" s="679">
        <v>18</v>
      </c>
      <c r="CB29" s="680">
        <v>152.06798428571429</v>
      </c>
      <c r="CC29" s="680">
        <v>103.07083142857144</v>
      </c>
      <c r="CD29" s="681">
        <v>179.03296428571426</v>
      </c>
      <c r="CE29" s="682">
        <v>372.92649999999998</v>
      </c>
      <c r="CG29" s="679">
        <v>18</v>
      </c>
      <c r="CH29" s="680">
        <v>73.368809523809517</v>
      </c>
      <c r="CI29" s="680">
        <v>54.774523809523799</v>
      </c>
      <c r="CJ29" s="681">
        <v>96.332678571428559</v>
      </c>
      <c r="CK29" s="682">
        <v>104.2897619047619</v>
      </c>
      <c r="CM29" s="679">
        <v>18</v>
      </c>
      <c r="CN29" s="680">
        <v>70.407375000000002</v>
      </c>
      <c r="CO29" s="680">
        <v>60.747029761904763</v>
      </c>
      <c r="CP29" s="681">
        <v>88.799696547619035</v>
      </c>
      <c r="CQ29" s="682">
        <v>184.32314880952379</v>
      </c>
      <c r="CS29" s="679">
        <v>18</v>
      </c>
      <c r="CT29" s="680">
        <v>33.113095238095241</v>
      </c>
      <c r="CU29" s="680">
        <v>26.639285714285712</v>
      </c>
      <c r="CV29" s="681">
        <v>46.49404761904762</v>
      </c>
      <c r="CW29" s="682">
        <v>86.354166666666657</v>
      </c>
      <c r="CY29" s="679">
        <v>18</v>
      </c>
      <c r="CZ29" s="680">
        <v>0</v>
      </c>
      <c r="DA29" s="680">
        <v>0</v>
      </c>
      <c r="DB29" s="681">
        <v>0</v>
      </c>
      <c r="DC29" s="682">
        <v>0</v>
      </c>
      <c r="DD29" s="675">
        <v>0.308</v>
      </c>
      <c r="DE29" s="679"/>
      <c r="DF29" s="679">
        <v>18</v>
      </c>
      <c r="DG29" s="680">
        <v>0</v>
      </c>
      <c r="DH29" s="681">
        <v>0</v>
      </c>
      <c r="DI29" s="682">
        <v>0</v>
      </c>
      <c r="DJ29" s="675">
        <v>0</v>
      </c>
      <c r="DK29" s="679">
        <v>18</v>
      </c>
      <c r="DL29" s="680">
        <v>2.1878571428571432</v>
      </c>
      <c r="DM29" s="680">
        <v>0.80700000000000005</v>
      </c>
      <c r="DN29" s="681">
        <v>1.407</v>
      </c>
      <c r="DO29" s="772">
        <v>0.63</v>
      </c>
      <c r="DQ29" s="679">
        <v>18</v>
      </c>
      <c r="DR29" s="680">
        <v>12.146488095238094</v>
      </c>
      <c r="DS29" s="680">
        <v>9.9751785714285699</v>
      </c>
      <c r="DT29" s="681">
        <v>9.9180654761904758</v>
      </c>
      <c r="DU29" s="772">
        <v>11.589940476190478</v>
      </c>
      <c r="DW29" s="679">
        <v>18</v>
      </c>
      <c r="DX29" s="680">
        <v>1.4158571428571429</v>
      </c>
      <c r="DY29" s="680">
        <v>1.2293928571428572</v>
      </c>
      <c r="DZ29" s="681">
        <v>1.3373035714285715</v>
      </c>
      <c r="EA29" s="772">
        <v>1.4477380952380954</v>
      </c>
      <c r="EC29" s="679">
        <v>18</v>
      </c>
      <c r="ED29" s="680">
        <v>0.66</v>
      </c>
      <c r="EE29" s="680">
        <v>0.22222222222222221</v>
      </c>
      <c r="EF29" s="681">
        <v>3.2066206896551726</v>
      </c>
      <c r="EG29" s="772">
        <v>9.3085960689655174</v>
      </c>
      <c r="EI29" s="679">
        <v>18</v>
      </c>
      <c r="EJ29" s="680">
        <v>0.68400000000000005</v>
      </c>
      <c r="EK29" s="680">
        <v>0.19800000000000001</v>
      </c>
      <c r="EL29" s="681">
        <v>0.61909000000000003</v>
      </c>
      <c r="EM29" s="772">
        <v>1.0701428571428573</v>
      </c>
      <c r="EO29" s="679">
        <v>18</v>
      </c>
      <c r="EP29" s="680">
        <v>6.0117128571428573</v>
      </c>
      <c r="EQ29" s="680">
        <v>5.1349728571428574</v>
      </c>
      <c r="ER29" s="681">
        <v>10.036137142857143</v>
      </c>
      <c r="ES29" s="772">
        <v>22.20514285714286</v>
      </c>
      <c r="EU29" s="679">
        <v>18</v>
      </c>
      <c r="EV29" s="680">
        <v>0.25</v>
      </c>
      <c r="EW29" s="680">
        <v>0.25</v>
      </c>
      <c r="EX29" s="681">
        <v>0.25</v>
      </c>
      <c r="EY29" s="682">
        <v>0.25</v>
      </c>
    </row>
    <row r="30" spans="13:155">
      <c r="M30" s="679">
        <v>19</v>
      </c>
      <c r="N30" s="680">
        <v>53.890170952380949</v>
      </c>
      <c r="O30" s="680">
        <v>114.63503857142857</v>
      </c>
      <c r="P30" s="681">
        <v>104.76913678571428</v>
      </c>
      <c r="Q30" s="682">
        <v>76.507040059523803</v>
      </c>
      <c r="S30" s="679">
        <v>19</v>
      </c>
      <c r="T30" s="680">
        <v>2</v>
      </c>
      <c r="U30" s="680">
        <v>2.5779761904761904</v>
      </c>
      <c r="V30" s="681">
        <v>0.92678571428571432</v>
      </c>
      <c r="W30" s="682">
        <v>4.2684523809523807</v>
      </c>
      <c r="Y30" s="679">
        <v>19</v>
      </c>
      <c r="Z30" s="680">
        <v>28.357924000000001</v>
      </c>
      <c r="AA30" s="680">
        <v>32.68122588235294</v>
      </c>
      <c r="AB30" s="681">
        <v>37.760945842696628</v>
      </c>
      <c r="AC30" s="682">
        <v>31.427035928143713</v>
      </c>
      <c r="AE30" s="679">
        <v>19</v>
      </c>
      <c r="AF30" s="680">
        <v>36.694171726190476</v>
      </c>
      <c r="AG30" s="680">
        <v>84.507175892857148</v>
      </c>
      <c r="AH30" s="681">
        <v>32.575099166666668</v>
      </c>
      <c r="AI30" s="682">
        <v>52.04328410714286</v>
      </c>
      <c r="AK30" s="679">
        <v>19</v>
      </c>
      <c r="AL30" s="680">
        <v>54.88247619047619</v>
      </c>
      <c r="AM30" s="680">
        <v>69.162404761904753</v>
      </c>
      <c r="AN30" s="681">
        <v>71.59408928571429</v>
      </c>
      <c r="AO30" s="682">
        <v>85.287940476190471</v>
      </c>
      <c r="AQ30" s="679">
        <v>19</v>
      </c>
      <c r="AR30" s="680">
        <v>63.114898809523808</v>
      </c>
      <c r="AS30" s="680">
        <v>45.066910714285719</v>
      </c>
      <c r="AT30" s="681">
        <v>44.320083333333336</v>
      </c>
      <c r="AU30" s="682">
        <v>58.39575</v>
      </c>
      <c r="AW30" s="679">
        <v>19</v>
      </c>
      <c r="AX30" s="680">
        <v>1.5408571428571429</v>
      </c>
      <c r="AY30" s="680">
        <v>1.6611428571428573</v>
      </c>
      <c r="AZ30" s="681">
        <v>1.9041428571428574</v>
      </c>
      <c r="BA30" s="682">
        <v>1.6111428571428572</v>
      </c>
      <c r="BC30" s="679">
        <v>19</v>
      </c>
      <c r="BD30" s="680">
        <v>12.896428571428572</v>
      </c>
      <c r="BE30" s="680">
        <v>14.310714285714285</v>
      </c>
      <c r="BF30" s="681">
        <v>15.681549047619047</v>
      </c>
      <c r="BG30" s="682">
        <v>16.73065714285714</v>
      </c>
      <c r="BI30" s="679">
        <v>19</v>
      </c>
      <c r="BJ30" s="680">
        <v>59.773809523809526</v>
      </c>
      <c r="BK30" s="680">
        <v>143.95238095238093</v>
      </c>
      <c r="BL30" s="681">
        <v>56.827380952380949</v>
      </c>
      <c r="BM30" s="682">
        <v>85.738095238095241</v>
      </c>
      <c r="BO30" s="679">
        <v>19</v>
      </c>
      <c r="BP30" s="680">
        <v>15.455357142857144</v>
      </c>
      <c r="BQ30" s="680">
        <v>28.217261904761902</v>
      </c>
      <c r="BR30" s="681">
        <v>13.892857142857144</v>
      </c>
      <c r="BS30" s="682">
        <v>22.682738095238093</v>
      </c>
      <c r="BU30" s="679">
        <v>19</v>
      </c>
      <c r="BV30" s="680">
        <v>14.322857142857142</v>
      </c>
      <c r="BW30" s="680">
        <v>19.123690476190475</v>
      </c>
      <c r="BX30" s="681">
        <v>18.293869047619047</v>
      </c>
      <c r="BY30" s="682">
        <v>21.387976190476188</v>
      </c>
      <c r="CA30" s="679">
        <v>19</v>
      </c>
      <c r="CB30" s="680">
        <v>128.29431714285715</v>
      </c>
      <c r="CC30" s="680">
        <v>116.87831</v>
      </c>
      <c r="CD30" s="681">
        <v>175.37490142857143</v>
      </c>
      <c r="CE30" s="682">
        <v>214.43473285714285</v>
      </c>
      <c r="CG30" s="679">
        <v>19</v>
      </c>
      <c r="CH30" s="680">
        <v>69.379761904761907</v>
      </c>
      <c r="CI30" s="680">
        <v>99.050357142857123</v>
      </c>
      <c r="CJ30" s="681">
        <v>96.053988095238097</v>
      </c>
      <c r="CK30" s="682">
        <v>90.11565476190475</v>
      </c>
      <c r="CM30" s="679">
        <v>19</v>
      </c>
      <c r="CN30" s="680">
        <v>64.457660714285709</v>
      </c>
      <c r="CO30" s="680">
        <v>125.13584011904761</v>
      </c>
      <c r="CP30" s="681">
        <v>117.70054428571427</v>
      </c>
      <c r="CQ30" s="682">
        <v>135.77326785714286</v>
      </c>
      <c r="CS30" s="679">
        <v>19</v>
      </c>
      <c r="CT30" s="680">
        <v>28.604166666666668</v>
      </c>
      <c r="CU30" s="680">
        <v>24.462499999999999</v>
      </c>
      <c r="CV30" s="681">
        <v>36.888095238095239</v>
      </c>
      <c r="CW30" s="682">
        <v>54.758333333333326</v>
      </c>
      <c r="CY30" s="679">
        <v>19</v>
      </c>
      <c r="CZ30" s="680">
        <v>0</v>
      </c>
      <c r="DA30" s="680">
        <v>0</v>
      </c>
      <c r="DB30" s="681">
        <v>0</v>
      </c>
      <c r="DC30" s="682">
        <v>0</v>
      </c>
      <c r="DD30" s="675">
        <v>0.308</v>
      </c>
      <c r="DE30" s="679"/>
      <c r="DF30" s="679">
        <v>19</v>
      </c>
      <c r="DG30" s="680">
        <v>0</v>
      </c>
      <c r="DH30" s="681">
        <v>0</v>
      </c>
      <c r="DI30" s="682">
        <v>0</v>
      </c>
      <c r="DJ30" s="675">
        <v>0</v>
      </c>
      <c r="DK30" s="679">
        <v>19</v>
      </c>
      <c r="DL30" s="680">
        <v>2.5449999999999999</v>
      </c>
      <c r="DM30" s="680">
        <v>0.80700000000000005</v>
      </c>
      <c r="DN30" s="681">
        <v>0.89271428571428568</v>
      </c>
      <c r="DO30" s="772">
        <v>0.78714285714285714</v>
      </c>
      <c r="DQ30" s="679">
        <v>19</v>
      </c>
      <c r="DR30" s="680">
        <v>11.972083333333332</v>
      </c>
      <c r="DS30" s="680">
        <v>10.429345238095237</v>
      </c>
      <c r="DT30" s="681">
        <v>11.172154761904762</v>
      </c>
      <c r="DU30" s="772">
        <v>13.643273809523809</v>
      </c>
      <c r="DW30" s="679">
        <v>19</v>
      </c>
      <c r="DX30" s="680">
        <v>1.5395297619047619</v>
      </c>
      <c r="DY30" s="680">
        <v>1.2996726190476189</v>
      </c>
      <c r="DZ30" s="681">
        <v>1.2195952380952382</v>
      </c>
      <c r="EA30" s="772">
        <v>1.4427559523809526</v>
      </c>
      <c r="EC30" s="679">
        <v>19</v>
      </c>
      <c r="ED30" s="680">
        <v>1.0375000000000001</v>
      </c>
      <c r="EE30" s="680">
        <v>3.1160000000000001</v>
      </c>
      <c r="EF30" s="681">
        <v>2.9658409570724844</v>
      </c>
      <c r="EG30" s="772">
        <v>5.7902976190476192</v>
      </c>
      <c r="EI30" s="679">
        <v>19</v>
      </c>
      <c r="EJ30" s="680">
        <v>0.4582857142857143</v>
      </c>
      <c r="EK30" s="680">
        <v>0.19800000000000001</v>
      </c>
      <c r="EL30" s="681">
        <v>0.61909000000000003</v>
      </c>
      <c r="EM30" s="772">
        <v>0.81299999999999994</v>
      </c>
      <c r="EO30" s="679">
        <v>19</v>
      </c>
      <c r="EP30" s="680">
        <v>5.3956485714285725</v>
      </c>
      <c r="EQ30" s="680">
        <v>3.4321971428571429</v>
      </c>
      <c r="ER30" s="681">
        <v>11.370142857142858</v>
      </c>
      <c r="ES30" s="772">
        <v>21.034857142857145</v>
      </c>
      <c r="EU30" s="679">
        <v>19</v>
      </c>
      <c r="EV30" s="680">
        <v>0.25</v>
      </c>
      <c r="EW30" s="680">
        <v>0.25</v>
      </c>
      <c r="EX30" s="681">
        <v>0.25</v>
      </c>
      <c r="EY30" s="682">
        <v>0.25</v>
      </c>
    </row>
    <row r="31" spans="13:155">
      <c r="M31" s="679">
        <v>20</v>
      </c>
      <c r="N31" s="680">
        <v>86.558922142857142</v>
      </c>
      <c r="O31" s="680">
        <v>112.78697410714285</v>
      </c>
      <c r="P31" s="681">
        <v>72.762879464285717</v>
      </c>
      <c r="Q31" s="682">
        <v>78.651431666666667</v>
      </c>
      <c r="S31" s="679">
        <v>20</v>
      </c>
      <c r="T31" s="680">
        <v>2.0285714285714285</v>
      </c>
      <c r="U31" s="680">
        <v>0.9</v>
      </c>
      <c r="V31" s="681">
        <v>0.97142857142857153</v>
      </c>
      <c r="W31" s="682">
        <v>2.7982142857142858</v>
      </c>
      <c r="Y31" s="679">
        <v>20</v>
      </c>
      <c r="Z31" s="680">
        <v>29.051598333333335</v>
      </c>
      <c r="AA31" s="680">
        <v>29.6009232</v>
      </c>
      <c r="AB31" s="681">
        <v>28.6094015942029</v>
      </c>
      <c r="AC31" s="682">
        <v>27.213303614457832</v>
      </c>
      <c r="AE31" s="679">
        <v>20</v>
      </c>
      <c r="AF31" s="680">
        <v>43.645573452380951</v>
      </c>
      <c r="AG31" s="680">
        <v>38.052261547619047</v>
      </c>
      <c r="AH31" s="681">
        <v>28.741733690476192</v>
      </c>
      <c r="AI31" s="682">
        <v>38.457882976190476</v>
      </c>
      <c r="AK31" s="679">
        <v>20</v>
      </c>
      <c r="AL31" s="680">
        <v>62.818214285714284</v>
      </c>
      <c r="AM31" s="680">
        <v>53.960279761904758</v>
      </c>
      <c r="AN31" s="681">
        <v>67.68320238095238</v>
      </c>
      <c r="AO31" s="682">
        <v>65.997791666666672</v>
      </c>
      <c r="AQ31" s="679">
        <v>20</v>
      </c>
      <c r="AR31" s="680">
        <v>74.948547619047616</v>
      </c>
      <c r="AS31" s="680">
        <v>32.585035714285709</v>
      </c>
      <c r="AT31" s="681">
        <v>38.860267857142858</v>
      </c>
      <c r="AU31" s="682">
        <v>45.982577380952378</v>
      </c>
      <c r="AW31" s="679">
        <v>20</v>
      </c>
      <c r="AX31" s="680">
        <v>1.2637857142857143</v>
      </c>
      <c r="AY31" s="680">
        <v>1.8321428571428573</v>
      </c>
      <c r="AZ31" s="681">
        <v>1.7001428571428572</v>
      </c>
      <c r="BA31" s="682">
        <v>1.5041428571428572</v>
      </c>
      <c r="BC31" s="679">
        <v>20</v>
      </c>
      <c r="BD31" s="680">
        <v>12.223214285714285</v>
      </c>
      <c r="BE31" s="680">
        <v>13.001190476190477</v>
      </c>
      <c r="BF31" s="681">
        <v>20.557144285714287</v>
      </c>
      <c r="BG31" s="682">
        <v>14.867262857142856</v>
      </c>
      <c r="BI31" s="679">
        <v>20</v>
      </c>
      <c r="BJ31" s="680">
        <v>76.803571428571431</v>
      </c>
      <c r="BK31" s="680">
        <v>64.56547619047619</v>
      </c>
      <c r="BL31" s="681">
        <v>67.642857142857139</v>
      </c>
      <c r="BM31" s="682">
        <v>60.934523809523803</v>
      </c>
      <c r="BO31" s="679">
        <v>20</v>
      </c>
      <c r="BP31" s="680">
        <v>17.032738095238095</v>
      </c>
      <c r="BQ31" s="680">
        <v>16.260714285714286</v>
      </c>
      <c r="BR31" s="681">
        <v>16.419047619047618</v>
      </c>
      <c r="BS31" s="682">
        <v>15.272619047619049</v>
      </c>
      <c r="BU31" s="679">
        <v>20</v>
      </c>
      <c r="BV31" s="680">
        <v>12.91720238095238</v>
      </c>
      <c r="BW31" s="680">
        <v>15.378273809523808</v>
      </c>
      <c r="BX31" s="681">
        <v>16.110416666666666</v>
      </c>
      <c r="BY31" s="682">
        <v>18.509404761904761</v>
      </c>
      <c r="CA31" s="679">
        <v>20</v>
      </c>
      <c r="CB31" s="680">
        <v>131.36130285714285</v>
      </c>
      <c r="CC31" s="680">
        <v>108.38799857142857</v>
      </c>
      <c r="CD31" s="681">
        <v>138.26151142857142</v>
      </c>
      <c r="CE31" s="682">
        <v>157.41842357142855</v>
      </c>
      <c r="CG31" s="679">
        <v>20</v>
      </c>
      <c r="CH31" s="680">
        <v>63.204166666666659</v>
      </c>
      <c r="CI31" s="680">
        <v>79.092202380952372</v>
      </c>
      <c r="CJ31" s="681">
        <v>70.166785714285709</v>
      </c>
      <c r="CK31" s="682">
        <v>69.607857142857142</v>
      </c>
      <c r="CM31" s="679">
        <v>20</v>
      </c>
      <c r="CN31" s="680">
        <v>83.592386904761895</v>
      </c>
      <c r="CO31" s="680">
        <v>95.070145357142849</v>
      </c>
      <c r="CP31" s="681">
        <v>74.082229523809517</v>
      </c>
      <c r="CQ31" s="682">
        <v>104.29807738095238</v>
      </c>
      <c r="CS31" s="679">
        <v>20</v>
      </c>
      <c r="CT31" s="680">
        <v>25.039880952380951</v>
      </c>
      <c r="CU31" s="680">
        <v>21.894642857142856</v>
      </c>
      <c r="CV31" s="681">
        <v>30.465476190476192</v>
      </c>
      <c r="CW31" s="682">
        <v>39.25595238095238</v>
      </c>
      <c r="CY31" s="679">
        <v>20</v>
      </c>
      <c r="CZ31" s="680">
        <v>0</v>
      </c>
      <c r="DA31" s="680">
        <v>0</v>
      </c>
      <c r="DB31" s="681">
        <v>0</v>
      </c>
      <c r="DC31" s="682">
        <v>0</v>
      </c>
      <c r="DD31" s="675">
        <v>0.308</v>
      </c>
      <c r="DE31" s="679"/>
      <c r="DF31" s="679">
        <v>20</v>
      </c>
      <c r="DG31" s="680">
        <v>0</v>
      </c>
      <c r="DH31" s="681">
        <v>0</v>
      </c>
      <c r="DI31" s="682">
        <v>0</v>
      </c>
      <c r="DJ31" s="675">
        <v>0</v>
      </c>
      <c r="DK31" s="679">
        <v>20</v>
      </c>
      <c r="DL31" s="680">
        <v>2.4307142857142856</v>
      </c>
      <c r="DM31" s="680">
        <v>0.80700000000000005</v>
      </c>
      <c r="DN31" s="681">
        <v>1.2070000000000001</v>
      </c>
      <c r="DO31" s="772">
        <v>1.73</v>
      </c>
      <c r="DQ31" s="679">
        <v>20</v>
      </c>
      <c r="DR31" s="680">
        <v>12.04452380952381</v>
      </c>
      <c r="DS31" s="680">
        <v>10.446011904761903</v>
      </c>
      <c r="DT31" s="681">
        <v>11.224565476190477</v>
      </c>
      <c r="DU31" s="772">
        <v>12.553419404761904</v>
      </c>
      <c r="DW31" s="679">
        <v>20</v>
      </c>
      <c r="DX31" s="680">
        <v>1.5277202380952382</v>
      </c>
      <c r="DY31" s="680">
        <v>1.2670178571428572</v>
      </c>
      <c r="DZ31" s="681">
        <v>1.2352023809523809</v>
      </c>
      <c r="EA31" s="772">
        <v>1.455845238095238</v>
      </c>
      <c r="EC31" s="679">
        <v>20</v>
      </c>
      <c r="ED31" s="680">
        <v>4.4355555555555561</v>
      </c>
      <c r="EE31" s="680">
        <v>2.0859999999999999</v>
      </c>
      <c r="EF31" s="681">
        <v>2.1623809523809525</v>
      </c>
      <c r="EG31" s="772">
        <v>4.2933333333333339</v>
      </c>
      <c r="EI31" s="679">
        <v>20</v>
      </c>
      <c r="EJ31" s="680">
        <v>0.433</v>
      </c>
      <c r="EK31" s="680">
        <v>0.19800000000000001</v>
      </c>
      <c r="EL31" s="681">
        <v>0.63909000000000005</v>
      </c>
      <c r="EM31" s="772">
        <v>1.381</v>
      </c>
      <c r="EO31" s="679">
        <v>20</v>
      </c>
      <c r="EP31" s="680">
        <v>5.3015400000000001</v>
      </c>
      <c r="EQ31" s="680">
        <v>3.7348571428571429</v>
      </c>
      <c r="ER31" s="681">
        <v>10.698</v>
      </c>
      <c r="ES31" s="772">
        <v>15.413857142857141</v>
      </c>
      <c r="EU31" s="679">
        <v>20</v>
      </c>
      <c r="EV31" s="680">
        <v>0.25</v>
      </c>
      <c r="EW31" s="680">
        <v>0.25</v>
      </c>
      <c r="EX31" s="681">
        <v>0.25</v>
      </c>
      <c r="EY31" s="682">
        <v>0.25</v>
      </c>
    </row>
    <row r="32" spans="13:155">
      <c r="M32" s="679">
        <v>21</v>
      </c>
      <c r="N32" s="680">
        <v>57.373282261904762</v>
      </c>
      <c r="O32" s="680">
        <v>54.904978154761906</v>
      </c>
      <c r="P32" s="681">
        <v>66.251436726190477</v>
      </c>
      <c r="Q32" s="682">
        <v>81.442650595238078</v>
      </c>
      <c r="S32" s="679">
        <v>21</v>
      </c>
      <c r="T32" s="680">
        <v>1.6369047619047621</v>
      </c>
      <c r="U32" s="680">
        <v>1.0571428571428572</v>
      </c>
      <c r="V32" s="681">
        <v>1.5</v>
      </c>
      <c r="W32" s="682">
        <v>2.5482142857142858</v>
      </c>
      <c r="Y32" s="679">
        <v>21</v>
      </c>
      <c r="Z32" s="680">
        <v>24.45731692307692</v>
      </c>
      <c r="AA32" s="680">
        <v>27.48045950819672</v>
      </c>
      <c r="AB32" s="681">
        <v>31.647108205128205</v>
      </c>
      <c r="AC32" s="682">
        <v>26.100158598726114</v>
      </c>
      <c r="AE32" s="679">
        <v>21</v>
      </c>
      <c r="AF32" s="680">
        <v>32.587767916666664</v>
      </c>
      <c r="AG32" s="680">
        <v>23.744372500000001</v>
      </c>
      <c r="AH32" s="681">
        <v>28.092592380952379</v>
      </c>
      <c r="AI32" s="682">
        <v>34.851854285714282</v>
      </c>
      <c r="AK32" s="679">
        <v>21</v>
      </c>
      <c r="AL32" s="680">
        <v>52.363238095238096</v>
      </c>
      <c r="AM32" s="680">
        <v>44.110886904761905</v>
      </c>
      <c r="AN32" s="681">
        <v>64.83244047619047</v>
      </c>
      <c r="AO32" s="682">
        <v>55.290011904761904</v>
      </c>
      <c r="AQ32" s="679">
        <v>21</v>
      </c>
      <c r="AR32" s="680">
        <v>40.693113095238097</v>
      </c>
      <c r="AS32" s="680">
        <v>35.742226190476188</v>
      </c>
      <c r="AT32" s="681">
        <v>33.582321428571426</v>
      </c>
      <c r="AU32" s="682">
        <v>28.959404761904761</v>
      </c>
      <c r="AW32" s="679">
        <v>21</v>
      </c>
      <c r="AX32" s="680">
        <v>1.5594285714285714</v>
      </c>
      <c r="AY32" s="680">
        <v>1.5392857142857144</v>
      </c>
      <c r="AZ32" s="681">
        <v>1.6002083333333335</v>
      </c>
      <c r="BA32" s="682">
        <v>1.5042857142857142</v>
      </c>
      <c r="BC32" s="679">
        <v>21</v>
      </c>
      <c r="BD32" s="680">
        <v>10.884523809523809</v>
      </c>
      <c r="BE32" s="680">
        <v>11.638690476190478</v>
      </c>
      <c r="BF32" s="681">
        <v>14.432738095238095</v>
      </c>
      <c r="BG32" s="682">
        <v>14.141667142857143</v>
      </c>
      <c r="BI32" s="679">
        <v>21</v>
      </c>
      <c r="BJ32" s="680">
        <v>50.738095238095234</v>
      </c>
      <c r="BK32" s="680">
        <v>46.94047619047619</v>
      </c>
      <c r="BL32" s="681">
        <v>49.821428571428569</v>
      </c>
      <c r="BM32" s="682">
        <v>61.928571428571431</v>
      </c>
      <c r="BO32" s="679">
        <v>21</v>
      </c>
      <c r="BP32" s="680">
        <v>13.327976190476189</v>
      </c>
      <c r="BQ32" s="680">
        <v>12.206547619047619</v>
      </c>
      <c r="BR32" s="681">
        <v>12.235714285714286</v>
      </c>
      <c r="BS32" s="682">
        <v>14.341666666666667</v>
      </c>
      <c r="BU32" s="679">
        <v>21</v>
      </c>
      <c r="BV32" s="680">
        <v>11.34375</v>
      </c>
      <c r="BW32" s="680">
        <v>11.814404761904761</v>
      </c>
      <c r="BX32" s="681">
        <v>13.267202380952382</v>
      </c>
      <c r="BY32" s="682">
        <v>16.53422619047619</v>
      </c>
      <c r="CA32" s="679">
        <v>21</v>
      </c>
      <c r="CB32" s="680">
        <v>106.79830857142858</v>
      </c>
      <c r="CC32" s="680">
        <v>87.019814285714276</v>
      </c>
      <c r="CD32" s="681">
        <v>133.95570428571429</v>
      </c>
      <c r="CE32" s="682">
        <v>160.3487280952381</v>
      </c>
      <c r="CG32" s="679">
        <v>21</v>
      </c>
      <c r="CH32" s="680">
        <v>54.405000000000001</v>
      </c>
      <c r="CI32" s="680">
        <v>57.007976190476192</v>
      </c>
      <c r="CJ32" s="681">
        <v>62.821964285714287</v>
      </c>
      <c r="CK32" s="682">
        <v>66.521785714285713</v>
      </c>
      <c r="CM32" s="679">
        <v>21</v>
      </c>
      <c r="CN32" s="680">
        <v>58.528494047619041</v>
      </c>
      <c r="CO32" s="680">
        <v>59.180525595238095</v>
      </c>
      <c r="CP32" s="681">
        <v>66.072160714285715</v>
      </c>
      <c r="CQ32" s="682">
        <v>95.224011904761895</v>
      </c>
      <c r="CS32" s="679">
        <v>21</v>
      </c>
      <c r="CT32" s="680">
        <v>23.366071428571431</v>
      </c>
      <c r="CU32" s="680">
        <v>18.894047619047619</v>
      </c>
      <c r="CV32" s="681">
        <v>27.333333333333336</v>
      </c>
      <c r="CW32" s="682">
        <v>32.411904761904765</v>
      </c>
      <c r="CY32" s="679">
        <v>21</v>
      </c>
      <c r="CZ32" s="680">
        <v>0</v>
      </c>
      <c r="DA32" s="680">
        <v>0</v>
      </c>
      <c r="DB32" s="681">
        <v>0</v>
      </c>
      <c r="DC32" s="682">
        <v>0</v>
      </c>
      <c r="DD32" s="675">
        <v>0.308</v>
      </c>
      <c r="DE32" s="679"/>
      <c r="DF32" s="679">
        <v>21</v>
      </c>
      <c r="DG32" s="680">
        <v>0</v>
      </c>
      <c r="DH32" s="681">
        <v>0</v>
      </c>
      <c r="DI32" s="682">
        <v>0</v>
      </c>
      <c r="DJ32" s="675">
        <v>0</v>
      </c>
      <c r="DK32" s="679">
        <v>21</v>
      </c>
      <c r="DL32" s="680">
        <v>2.3592857142857144</v>
      </c>
      <c r="DM32" s="680">
        <v>0.80700000000000005</v>
      </c>
      <c r="DN32" s="681">
        <v>1.2070000000000001</v>
      </c>
      <c r="DO32" s="772">
        <v>1.73</v>
      </c>
      <c r="DQ32" s="679">
        <v>21</v>
      </c>
      <c r="DR32" s="680">
        <v>12.004821428571429</v>
      </c>
      <c r="DS32" s="680">
        <v>10.39517857142857</v>
      </c>
      <c r="DT32" s="681">
        <v>11.227851190476191</v>
      </c>
      <c r="DU32" s="772">
        <v>11.957685892857143</v>
      </c>
      <c r="DW32" s="679">
        <v>21</v>
      </c>
      <c r="DX32" s="680">
        <v>1.6233333333333335</v>
      </c>
      <c r="DY32" s="680">
        <v>1.3178273809523808</v>
      </c>
      <c r="DZ32" s="681">
        <v>1.3164345238095239</v>
      </c>
      <c r="EA32" s="772">
        <v>1.4548511904761905</v>
      </c>
      <c r="EC32" s="679">
        <v>21</v>
      </c>
      <c r="ED32" s="680">
        <v>2.6228571428571428</v>
      </c>
      <c r="EE32" s="680">
        <v>5.1983333333333333</v>
      </c>
      <c r="EF32" s="681">
        <v>1.9048051948051949</v>
      </c>
      <c r="EG32" s="772">
        <v>3.1915476190476189</v>
      </c>
      <c r="EI32" s="679">
        <v>21</v>
      </c>
      <c r="EJ32" s="680">
        <v>0.433</v>
      </c>
      <c r="EK32" s="680">
        <v>0.19800000000000001</v>
      </c>
      <c r="EL32" s="681">
        <v>0.63909000000000005</v>
      </c>
      <c r="EM32" s="772">
        <v>1.7807142857142857</v>
      </c>
      <c r="EO32" s="679">
        <v>21</v>
      </c>
      <c r="EP32" s="680">
        <v>5.6065714285714288</v>
      </c>
      <c r="EQ32" s="680">
        <v>3.8738571428571431</v>
      </c>
      <c r="ER32" s="681">
        <v>11.484142857142857</v>
      </c>
      <c r="ES32" s="772">
        <v>13.516428571428571</v>
      </c>
      <c r="EU32" s="679">
        <v>21</v>
      </c>
      <c r="EV32" s="680">
        <v>0.25</v>
      </c>
      <c r="EW32" s="680">
        <v>0.36714285714285716</v>
      </c>
      <c r="EX32" s="681">
        <v>0.25</v>
      </c>
      <c r="EY32" s="682">
        <v>0.25</v>
      </c>
    </row>
    <row r="33" spans="13:155">
      <c r="M33" s="679">
        <v>22</v>
      </c>
      <c r="N33" s="680">
        <v>50.333783035714283</v>
      </c>
      <c r="O33" s="680">
        <v>60.951383869047625</v>
      </c>
      <c r="P33" s="681">
        <v>50.043496428571423</v>
      </c>
      <c r="Q33" s="682"/>
      <c r="S33" s="679">
        <v>22</v>
      </c>
      <c r="T33" s="680">
        <v>1.3273809523809526</v>
      </c>
      <c r="U33" s="680">
        <v>0.95714285714285718</v>
      </c>
      <c r="V33" s="681">
        <v>1.5</v>
      </c>
      <c r="W33" s="682"/>
      <c r="Y33" s="679">
        <v>22</v>
      </c>
      <c r="Z33" s="680">
        <v>20.351668571428569</v>
      </c>
      <c r="AA33" s="680">
        <v>22.617248799999999</v>
      </c>
      <c r="AB33" s="681">
        <v>25.937587555555556</v>
      </c>
      <c r="AC33" s="682"/>
      <c r="AE33" s="679">
        <v>22</v>
      </c>
      <c r="AF33" s="680">
        <v>32.07160702380952</v>
      </c>
      <c r="AG33" s="680">
        <v>26.622800595238097</v>
      </c>
      <c r="AH33" s="681">
        <v>22.676180833333333</v>
      </c>
      <c r="AI33" s="682"/>
      <c r="AK33" s="679">
        <v>22</v>
      </c>
      <c r="AL33" s="680">
        <v>43.14391071428571</v>
      </c>
      <c r="AM33" s="680">
        <v>42.74580952380952</v>
      </c>
      <c r="AN33" s="681">
        <v>55.998255952380951</v>
      </c>
      <c r="AO33" s="682"/>
      <c r="AQ33" s="679">
        <v>22</v>
      </c>
      <c r="AR33" s="680">
        <v>34.155130952380951</v>
      </c>
      <c r="AS33" s="680">
        <v>73.717696428571429</v>
      </c>
      <c r="AT33" s="681">
        <v>24.432119047619047</v>
      </c>
      <c r="AU33" s="682"/>
      <c r="AW33" s="679">
        <v>22</v>
      </c>
      <c r="AX33" s="680">
        <v>1.5562857142857145</v>
      </c>
      <c r="AY33" s="680">
        <v>1.8451428571428572</v>
      </c>
      <c r="AZ33" s="681">
        <v>1.5874285714285714</v>
      </c>
      <c r="BA33" s="682"/>
      <c r="BC33" s="679">
        <v>22</v>
      </c>
      <c r="BD33" s="680">
        <v>10.348214285714286</v>
      </c>
      <c r="BE33" s="680">
        <v>11.05</v>
      </c>
      <c r="BF33" s="681">
        <v>13.030356666666668</v>
      </c>
      <c r="BG33" s="682"/>
      <c r="BI33" s="679">
        <v>22</v>
      </c>
      <c r="BJ33" s="680">
        <v>47.99404761904762</v>
      </c>
      <c r="BK33" s="680">
        <v>42.863095238095234</v>
      </c>
      <c r="BL33" s="681">
        <v>43.291666666666664</v>
      </c>
      <c r="BM33" s="682"/>
      <c r="BO33" s="679">
        <v>22</v>
      </c>
      <c r="BP33" s="680">
        <v>14.016071428571429</v>
      </c>
      <c r="BQ33" s="680">
        <v>12.157142857142857</v>
      </c>
      <c r="BR33" s="681">
        <v>10.107142857142856</v>
      </c>
      <c r="BS33" s="682"/>
      <c r="BU33" s="679">
        <v>22</v>
      </c>
      <c r="BV33" s="680">
        <v>10.972083333333332</v>
      </c>
      <c r="BW33" s="680">
        <v>10.893095238095238</v>
      </c>
      <c r="BX33" s="681">
        <v>10.872142857142856</v>
      </c>
      <c r="BY33" s="682"/>
      <c r="CA33" s="679">
        <v>22</v>
      </c>
      <c r="CB33" s="680">
        <v>83.281171428571426</v>
      </c>
      <c r="CC33" s="680">
        <v>82.077240000000003</v>
      </c>
      <c r="CD33" s="681">
        <v>109.46400714285713</v>
      </c>
      <c r="CE33" s="682"/>
      <c r="CG33" s="679">
        <v>22</v>
      </c>
      <c r="CH33" s="680">
        <v>53.436845238095238</v>
      </c>
      <c r="CI33" s="680">
        <v>50.665238095238095</v>
      </c>
      <c r="CJ33" s="681">
        <v>53.586666666666666</v>
      </c>
      <c r="CK33" s="682"/>
      <c r="CM33" s="679">
        <v>22</v>
      </c>
      <c r="CN33" s="680">
        <v>51.307488095238099</v>
      </c>
      <c r="CO33" s="680">
        <v>59.942773809523807</v>
      </c>
      <c r="CP33" s="681">
        <v>49.893666666666661</v>
      </c>
      <c r="CQ33" s="682"/>
      <c r="CS33" s="679">
        <v>22</v>
      </c>
      <c r="CT33" s="680">
        <v>20.866071428571431</v>
      </c>
      <c r="CU33" s="680">
        <v>17.904761904761905</v>
      </c>
      <c r="CV33" s="681">
        <v>23.372023809523807</v>
      </c>
      <c r="CW33" s="682"/>
      <c r="CY33" s="679">
        <v>22</v>
      </c>
      <c r="CZ33" s="680">
        <v>0</v>
      </c>
      <c r="DA33" s="680">
        <v>0</v>
      </c>
      <c r="DB33" s="681">
        <v>0</v>
      </c>
      <c r="DC33" s="682">
        <v>0</v>
      </c>
      <c r="DE33" s="679"/>
      <c r="DF33" s="679">
        <v>22</v>
      </c>
      <c r="DG33" s="680">
        <v>0</v>
      </c>
      <c r="DH33" s="681">
        <v>0</v>
      </c>
      <c r="DI33" s="682">
        <v>0</v>
      </c>
      <c r="DK33" s="679">
        <v>22</v>
      </c>
      <c r="DL33" s="680">
        <v>2.282142857142857</v>
      </c>
      <c r="DM33" s="680">
        <v>0.80700000000000005</v>
      </c>
      <c r="DN33" s="681">
        <v>1.5069999999999999</v>
      </c>
      <c r="DO33" s="682"/>
      <c r="DQ33" s="679">
        <v>22</v>
      </c>
      <c r="DR33" s="680">
        <v>12.003630952380952</v>
      </c>
      <c r="DS33" s="680">
        <v>10.565416666666668</v>
      </c>
      <c r="DT33" s="681">
        <v>8.570666666666666</v>
      </c>
      <c r="DU33" s="682"/>
      <c r="DW33" s="679">
        <v>22</v>
      </c>
      <c r="DX33" s="680">
        <v>1.4998928571428574</v>
      </c>
      <c r="DY33" s="680">
        <v>1.2106250000000001</v>
      </c>
      <c r="DZ33" s="681">
        <v>1.338654761904762</v>
      </c>
      <c r="EA33" s="772"/>
      <c r="EC33" s="679">
        <v>22</v>
      </c>
      <c r="ED33" s="680">
        <v>5.4669999999999996</v>
      </c>
      <c r="EE33" s="680">
        <v>4.5542857142857143</v>
      </c>
      <c r="EF33" s="681">
        <v>2.3578688524590166</v>
      </c>
      <c r="EG33" s="772"/>
      <c r="EI33" s="679">
        <v>22</v>
      </c>
      <c r="EJ33" s="680">
        <v>0.433</v>
      </c>
      <c r="EK33" s="680">
        <v>0.19800000000000001</v>
      </c>
      <c r="EL33" s="681">
        <v>0.63909000000000005</v>
      </c>
      <c r="EM33" s="682"/>
      <c r="EO33" s="679">
        <v>22</v>
      </c>
      <c r="EP33" s="680">
        <v>5.1967857142857143</v>
      </c>
      <c r="EQ33" s="680">
        <v>4.3920871428571431</v>
      </c>
      <c r="ER33" s="681">
        <v>9.4378571428571423</v>
      </c>
      <c r="ES33" s="682"/>
      <c r="EU33" s="679">
        <v>22</v>
      </c>
      <c r="EV33" s="680">
        <v>0.25</v>
      </c>
      <c r="EW33" s="680">
        <v>0.36714285714285716</v>
      </c>
      <c r="EX33" s="681">
        <v>0.25</v>
      </c>
      <c r="EY33" s="682"/>
    </row>
    <row r="34" spans="13:155">
      <c r="M34" s="679">
        <v>23</v>
      </c>
      <c r="N34" s="680">
        <v>58.368118095238088</v>
      </c>
      <c r="O34" s="680">
        <v>41.15626833333333</v>
      </c>
      <c r="P34" s="681">
        <v>41.506608273809526</v>
      </c>
      <c r="Q34" s="682"/>
      <c r="S34" s="679">
        <v>23</v>
      </c>
      <c r="T34" s="680">
        <v>4.2166666666666668</v>
      </c>
      <c r="U34" s="680">
        <v>1.0416666666666667</v>
      </c>
      <c r="V34" s="681">
        <v>1.3547619047619048</v>
      </c>
      <c r="W34" s="682"/>
      <c r="Y34" s="679">
        <v>23</v>
      </c>
      <c r="Z34" s="680">
        <v>18.666204615384615</v>
      </c>
      <c r="AA34" s="680">
        <v>18.992317619047618</v>
      </c>
      <c r="AB34" s="681">
        <v>23.328474794520549</v>
      </c>
      <c r="AC34" s="682"/>
      <c r="AE34" s="679">
        <v>23</v>
      </c>
      <c r="AF34" s="680">
        <v>40.110676785714283</v>
      </c>
      <c r="AG34" s="680">
        <v>21.076344404761905</v>
      </c>
      <c r="AH34" s="681">
        <v>20.411409642857141</v>
      </c>
      <c r="AI34" s="682"/>
      <c r="AK34" s="679">
        <v>23</v>
      </c>
      <c r="AL34" s="680">
        <v>39.960791666666658</v>
      </c>
      <c r="AM34" s="680">
        <v>34.040345238095242</v>
      </c>
      <c r="AN34" s="681">
        <v>49.557672619047622</v>
      </c>
      <c r="AO34" s="682"/>
      <c r="AQ34" s="679">
        <v>23</v>
      </c>
      <c r="AR34" s="680">
        <v>39.44314285714286</v>
      </c>
      <c r="AS34" s="680">
        <v>31.241916666666665</v>
      </c>
      <c r="AT34" s="681">
        <v>15.060416666666667</v>
      </c>
      <c r="AU34" s="682"/>
      <c r="AW34" s="679">
        <v>23</v>
      </c>
      <c r="AX34" s="680">
        <v>1.630857142857143</v>
      </c>
      <c r="AY34" s="680">
        <v>1.6434285714285715</v>
      </c>
      <c r="AZ34" s="681">
        <v>1.7130000000000001</v>
      </c>
      <c r="BA34" s="682"/>
      <c r="BC34" s="679">
        <v>23</v>
      </c>
      <c r="BD34" s="680">
        <v>9.2023809523809526</v>
      </c>
      <c r="BE34" s="680">
        <v>10.426785714285714</v>
      </c>
      <c r="BF34" s="681">
        <v>11.995834285714286</v>
      </c>
      <c r="BG34" s="682"/>
      <c r="BI34" s="679">
        <v>23</v>
      </c>
      <c r="BJ34" s="680">
        <v>57.958333333333336</v>
      </c>
      <c r="BK34" s="680">
        <v>37.19047619047619</v>
      </c>
      <c r="BL34" s="681">
        <v>33.958333333333336</v>
      </c>
      <c r="BM34" s="682"/>
      <c r="BO34" s="679">
        <v>23</v>
      </c>
      <c r="BP34" s="680">
        <v>15.881547619047618</v>
      </c>
      <c r="BQ34" s="680">
        <v>9.1035714285714295</v>
      </c>
      <c r="BR34" s="681">
        <v>8.757142857142858</v>
      </c>
      <c r="BS34" s="682"/>
      <c r="BU34" s="679">
        <v>23</v>
      </c>
      <c r="BV34" s="680">
        <v>10.554226190476189</v>
      </c>
      <c r="BW34" s="680">
        <v>8.5778571428571428</v>
      </c>
      <c r="BX34" s="681">
        <v>9.4705357142857149</v>
      </c>
      <c r="BY34" s="682"/>
      <c r="CA34" s="679">
        <v>23</v>
      </c>
      <c r="CB34" s="680">
        <v>106.04989857142857</v>
      </c>
      <c r="CC34" s="680">
        <v>73.253131428571422</v>
      </c>
      <c r="CD34" s="681">
        <v>91.736292857142857</v>
      </c>
      <c r="CE34" s="682"/>
      <c r="CG34" s="679">
        <v>23</v>
      </c>
      <c r="CH34" s="680">
        <v>51.73</v>
      </c>
      <c r="CI34" s="680">
        <v>42.363333333333337</v>
      </c>
      <c r="CJ34" s="681">
        <v>48.112083333333331</v>
      </c>
      <c r="CK34" s="682"/>
      <c r="CM34" s="679">
        <v>23</v>
      </c>
      <c r="CN34" s="680">
        <v>57.79205952380952</v>
      </c>
      <c r="CO34" s="680">
        <v>41.909547619047615</v>
      </c>
      <c r="CP34" s="681">
        <v>37.457125416666663</v>
      </c>
      <c r="CQ34" s="682"/>
      <c r="CS34" s="679">
        <v>23</v>
      </c>
      <c r="CT34" s="680">
        <v>20.119642857142857</v>
      </c>
      <c r="CU34" s="680">
        <v>15.995833333333332</v>
      </c>
      <c r="CV34" s="681">
        <v>21.279761904761905</v>
      </c>
      <c r="CW34" s="682"/>
      <c r="CY34" s="679">
        <v>23</v>
      </c>
      <c r="CZ34" s="680">
        <v>0</v>
      </c>
      <c r="DA34" s="680">
        <v>0</v>
      </c>
      <c r="DB34" s="681">
        <v>0</v>
      </c>
      <c r="DC34" s="682">
        <v>0</v>
      </c>
      <c r="DE34" s="679"/>
      <c r="DF34" s="679">
        <v>23</v>
      </c>
      <c r="DG34" s="680">
        <v>0</v>
      </c>
      <c r="DH34" s="681">
        <v>0</v>
      </c>
      <c r="DI34" s="682">
        <v>0</v>
      </c>
      <c r="DK34" s="679">
        <v>23</v>
      </c>
      <c r="DL34" s="680">
        <v>2.3221428571428571</v>
      </c>
      <c r="DM34" s="680">
        <v>1.1827142857142858</v>
      </c>
      <c r="DN34" s="681">
        <v>1.5812857142857144</v>
      </c>
      <c r="DO34" s="682"/>
      <c r="DQ34" s="679">
        <v>23</v>
      </c>
      <c r="DR34" s="680">
        <v>11.987857142857141</v>
      </c>
      <c r="DS34" s="680">
        <v>10.358035714285714</v>
      </c>
      <c r="DT34" s="681">
        <v>11.434077380952381</v>
      </c>
      <c r="DU34" s="682"/>
      <c r="DW34" s="679">
        <v>23</v>
      </c>
      <c r="DX34" s="680">
        <v>1.6558988095238096</v>
      </c>
      <c r="DY34" s="680">
        <v>1.2774761904761907</v>
      </c>
      <c r="DZ34" s="681">
        <v>1.3465416666666667</v>
      </c>
      <c r="EA34" s="772"/>
      <c r="EC34" s="679">
        <v>23</v>
      </c>
      <c r="ED34" s="680">
        <v>4.3777777777777782</v>
      </c>
      <c r="EE34" s="680">
        <v>6.5049999999999999</v>
      </c>
      <c r="EF34" s="681">
        <v>5.4625203252032524</v>
      </c>
      <c r="EG34" s="772"/>
      <c r="EI34" s="679">
        <v>23</v>
      </c>
      <c r="EJ34" s="680">
        <v>0.4761428571428572</v>
      </c>
      <c r="EK34" s="680">
        <v>0.19800000000000001</v>
      </c>
      <c r="EL34" s="681">
        <v>0.63909000000000005</v>
      </c>
      <c r="EM34" s="682"/>
      <c r="EO34" s="679">
        <v>23</v>
      </c>
      <c r="EP34" s="680">
        <v>5.5347871428571427</v>
      </c>
      <c r="EQ34" s="680">
        <v>5.289142857142858</v>
      </c>
      <c r="ER34" s="681">
        <v>8.4704285714285703</v>
      </c>
      <c r="ES34" s="682"/>
      <c r="EU34" s="679">
        <v>23</v>
      </c>
      <c r="EV34" s="680">
        <v>0.25</v>
      </c>
      <c r="EW34" s="680">
        <v>0.25</v>
      </c>
      <c r="EX34" s="681">
        <v>0.25</v>
      </c>
      <c r="EY34" s="682"/>
    </row>
    <row r="35" spans="13:155">
      <c r="M35" s="679">
        <v>24</v>
      </c>
      <c r="N35" s="680">
        <v>45.218088988095239</v>
      </c>
      <c r="O35" s="680">
        <v>24.961901130952381</v>
      </c>
      <c r="P35" s="681">
        <v>26.063374166666669</v>
      </c>
      <c r="Q35" s="682"/>
      <c r="S35" s="679">
        <v>24</v>
      </c>
      <c r="T35" s="680">
        <v>1</v>
      </c>
      <c r="U35" s="680">
        <v>1.0428571428571429</v>
      </c>
      <c r="V35" s="681">
        <v>1.1000000000000001</v>
      </c>
      <c r="W35" s="682"/>
      <c r="Y35" s="679">
        <v>24</v>
      </c>
      <c r="Z35" s="680">
        <v>17.224783333333331</v>
      </c>
      <c r="AA35" s="680">
        <v>17.197874800000001</v>
      </c>
      <c r="AB35" s="681">
        <v>18.040598484848484</v>
      </c>
      <c r="AC35" s="682"/>
      <c r="AE35" s="679">
        <v>24</v>
      </c>
      <c r="AF35" s="680">
        <v>32.08824119047619</v>
      </c>
      <c r="AG35" s="680">
        <v>20.85043136904762</v>
      </c>
      <c r="AH35" s="681">
        <v>18.885009464285712</v>
      </c>
      <c r="AI35" s="682"/>
      <c r="AK35" s="679">
        <v>24</v>
      </c>
      <c r="AL35" s="680">
        <v>36.415017857142857</v>
      </c>
      <c r="AM35" s="680">
        <v>32.458374999999997</v>
      </c>
      <c r="AN35" s="681">
        <v>42.50163095238095</v>
      </c>
      <c r="AO35" s="682"/>
      <c r="AQ35" s="679">
        <v>24</v>
      </c>
      <c r="AR35" s="680">
        <v>43.344464285714288</v>
      </c>
      <c r="AS35" s="680">
        <v>25.26872619047619</v>
      </c>
      <c r="AT35" s="681">
        <v>14.912339285714285</v>
      </c>
      <c r="AU35" s="682"/>
      <c r="AW35" s="679">
        <v>24</v>
      </c>
      <c r="AX35" s="680">
        <v>1.5964285714285715</v>
      </c>
      <c r="AY35" s="680">
        <v>1.6730476190476191</v>
      </c>
      <c r="AZ35" s="681">
        <v>1.6924285714285716</v>
      </c>
      <c r="BA35" s="682"/>
      <c r="BC35" s="679">
        <v>24</v>
      </c>
      <c r="BD35" s="680">
        <v>9.7553571428571431</v>
      </c>
      <c r="BE35" s="680">
        <v>9.9279761904761905</v>
      </c>
      <c r="BF35" s="681">
        <v>11.467262857142858</v>
      </c>
      <c r="BG35" s="682"/>
      <c r="BI35" s="679">
        <v>24</v>
      </c>
      <c r="BJ35" s="680">
        <v>44.832335329341312</v>
      </c>
      <c r="BK35" s="680">
        <v>34.446428571428569</v>
      </c>
      <c r="BL35" s="681">
        <v>29.410714285714288</v>
      </c>
      <c r="BM35" s="682"/>
      <c r="BO35" s="679">
        <v>24</v>
      </c>
      <c r="BP35" s="680">
        <v>11.955952380952382</v>
      </c>
      <c r="BQ35" s="680">
        <v>8.6148809523809522</v>
      </c>
      <c r="BR35" s="681">
        <v>8.2988095238095241</v>
      </c>
      <c r="BS35" s="682"/>
      <c r="BU35" s="679">
        <v>24</v>
      </c>
      <c r="BV35" s="680">
        <v>8.7095238095238088</v>
      </c>
      <c r="BW35" s="680">
        <v>7.8305357142857153</v>
      </c>
      <c r="BX35" s="681">
        <v>8.5735119047619044</v>
      </c>
      <c r="BY35" s="682"/>
      <c r="CA35" s="679">
        <v>24</v>
      </c>
      <c r="CB35" s="680">
        <v>83.17436428571429</v>
      </c>
      <c r="CC35" s="680">
        <v>71.312271428571421</v>
      </c>
      <c r="CD35" s="681">
        <v>91.934255714285712</v>
      </c>
      <c r="CE35" s="682"/>
      <c r="CG35" s="679">
        <v>24</v>
      </c>
      <c r="CH35" s="680">
        <v>52.417440476190471</v>
      </c>
      <c r="CI35" s="680">
        <v>37.628095238095234</v>
      </c>
      <c r="CJ35" s="681">
        <v>44.224523809523809</v>
      </c>
      <c r="CK35" s="682"/>
      <c r="CM35" s="679">
        <v>24</v>
      </c>
      <c r="CN35" s="680">
        <v>43.64447619047619</v>
      </c>
      <c r="CO35" s="680">
        <v>35.916541666666667</v>
      </c>
      <c r="CP35" s="681">
        <v>33.522238333333334</v>
      </c>
      <c r="CQ35" s="682"/>
      <c r="CS35" s="679">
        <v>24</v>
      </c>
      <c r="CT35" s="680">
        <v>18.955357142857142</v>
      </c>
      <c r="CU35" s="680">
        <v>14.636904761904761</v>
      </c>
      <c r="CV35" s="681">
        <v>21.310714285714287</v>
      </c>
      <c r="CW35" s="682"/>
      <c r="CY35" s="679">
        <v>24</v>
      </c>
      <c r="CZ35" s="680">
        <v>0</v>
      </c>
      <c r="DA35" s="680">
        <v>0</v>
      </c>
      <c r="DB35" s="681">
        <v>0</v>
      </c>
      <c r="DC35" s="682">
        <v>0</v>
      </c>
      <c r="DE35" s="679"/>
      <c r="DF35" s="679">
        <v>24</v>
      </c>
      <c r="DG35" s="680">
        <v>3.7874371428571427</v>
      </c>
      <c r="DH35" s="681">
        <v>0</v>
      </c>
      <c r="DI35" s="682">
        <v>0</v>
      </c>
      <c r="DK35" s="679">
        <v>24</v>
      </c>
      <c r="DL35" s="680">
        <v>1.9848571428571429</v>
      </c>
      <c r="DM35" s="680">
        <v>1.897</v>
      </c>
      <c r="DN35" s="681">
        <v>1.5269999999999999</v>
      </c>
      <c r="DO35" s="682"/>
      <c r="DQ35" s="679">
        <v>24</v>
      </c>
      <c r="DR35" s="680">
        <v>11.99595238095238</v>
      </c>
      <c r="DS35" s="680">
        <v>10.618988095238095</v>
      </c>
      <c r="DT35" s="681">
        <v>11.436136904761906</v>
      </c>
      <c r="DU35" s="682"/>
      <c r="DW35" s="679">
        <v>24</v>
      </c>
      <c r="DX35" s="680">
        <v>1.2661964285714287</v>
      </c>
      <c r="DY35" s="680">
        <v>1.2649583333333334</v>
      </c>
      <c r="DZ35" s="681">
        <v>1.3271904761904763</v>
      </c>
      <c r="EA35" s="772"/>
      <c r="EC35" s="679">
        <v>24</v>
      </c>
      <c r="ED35" s="680">
        <v>8.0477777777777781</v>
      </c>
      <c r="EE35" s="680">
        <v>7.2725</v>
      </c>
      <c r="EF35" s="681">
        <v>6.3252459016393443</v>
      </c>
      <c r="EG35" s="772"/>
      <c r="EI35" s="679">
        <v>24</v>
      </c>
      <c r="EJ35" s="680">
        <v>2.2555714285714288</v>
      </c>
      <c r="EK35" s="680">
        <v>0.19800000000000001</v>
      </c>
      <c r="EL35" s="681">
        <v>0.63909000000000005</v>
      </c>
      <c r="EM35" s="682"/>
      <c r="EO35" s="679">
        <v>24</v>
      </c>
      <c r="EP35" s="680">
        <v>5.5642685714285722</v>
      </c>
      <c r="EQ35" s="680">
        <v>5.5301428571428568</v>
      </c>
      <c r="ER35" s="681">
        <v>7.7430000000000003</v>
      </c>
      <c r="ES35" s="682"/>
      <c r="EU35" s="679">
        <v>24</v>
      </c>
      <c r="EV35" s="680">
        <v>8.7142857142857153</v>
      </c>
      <c r="EW35" s="680">
        <v>0.25</v>
      </c>
      <c r="EX35" s="681">
        <v>0.25</v>
      </c>
      <c r="EY35" s="682"/>
    </row>
    <row r="36" spans="13:155">
      <c r="M36" s="679">
        <v>25</v>
      </c>
      <c r="N36" s="680">
        <v>42.564933333333336</v>
      </c>
      <c r="O36" s="680">
        <v>33.791625357142856</v>
      </c>
      <c r="P36" s="681">
        <v>46.240318869047613</v>
      </c>
      <c r="Q36" s="682"/>
      <c r="S36" s="679">
        <v>25</v>
      </c>
      <c r="T36" s="680">
        <v>1</v>
      </c>
      <c r="U36" s="680">
        <v>1.1000000000000001</v>
      </c>
      <c r="V36" s="681">
        <v>0.94940476190476197</v>
      </c>
      <c r="W36" s="682"/>
      <c r="Y36" s="679">
        <v>25</v>
      </c>
      <c r="Z36" s="680">
        <v>15.868286666666666</v>
      </c>
      <c r="AA36" s="680">
        <v>16.155604814814815</v>
      </c>
      <c r="AB36" s="681">
        <v>17.41148505882353</v>
      </c>
      <c r="AC36" s="682"/>
      <c r="AE36" s="679">
        <v>25</v>
      </c>
      <c r="AF36" s="680">
        <v>32.862318000427713</v>
      </c>
      <c r="AG36" s="680">
        <v>19.800846666666665</v>
      </c>
      <c r="AH36" s="681">
        <v>20.146178402777778</v>
      </c>
      <c r="AI36" s="682"/>
      <c r="AK36" s="679">
        <v>25</v>
      </c>
      <c r="AL36" s="680">
        <v>31.642565476190477</v>
      </c>
      <c r="AM36" s="680">
        <v>30.932136904761904</v>
      </c>
      <c r="AN36" s="681">
        <v>37.010511904761906</v>
      </c>
      <c r="AO36" s="682"/>
      <c r="AQ36" s="679">
        <v>25</v>
      </c>
      <c r="AR36" s="680">
        <v>27.371333333333332</v>
      </c>
      <c r="AS36" s="680">
        <v>18.584386904761907</v>
      </c>
      <c r="AT36" s="681">
        <v>14.522339285714285</v>
      </c>
      <c r="AU36" s="682"/>
      <c r="AW36" s="679">
        <v>25</v>
      </c>
      <c r="AX36" s="680">
        <v>1.5865714285714287</v>
      </c>
      <c r="AY36" s="680">
        <v>1.6924285714285716</v>
      </c>
      <c r="AZ36" s="681">
        <v>1.6082857142857143</v>
      </c>
      <c r="BA36" s="682"/>
      <c r="BC36" s="679">
        <v>25</v>
      </c>
      <c r="BD36" s="680">
        <v>9.0029761904761898</v>
      </c>
      <c r="BE36" s="680">
        <v>9.4315476190476186</v>
      </c>
      <c r="BF36" s="681">
        <v>11.09881</v>
      </c>
      <c r="BG36" s="682"/>
      <c r="BI36" s="679">
        <v>25</v>
      </c>
      <c r="BJ36" s="680">
        <v>37.470238095238095</v>
      </c>
      <c r="BK36" s="680">
        <v>30.25</v>
      </c>
      <c r="BL36" s="681">
        <v>42.142857142857146</v>
      </c>
      <c r="BM36" s="682"/>
      <c r="BO36" s="679">
        <v>25</v>
      </c>
      <c r="BP36" s="680">
        <v>10.698214285714284</v>
      </c>
      <c r="BQ36" s="680">
        <v>7.9434523809523805</v>
      </c>
      <c r="BR36" s="681">
        <v>9.2886904761904763</v>
      </c>
      <c r="BS36" s="682"/>
      <c r="BU36" s="679">
        <v>25</v>
      </c>
      <c r="BV36" s="680">
        <v>7.428869047619048</v>
      </c>
      <c r="BW36" s="680">
        <v>6.9378571428571432</v>
      </c>
      <c r="BX36" s="681">
        <v>9.3866071428571427</v>
      </c>
      <c r="BY36" s="682"/>
      <c r="CA36" s="679">
        <v>25</v>
      </c>
      <c r="CB36" s="680">
        <v>89.068576904761898</v>
      </c>
      <c r="CC36" s="680">
        <v>66.526564285714286</v>
      </c>
      <c r="CD36" s="681">
        <v>64.642825714285721</v>
      </c>
      <c r="CE36" s="682"/>
      <c r="CG36" s="679">
        <v>25</v>
      </c>
      <c r="CH36" s="680">
        <v>52.903690476190476</v>
      </c>
      <c r="CI36" s="680">
        <v>34.552321428571425</v>
      </c>
      <c r="CJ36" s="681">
        <v>44.783214285714287</v>
      </c>
      <c r="CK36" s="682"/>
      <c r="CM36" s="679">
        <v>25</v>
      </c>
      <c r="CN36" s="680">
        <v>35.20731547619048</v>
      </c>
      <c r="CO36" s="680">
        <v>34.149940476190473</v>
      </c>
      <c r="CP36" s="681">
        <v>48.468107142857143</v>
      </c>
      <c r="CQ36" s="682"/>
      <c r="CS36" s="679">
        <v>25</v>
      </c>
      <c r="CT36" s="680">
        <v>17.383928571428569</v>
      </c>
      <c r="CU36" s="680">
        <v>13.798809523809522</v>
      </c>
      <c r="CV36" s="681">
        <v>18.274999999999999</v>
      </c>
      <c r="CW36" s="682"/>
      <c r="CY36" s="679">
        <v>25</v>
      </c>
      <c r="CZ36" s="680">
        <v>0</v>
      </c>
      <c r="DA36" s="680">
        <v>0</v>
      </c>
      <c r="DB36" s="681">
        <v>0</v>
      </c>
      <c r="DC36" s="682">
        <v>0</v>
      </c>
      <c r="DE36" s="679"/>
      <c r="DF36" s="679">
        <v>25</v>
      </c>
      <c r="DG36" s="680">
        <v>11.756285714285713</v>
      </c>
      <c r="DH36" s="681">
        <v>0</v>
      </c>
      <c r="DI36" s="682">
        <v>0</v>
      </c>
      <c r="DK36" s="679">
        <v>25</v>
      </c>
      <c r="DL36" s="680">
        <v>0.90500000000000003</v>
      </c>
      <c r="DM36" s="680">
        <v>1.2741428571428572</v>
      </c>
      <c r="DN36" s="681">
        <v>1.5269999999999999</v>
      </c>
      <c r="DO36" s="682"/>
      <c r="DQ36" s="679">
        <v>25</v>
      </c>
      <c r="DR36" s="680">
        <v>12.037142857142857</v>
      </c>
      <c r="DS36" s="680">
        <v>10.550833333333333</v>
      </c>
      <c r="DT36" s="681">
        <v>11.33986630952381</v>
      </c>
      <c r="DU36" s="682"/>
      <c r="DW36" s="679">
        <v>25</v>
      </c>
      <c r="DX36" s="680">
        <v>9.2738095238095244E-3</v>
      </c>
      <c r="DY36" s="680">
        <v>1.339922619047619</v>
      </c>
      <c r="DZ36" s="681">
        <v>1.3506488095238094</v>
      </c>
      <c r="EA36" s="682"/>
      <c r="EC36" s="679">
        <v>25</v>
      </c>
      <c r="ED36" s="680">
        <v>6.7622222222222224</v>
      </c>
      <c r="EE36" s="680">
        <v>6.33</v>
      </c>
      <c r="EF36" s="681">
        <v>8.2071034482758609</v>
      </c>
      <c r="EG36" s="772"/>
      <c r="EI36" s="679">
        <v>25</v>
      </c>
      <c r="EJ36" s="680">
        <v>2.874714285714286</v>
      </c>
      <c r="EK36" s="680">
        <v>0.19800000000000001</v>
      </c>
      <c r="EL36" s="681">
        <v>0.63909000000000005</v>
      </c>
      <c r="EM36" s="682"/>
      <c r="EO36" s="679">
        <v>25</v>
      </c>
      <c r="EP36" s="680">
        <v>5.822857142857143</v>
      </c>
      <c r="EQ36" s="680">
        <v>6.8265714285714285</v>
      </c>
      <c r="ER36" s="681">
        <v>7.0715800000000009</v>
      </c>
      <c r="ES36" s="682"/>
      <c r="EU36" s="679">
        <v>25</v>
      </c>
      <c r="EV36" s="680">
        <v>9.8671428571428574</v>
      </c>
      <c r="EW36" s="680">
        <v>0.25</v>
      </c>
      <c r="EX36" s="681">
        <v>0.25</v>
      </c>
      <c r="EY36" s="682"/>
    </row>
    <row r="37" spans="13:155">
      <c r="M37" s="679">
        <v>26</v>
      </c>
      <c r="N37" s="680">
        <v>28.370016964285714</v>
      </c>
      <c r="O37" s="680">
        <v>44.399247202380955</v>
      </c>
      <c r="P37" s="681">
        <v>49.037235119047615</v>
      </c>
      <c r="Q37" s="682"/>
      <c r="S37" s="679">
        <v>26</v>
      </c>
      <c r="T37" s="680">
        <v>1</v>
      </c>
      <c r="U37" s="680">
        <v>1.1000000000000001</v>
      </c>
      <c r="V37" s="681">
        <v>1.1000000000000001</v>
      </c>
      <c r="W37" s="682"/>
      <c r="Y37" s="679">
        <v>26</v>
      </c>
      <c r="Z37" s="680">
        <v>14.389435714285714</v>
      </c>
      <c r="AA37" s="680">
        <v>14.266682857142856</v>
      </c>
      <c r="AB37" s="681">
        <v>17.678906250000001</v>
      </c>
      <c r="AC37" s="682"/>
      <c r="AE37" s="679">
        <v>26</v>
      </c>
      <c r="AF37" s="680">
        <v>33.724214642857142</v>
      </c>
      <c r="AG37" s="680">
        <v>17.568706845238093</v>
      </c>
      <c r="AH37" s="681">
        <v>19.700927976190478</v>
      </c>
      <c r="AI37" s="682"/>
      <c r="AK37" s="679">
        <v>26</v>
      </c>
      <c r="AL37" s="680">
        <v>29.57261904761905</v>
      </c>
      <c r="AM37" s="680">
        <v>29.171488095238093</v>
      </c>
      <c r="AN37" s="681">
        <v>33.249863095238098</v>
      </c>
      <c r="AO37" s="682"/>
      <c r="AQ37" s="679">
        <v>26</v>
      </c>
      <c r="AR37" s="680">
        <v>25.336815476190473</v>
      </c>
      <c r="AS37" s="680">
        <v>13.885309523809525</v>
      </c>
      <c r="AT37" s="681">
        <v>15.591636904761904</v>
      </c>
      <c r="AU37" s="682"/>
      <c r="AW37" s="679">
        <v>26</v>
      </c>
      <c r="AX37" s="680">
        <v>2.0531428571428574</v>
      </c>
      <c r="AY37" s="680">
        <v>1.6492857142857142</v>
      </c>
      <c r="AZ37" s="681">
        <v>1.7034285714285715</v>
      </c>
      <c r="BA37" s="682"/>
      <c r="BC37" s="679">
        <v>26</v>
      </c>
      <c r="BD37" s="680">
        <v>8.8088809523809513</v>
      </c>
      <c r="BE37" s="680">
        <v>8.8333333333333339</v>
      </c>
      <c r="BF37" s="681">
        <v>10.388605238095238</v>
      </c>
      <c r="BG37" s="682"/>
      <c r="BI37" s="679">
        <v>26</v>
      </c>
      <c r="BJ37" s="680">
        <v>32.05952380952381</v>
      </c>
      <c r="BK37" s="680">
        <v>27.273809523809522</v>
      </c>
      <c r="BL37" s="681">
        <v>32.178571428571431</v>
      </c>
      <c r="BM37" s="682"/>
      <c r="BO37" s="679">
        <v>26</v>
      </c>
      <c r="BP37" s="680">
        <v>11.25297619047619</v>
      </c>
      <c r="BQ37" s="680">
        <v>7.2755952380952387</v>
      </c>
      <c r="BR37" s="681">
        <v>8.4994047619047617</v>
      </c>
      <c r="BS37" s="682"/>
      <c r="BU37" s="679">
        <v>26</v>
      </c>
      <c r="BV37" s="680">
        <v>7.1079166666666671</v>
      </c>
      <c r="BW37" s="680">
        <v>6.8344444444444452</v>
      </c>
      <c r="BX37" s="681">
        <v>8.7592261904761894</v>
      </c>
      <c r="BY37" s="682"/>
      <c r="CA37" s="679">
        <v>26</v>
      </c>
      <c r="CB37" s="680">
        <v>81.462440000000001</v>
      </c>
      <c r="CC37" s="680">
        <v>63.492872857142856</v>
      </c>
      <c r="CD37" s="681">
        <v>74.122495714285719</v>
      </c>
      <c r="CE37" s="682"/>
      <c r="CG37" s="679">
        <v>26</v>
      </c>
      <c r="CH37" s="680">
        <v>50.937261904761904</v>
      </c>
      <c r="CI37" s="680">
        <v>33.420714285714283</v>
      </c>
      <c r="CJ37" s="681">
        <v>42.46125</v>
      </c>
      <c r="CK37" s="682"/>
      <c r="CM37" s="679">
        <v>26</v>
      </c>
      <c r="CN37" s="680">
        <v>34.336886904761904</v>
      </c>
      <c r="CO37" s="680">
        <v>40.695404166666663</v>
      </c>
      <c r="CP37" s="681">
        <v>42.224130952380953</v>
      </c>
      <c r="CQ37" s="682"/>
      <c r="CS37" s="679">
        <v>26</v>
      </c>
      <c r="CT37" s="680">
        <v>16.547619047619047</v>
      </c>
      <c r="CU37" s="680">
        <v>12.9625</v>
      </c>
      <c r="CV37" s="681">
        <v>17.899999999999999</v>
      </c>
      <c r="CW37" s="682"/>
      <c r="CY37" s="679">
        <v>26</v>
      </c>
      <c r="CZ37" s="680">
        <v>0</v>
      </c>
      <c r="DA37" s="680">
        <v>0</v>
      </c>
      <c r="DB37" s="681">
        <v>0</v>
      </c>
      <c r="DC37" s="682">
        <v>0</v>
      </c>
      <c r="DE37" s="679"/>
      <c r="DF37" s="679">
        <v>26</v>
      </c>
      <c r="DG37" s="680">
        <v>8.8546942857142863</v>
      </c>
      <c r="DH37" s="681">
        <v>0</v>
      </c>
      <c r="DI37" s="682">
        <v>0</v>
      </c>
      <c r="DK37" s="679">
        <v>26</v>
      </c>
      <c r="DL37" s="680">
        <v>0.81499999999999995</v>
      </c>
      <c r="DM37" s="680">
        <v>0.80700000000000005</v>
      </c>
      <c r="DN37" s="681">
        <v>1.5269999999999999</v>
      </c>
      <c r="DO37" s="682"/>
      <c r="DQ37" s="679">
        <v>26</v>
      </c>
      <c r="DR37" s="680">
        <v>12.019523809523809</v>
      </c>
      <c r="DS37" s="680">
        <v>10.577083333333334</v>
      </c>
      <c r="DT37" s="681">
        <v>11.335363095238096</v>
      </c>
      <c r="DU37" s="682"/>
      <c r="DW37" s="679">
        <v>26</v>
      </c>
      <c r="DX37" s="680">
        <v>1.731625</v>
      </c>
      <c r="DY37" s="680">
        <v>1.2915714285714288</v>
      </c>
      <c r="DZ37" s="681">
        <v>1.2718095238095239</v>
      </c>
      <c r="EA37" s="682"/>
      <c r="EC37" s="679">
        <v>26</v>
      </c>
      <c r="ED37" s="680">
        <v>8.68611111111111</v>
      </c>
      <c r="EE37" s="680">
        <v>8.374545454545455</v>
      </c>
      <c r="EF37" s="681">
        <v>8.4202709655172416</v>
      </c>
      <c r="EG37" s="682"/>
      <c r="EI37" s="679">
        <v>26</v>
      </c>
      <c r="EJ37" s="680">
        <v>3.2385714285714289</v>
      </c>
      <c r="EK37" s="680">
        <v>0.19800000000000001</v>
      </c>
      <c r="EL37" s="681">
        <v>0.83008999999999999</v>
      </c>
      <c r="EM37" s="682"/>
      <c r="EO37" s="679">
        <v>26</v>
      </c>
      <c r="EP37" s="680">
        <v>6.9641757142857141</v>
      </c>
      <c r="EQ37" s="680">
        <v>9.4847142857142845</v>
      </c>
      <c r="ER37" s="681">
        <v>7.6355714285714287</v>
      </c>
      <c r="ES37" s="682"/>
      <c r="EU37" s="679">
        <v>26</v>
      </c>
      <c r="EV37" s="680">
        <v>4.9564285714285718</v>
      </c>
      <c r="EW37" s="680">
        <v>0.25</v>
      </c>
      <c r="EX37" s="681">
        <v>0.25</v>
      </c>
      <c r="EY37" s="682"/>
    </row>
    <row r="38" spans="13:155">
      <c r="M38" s="679">
        <v>27</v>
      </c>
      <c r="N38" s="680">
        <v>37.734770833333336</v>
      </c>
      <c r="O38" s="680">
        <v>26.563863035714284</v>
      </c>
      <c r="P38" s="681">
        <v>27.267017261904758</v>
      </c>
      <c r="Q38" s="682"/>
      <c r="S38" s="679">
        <v>27</v>
      </c>
      <c r="T38" s="680">
        <v>1</v>
      </c>
      <c r="U38" s="680">
        <v>1.1000000000000001</v>
      </c>
      <c r="V38" s="681">
        <v>0.9285714285714286</v>
      </c>
      <c r="W38" s="682"/>
      <c r="Y38" s="679">
        <v>27</v>
      </c>
      <c r="Z38" s="680">
        <v>12.591235714285713</v>
      </c>
      <c r="AA38" s="680">
        <v>13.596768846153847</v>
      </c>
      <c r="AB38" s="681">
        <v>15.310067200000001</v>
      </c>
      <c r="AC38" s="682"/>
      <c r="AE38" s="679">
        <v>27</v>
      </c>
      <c r="AF38" s="680">
        <v>31.035441904761903</v>
      </c>
      <c r="AG38" s="680">
        <v>16.646447499999997</v>
      </c>
      <c r="AH38" s="681">
        <v>18.107968988095237</v>
      </c>
      <c r="AI38" s="682"/>
      <c r="AK38" s="679">
        <v>27</v>
      </c>
      <c r="AL38" s="680">
        <v>26.614494047619047</v>
      </c>
      <c r="AM38" s="680">
        <v>30.794431137724548</v>
      </c>
      <c r="AN38" s="681">
        <v>33.726291666666668</v>
      </c>
      <c r="AO38" s="682"/>
      <c r="AQ38" s="679">
        <v>27</v>
      </c>
      <c r="AR38" s="680">
        <v>17.01195238095238</v>
      </c>
      <c r="AS38" s="680">
        <v>11.152215568862275</v>
      </c>
      <c r="AT38" s="681">
        <v>10.821607142857143</v>
      </c>
      <c r="AU38" s="682"/>
      <c r="AW38" s="679">
        <v>27</v>
      </c>
      <c r="AX38" s="680">
        <v>1.7931428571428574</v>
      </c>
      <c r="AY38" s="680">
        <v>1.6811428571428573</v>
      </c>
      <c r="AZ38" s="681">
        <v>1.8148571428571429</v>
      </c>
      <c r="BA38" s="682"/>
      <c r="BC38" s="679">
        <v>27</v>
      </c>
      <c r="BD38" s="680">
        <v>8.6750000000000007</v>
      </c>
      <c r="BE38" s="680">
        <v>8.4654761904761902</v>
      </c>
      <c r="BF38" s="681">
        <v>9.1612352380952373</v>
      </c>
      <c r="BG38" s="682"/>
      <c r="BI38" s="679">
        <v>27</v>
      </c>
      <c r="BJ38" s="680">
        <v>28.196428571428569</v>
      </c>
      <c r="BK38" s="680">
        <v>24.982035928143713</v>
      </c>
      <c r="BL38" s="681">
        <v>31.577380952380953</v>
      </c>
      <c r="BM38" s="682"/>
      <c r="BO38" s="679">
        <v>27</v>
      </c>
      <c r="BP38" s="680">
        <v>8.8946428571428573</v>
      </c>
      <c r="BQ38" s="680">
        <v>6.8059523809523812</v>
      </c>
      <c r="BR38" s="681">
        <v>7.7017857142857142</v>
      </c>
      <c r="BS38" s="682"/>
      <c r="BU38" s="679">
        <v>27</v>
      </c>
      <c r="BV38" s="680">
        <v>7.2442261904761915</v>
      </c>
      <c r="BW38" s="680">
        <v>6.4039285714285716</v>
      </c>
      <c r="BX38" s="681">
        <v>7.6669642857142861</v>
      </c>
      <c r="BY38" s="682"/>
      <c r="CA38" s="679">
        <v>27</v>
      </c>
      <c r="CB38" s="680">
        <v>77.578795714285718</v>
      </c>
      <c r="CC38" s="680">
        <v>62.99473714285714</v>
      </c>
      <c r="CD38" s="681">
        <v>81.176827142857135</v>
      </c>
      <c r="CE38" s="682"/>
      <c r="CG38" s="679">
        <v>27</v>
      </c>
      <c r="CH38" s="680">
        <v>39.716488095238091</v>
      </c>
      <c r="CI38" s="680">
        <v>30.019583333333333</v>
      </c>
      <c r="CJ38" s="681">
        <v>37.349226190476188</v>
      </c>
      <c r="CK38" s="682"/>
      <c r="CM38" s="679">
        <v>27</v>
      </c>
      <c r="CN38" s="680">
        <v>31.494160714285716</v>
      </c>
      <c r="CO38" s="680">
        <v>29.380196428571431</v>
      </c>
      <c r="CP38" s="681">
        <v>30.766324285714283</v>
      </c>
      <c r="CQ38" s="682"/>
      <c r="CS38" s="679">
        <v>27</v>
      </c>
      <c r="CT38" s="680">
        <v>15.426190476190476</v>
      </c>
      <c r="CU38" s="680">
        <v>12.46845238095238</v>
      </c>
      <c r="CV38" s="681">
        <v>16.703571428571429</v>
      </c>
      <c r="CW38" s="682"/>
      <c r="CY38" s="679">
        <v>27</v>
      </c>
      <c r="CZ38" s="680">
        <v>0</v>
      </c>
      <c r="DA38" s="680">
        <v>0</v>
      </c>
      <c r="DB38" s="681">
        <v>0</v>
      </c>
      <c r="DC38" s="682">
        <v>0</v>
      </c>
      <c r="DE38" s="679"/>
      <c r="DF38" s="679">
        <v>27</v>
      </c>
      <c r="DG38" s="680">
        <v>12.023528571428571</v>
      </c>
      <c r="DH38" s="681">
        <v>0</v>
      </c>
      <c r="DI38" s="682">
        <v>0</v>
      </c>
      <c r="DK38" s="679">
        <v>27</v>
      </c>
      <c r="DL38" s="680">
        <v>2.077142857142857</v>
      </c>
      <c r="DM38" s="680">
        <v>1.4927142857142857</v>
      </c>
      <c r="DN38" s="681">
        <v>1.739857142857143</v>
      </c>
      <c r="DO38" s="682"/>
      <c r="DQ38" s="679">
        <v>27</v>
      </c>
      <c r="DR38" s="680">
        <v>12.048988095238094</v>
      </c>
      <c r="DS38" s="680">
        <v>10.403571428571428</v>
      </c>
      <c r="DT38" s="681">
        <v>10.120803571428572</v>
      </c>
      <c r="DU38" s="682"/>
      <c r="DW38" s="679">
        <v>27</v>
      </c>
      <c r="DX38" s="680">
        <v>1.5204642857142858</v>
      </c>
      <c r="DY38" s="680">
        <v>1.3327380952380952</v>
      </c>
      <c r="DZ38" s="681">
        <v>1.2286964285714286</v>
      </c>
      <c r="EA38" s="682"/>
      <c r="EC38" s="679">
        <v>27</v>
      </c>
      <c r="ED38" s="680">
        <v>8.069285714285714</v>
      </c>
      <c r="EE38" s="680">
        <v>7.9440909090909093</v>
      </c>
      <c r="EF38" s="681">
        <v>10.658776689655172</v>
      </c>
      <c r="EG38" s="682"/>
      <c r="EI38" s="679">
        <v>27</v>
      </c>
      <c r="EJ38" s="680">
        <v>3.2307142857142859</v>
      </c>
      <c r="EK38" s="680">
        <v>0.19800000000000001</v>
      </c>
      <c r="EL38" s="681">
        <v>0.94923285714285721</v>
      </c>
      <c r="EM38" s="682"/>
      <c r="EO38" s="679">
        <v>27</v>
      </c>
      <c r="EP38" s="680">
        <v>6.4963228571428573</v>
      </c>
      <c r="EQ38" s="680">
        <v>15.778461428571427</v>
      </c>
      <c r="ER38" s="681">
        <v>6.3555714285714293</v>
      </c>
      <c r="ES38" s="682"/>
      <c r="EU38" s="679">
        <v>27</v>
      </c>
      <c r="EV38" s="680">
        <v>0.28571428571428575</v>
      </c>
      <c r="EW38" s="680">
        <v>0.25</v>
      </c>
      <c r="EX38" s="681">
        <v>0.25</v>
      </c>
      <c r="EY38" s="682"/>
    </row>
    <row r="39" spans="13:155">
      <c r="M39" s="679">
        <v>28</v>
      </c>
      <c r="N39" s="680">
        <v>23.776031964285714</v>
      </c>
      <c r="O39" s="680">
        <v>12.093855119047619</v>
      </c>
      <c r="P39" s="681">
        <v>24.125512916666668</v>
      </c>
      <c r="Q39" s="682"/>
      <c r="S39" s="679">
        <v>28</v>
      </c>
      <c r="T39" s="680">
        <v>1.1547619047619049</v>
      </c>
      <c r="U39" s="680">
        <v>1.8482142857142858</v>
      </c>
      <c r="V39" s="681">
        <v>0.9</v>
      </c>
      <c r="W39" s="682"/>
      <c r="Y39" s="679">
        <v>28</v>
      </c>
      <c r="Z39" s="680">
        <v>12.568361428571428</v>
      </c>
      <c r="AA39" s="680">
        <v>15.990279577464788</v>
      </c>
      <c r="AB39" s="681">
        <v>14.667742268041236</v>
      </c>
      <c r="AC39" s="682"/>
      <c r="AE39" s="679">
        <v>28</v>
      </c>
      <c r="AF39" s="680">
        <v>30.797865952380953</v>
      </c>
      <c r="AG39" s="680">
        <v>15.94831238095238</v>
      </c>
      <c r="AH39" s="681">
        <v>16.083940119047618</v>
      </c>
      <c r="AI39" s="682"/>
      <c r="AK39" s="679">
        <v>28</v>
      </c>
      <c r="AL39" s="680">
        <v>27.318559523809522</v>
      </c>
      <c r="AM39" s="680">
        <v>31.845238095238095</v>
      </c>
      <c r="AN39" s="681">
        <v>34.499404761904763</v>
      </c>
      <c r="AO39" s="682"/>
      <c r="AQ39" s="679">
        <v>28</v>
      </c>
      <c r="AR39" s="680">
        <v>15.483333333333333</v>
      </c>
      <c r="AS39" s="680">
        <v>11.612023809523809</v>
      </c>
      <c r="AT39" s="681">
        <v>8.0586607142857147</v>
      </c>
      <c r="AU39" s="682"/>
      <c r="AW39" s="679">
        <v>28</v>
      </c>
      <c r="AX39" s="680">
        <v>1.5484285714285715</v>
      </c>
      <c r="AY39" s="680">
        <v>1.8932857142857145</v>
      </c>
      <c r="AZ39" s="681">
        <v>1.9684285714285716</v>
      </c>
      <c r="BA39" s="682"/>
      <c r="BC39" s="679">
        <v>28</v>
      </c>
      <c r="BD39" s="680">
        <v>8.5321428571428566</v>
      </c>
      <c r="BE39" s="680">
        <v>8.1529761904761902</v>
      </c>
      <c r="BF39" s="681">
        <v>8.2569042857142847</v>
      </c>
      <c r="BG39" s="682"/>
      <c r="BI39" s="679">
        <v>28</v>
      </c>
      <c r="BJ39" s="680">
        <v>29.315476190476186</v>
      </c>
      <c r="BK39" s="680">
        <v>23.232142857142858</v>
      </c>
      <c r="BL39" s="681">
        <v>26.208333333333336</v>
      </c>
      <c r="BM39" s="682"/>
      <c r="BO39" s="679">
        <v>28</v>
      </c>
      <c r="BP39" s="680">
        <v>8.574404761904761</v>
      </c>
      <c r="BQ39" s="680">
        <v>6.35952380952381</v>
      </c>
      <c r="BR39" s="681">
        <v>7.0767857142857151</v>
      </c>
      <c r="BS39" s="682"/>
      <c r="BU39" s="679">
        <v>28</v>
      </c>
      <c r="BV39" s="680">
        <v>7.899404761904762</v>
      </c>
      <c r="BW39" s="680">
        <v>6.1117261904761904</v>
      </c>
      <c r="BX39" s="681">
        <v>6.6844047619047622</v>
      </c>
      <c r="BY39" s="682"/>
      <c r="CA39" s="679">
        <v>28</v>
      </c>
      <c r="CB39" s="680">
        <v>81.823952857142856</v>
      </c>
      <c r="CC39" s="680">
        <v>60.06044</v>
      </c>
      <c r="CD39" s="681">
        <v>75.709137142857145</v>
      </c>
      <c r="CE39" s="682"/>
      <c r="CG39" s="679">
        <v>28</v>
      </c>
      <c r="CH39" s="680">
        <v>37.481666666666662</v>
      </c>
      <c r="CI39" s="680">
        <v>29.288214285714286</v>
      </c>
      <c r="CJ39" s="681">
        <v>34.485476190476192</v>
      </c>
      <c r="CK39" s="682"/>
      <c r="CM39" s="679">
        <v>28</v>
      </c>
      <c r="CN39" s="680">
        <v>28.960976190476192</v>
      </c>
      <c r="CO39" s="680">
        <v>17.772216488095236</v>
      </c>
      <c r="CP39" s="681">
        <v>28.104065476190474</v>
      </c>
      <c r="CQ39" s="682"/>
      <c r="CS39" s="679">
        <v>28</v>
      </c>
      <c r="CT39" s="680">
        <v>14.096428571428572</v>
      </c>
      <c r="CU39" s="680">
        <v>11.882142857142856</v>
      </c>
      <c r="CV39" s="681">
        <v>15.838095238095239</v>
      </c>
      <c r="CW39" s="682"/>
      <c r="CY39" s="679">
        <v>28</v>
      </c>
      <c r="CZ39" s="680">
        <v>0</v>
      </c>
      <c r="DA39" s="680">
        <v>0</v>
      </c>
      <c r="DB39" s="681">
        <v>3.363</v>
      </c>
      <c r="DC39" s="682">
        <v>0</v>
      </c>
      <c r="DE39" s="679"/>
      <c r="DF39" s="679">
        <v>28</v>
      </c>
      <c r="DG39" s="680">
        <v>12.333142857142857</v>
      </c>
      <c r="DH39" s="681">
        <v>0.16728571428571429</v>
      </c>
      <c r="DI39" s="682">
        <v>0</v>
      </c>
      <c r="DK39" s="679">
        <v>28</v>
      </c>
      <c r="DL39" s="680">
        <v>2.33</v>
      </c>
      <c r="DM39" s="680">
        <v>2.0070000000000001</v>
      </c>
      <c r="DN39" s="681">
        <v>2.9437142857142859</v>
      </c>
      <c r="DO39" s="682"/>
      <c r="DQ39" s="679">
        <v>28</v>
      </c>
      <c r="DR39" s="680">
        <v>13.016607142857142</v>
      </c>
      <c r="DS39" s="680">
        <v>10.362797619047621</v>
      </c>
      <c r="DT39" s="681">
        <v>11.860982142857143</v>
      </c>
      <c r="DU39" s="682"/>
      <c r="DW39" s="679">
        <v>28</v>
      </c>
      <c r="DX39" s="680">
        <v>1.6309345238095239</v>
      </c>
      <c r="DY39" s="680">
        <v>1.3374285714285714</v>
      </c>
      <c r="DZ39" s="681">
        <v>0.96036904761904762</v>
      </c>
      <c r="EA39" s="682"/>
      <c r="EC39" s="679">
        <v>28</v>
      </c>
      <c r="ED39" s="680">
        <v>8.8493055555555546</v>
      </c>
      <c r="EE39" s="680">
        <v>7.6883333333333335</v>
      </c>
      <c r="EF39" s="681">
        <v>11.019931379310345</v>
      </c>
      <c r="EG39" s="682"/>
      <c r="EI39" s="679">
        <v>28</v>
      </c>
      <c r="EJ39" s="680">
        <v>9.8769999999999989</v>
      </c>
      <c r="EK39" s="680">
        <v>0.19800000000000001</v>
      </c>
      <c r="EL39" s="681">
        <v>1.5122328571428572</v>
      </c>
      <c r="EM39" s="682"/>
      <c r="EO39" s="679">
        <v>28</v>
      </c>
      <c r="EP39" s="680">
        <v>6.6385714285714288</v>
      </c>
      <c r="EQ39" s="680">
        <v>16.920285714285715</v>
      </c>
      <c r="ER39" s="681">
        <v>6.0922357142857146</v>
      </c>
      <c r="ES39" s="682"/>
      <c r="EU39" s="679">
        <v>28</v>
      </c>
      <c r="EV39" s="680">
        <v>0.4642857142857143</v>
      </c>
      <c r="EW39" s="680">
        <v>1.0535714285714286</v>
      </c>
      <c r="EX39" s="681">
        <v>0.25</v>
      </c>
      <c r="EY39" s="682"/>
    </row>
    <row r="40" spans="13:155">
      <c r="M40" s="679">
        <v>29</v>
      </c>
      <c r="N40" s="680">
        <v>33.912352261904765</v>
      </c>
      <c r="O40" s="680">
        <v>4.1016611309523814</v>
      </c>
      <c r="P40" s="681">
        <v>22.77833</v>
      </c>
      <c r="Q40" s="682"/>
      <c r="S40" s="679">
        <v>29</v>
      </c>
      <c r="T40" s="680">
        <v>3.9047619047619047</v>
      </c>
      <c r="U40" s="680">
        <v>11.038095238095238</v>
      </c>
      <c r="V40" s="681">
        <v>3.0904761904761906</v>
      </c>
      <c r="W40" s="682"/>
      <c r="Y40" s="679">
        <v>29</v>
      </c>
      <c r="Z40" s="680">
        <v>12.436332142857141</v>
      </c>
      <c r="AA40" s="680">
        <v>18.531068484848486</v>
      </c>
      <c r="AB40" s="681">
        <v>13.964347826086957</v>
      </c>
      <c r="AC40" s="682"/>
      <c r="AE40" s="679">
        <v>29</v>
      </c>
      <c r="AF40" s="680">
        <v>31.162650476190475</v>
      </c>
      <c r="AG40" s="680">
        <v>20.872736369047619</v>
      </c>
      <c r="AH40" s="681">
        <v>15.50995488095238</v>
      </c>
      <c r="AI40" s="682"/>
      <c r="AK40" s="679">
        <v>29</v>
      </c>
      <c r="AL40" s="680">
        <v>27.958148809523806</v>
      </c>
      <c r="AM40" s="680">
        <v>31.09672619047619</v>
      </c>
      <c r="AN40" s="681">
        <v>32.912452380952381</v>
      </c>
      <c r="AO40" s="682"/>
      <c r="AQ40" s="679">
        <v>29</v>
      </c>
      <c r="AR40" s="680">
        <v>12.983220238095237</v>
      </c>
      <c r="AS40" s="680">
        <v>8.8954166666666659</v>
      </c>
      <c r="AT40" s="681">
        <v>6.3626369047619056</v>
      </c>
      <c r="AU40" s="682"/>
      <c r="AW40" s="679">
        <v>29</v>
      </c>
      <c r="AX40" s="680">
        <v>1.8301428571428571</v>
      </c>
      <c r="AY40" s="680">
        <v>1.7762857142857145</v>
      </c>
      <c r="AZ40" s="681">
        <v>1.7184285714285714</v>
      </c>
      <c r="BA40" s="682"/>
      <c r="BC40" s="679">
        <v>29</v>
      </c>
      <c r="BD40" s="680">
        <v>7.5017857142857149</v>
      </c>
      <c r="BE40" s="680">
        <v>7.5476190476190483</v>
      </c>
      <c r="BF40" s="681">
        <v>8.7904014285714283</v>
      </c>
      <c r="BG40" s="682"/>
      <c r="BI40" s="679">
        <v>29</v>
      </c>
      <c r="BJ40" s="680">
        <v>28.86904761904762</v>
      </c>
      <c r="BK40" s="680">
        <v>22.916666666666664</v>
      </c>
      <c r="BL40" s="681">
        <v>24.571428571428569</v>
      </c>
      <c r="BM40" s="682"/>
      <c r="BO40" s="679">
        <v>29</v>
      </c>
      <c r="BP40" s="680">
        <v>8.3952380952380956</v>
      </c>
      <c r="BQ40" s="680">
        <v>6.3720238095238093</v>
      </c>
      <c r="BR40" s="681">
        <v>6.7535714285714281</v>
      </c>
      <c r="BS40" s="682"/>
      <c r="BU40" s="679">
        <v>29</v>
      </c>
      <c r="BV40" s="680">
        <v>8.4869642857142846</v>
      </c>
      <c r="BW40" s="680">
        <v>6.1680357142857147</v>
      </c>
      <c r="BX40" s="681">
        <v>6.7116071428571429</v>
      </c>
      <c r="BY40" s="682"/>
      <c r="CA40" s="679">
        <v>29</v>
      </c>
      <c r="CB40" s="680">
        <v>74.101937142857139</v>
      </c>
      <c r="CC40" s="680">
        <v>57.661344285714286</v>
      </c>
      <c r="CD40" s="681">
        <v>73.105181428571427</v>
      </c>
      <c r="CE40" s="682"/>
      <c r="CG40" s="679">
        <v>29</v>
      </c>
      <c r="CH40" s="680">
        <v>34.327857142857141</v>
      </c>
      <c r="CI40" s="680">
        <v>30.493630952380951</v>
      </c>
      <c r="CJ40" s="681">
        <v>32.750059523809526</v>
      </c>
      <c r="CK40" s="682"/>
      <c r="CM40" s="679">
        <v>29</v>
      </c>
      <c r="CN40" s="680">
        <v>31.389595238095236</v>
      </c>
      <c r="CO40" s="680">
        <v>15.372422857142857</v>
      </c>
      <c r="CP40" s="681">
        <v>28.935377380952382</v>
      </c>
      <c r="CQ40" s="682"/>
      <c r="CS40" s="679">
        <v>29</v>
      </c>
      <c r="CT40" s="680">
        <v>12.374251497005988</v>
      </c>
      <c r="CU40" s="680">
        <v>10.112500000000001</v>
      </c>
      <c r="CV40" s="681">
        <v>14.707738095238096</v>
      </c>
      <c r="CW40" s="682"/>
      <c r="CY40" s="679">
        <v>29</v>
      </c>
      <c r="CZ40" s="680">
        <v>0</v>
      </c>
      <c r="DA40" s="680">
        <v>0</v>
      </c>
      <c r="DB40" s="681">
        <v>6.1790000000000003</v>
      </c>
      <c r="DC40" s="682">
        <v>0</v>
      </c>
      <c r="DE40" s="679"/>
      <c r="DF40" s="679">
        <v>29</v>
      </c>
      <c r="DG40" s="680">
        <v>12.227564285714285</v>
      </c>
      <c r="DH40" s="681">
        <v>12.309285714285714</v>
      </c>
      <c r="DI40" s="682">
        <v>0.72828571428571431</v>
      </c>
      <c r="DK40" s="679">
        <v>29</v>
      </c>
      <c r="DL40" s="680">
        <v>2.33</v>
      </c>
      <c r="DM40" s="680">
        <v>2.0070000000000001</v>
      </c>
      <c r="DN40" s="681">
        <v>2.2970000000000002</v>
      </c>
      <c r="DO40" s="682"/>
      <c r="DQ40" s="679">
        <v>29</v>
      </c>
      <c r="DR40" s="680">
        <v>11.55875</v>
      </c>
      <c r="DS40" s="680">
        <v>10.495357142857143</v>
      </c>
      <c r="DT40" s="681">
        <v>11.704023809523809</v>
      </c>
      <c r="DU40" s="682"/>
      <c r="DW40" s="679">
        <v>29</v>
      </c>
      <c r="DX40" s="680">
        <v>1.6555833333333334</v>
      </c>
      <c r="DY40" s="680">
        <v>1.2996309523809524</v>
      </c>
      <c r="DZ40" s="681">
        <v>1.352702380952381</v>
      </c>
      <c r="EA40" s="682"/>
      <c r="EC40" s="679">
        <v>29</v>
      </c>
      <c r="ED40" s="680">
        <v>9.4621428571428563</v>
      </c>
      <c r="EE40" s="680">
        <v>8.7912499999999998</v>
      </c>
      <c r="EF40" s="681">
        <v>11.609396551724137</v>
      </c>
      <c r="EG40" s="682"/>
      <c r="EI40" s="679">
        <v>29</v>
      </c>
      <c r="EJ40" s="680">
        <v>4.4467142857142852</v>
      </c>
      <c r="EK40" s="680">
        <v>1.725857142857143</v>
      </c>
      <c r="EL40" s="681">
        <v>1.73509</v>
      </c>
      <c r="EM40" s="682"/>
      <c r="EO40" s="679">
        <v>29</v>
      </c>
      <c r="EP40" s="680">
        <v>6.5670328571428573</v>
      </c>
      <c r="EQ40" s="680">
        <v>13.245142857142858</v>
      </c>
      <c r="ER40" s="681">
        <v>6.0472857142857146</v>
      </c>
      <c r="ES40" s="682"/>
      <c r="EU40" s="679">
        <v>29</v>
      </c>
      <c r="EV40" s="680">
        <v>0.4642857142857143</v>
      </c>
      <c r="EW40" s="680">
        <v>3</v>
      </c>
      <c r="EX40" s="681">
        <v>0.41071428571428575</v>
      </c>
      <c r="EY40" s="682"/>
    </row>
    <row r="41" spans="13:155">
      <c r="M41" s="679">
        <v>30</v>
      </c>
      <c r="N41" s="680">
        <v>25.496939642857143</v>
      </c>
      <c r="O41" s="680">
        <v>7.4833327380952381</v>
      </c>
      <c r="P41" s="681">
        <v>16.179146071428573</v>
      </c>
      <c r="Q41" s="682"/>
      <c r="S41" s="679">
        <v>30</v>
      </c>
      <c r="T41" s="680">
        <v>5.0464285714285717</v>
      </c>
      <c r="U41" s="680">
        <v>13.645833333333334</v>
      </c>
      <c r="V41" s="681">
        <v>6.9190476190476184</v>
      </c>
      <c r="W41" s="682"/>
      <c r="Y41" s="679">
        <v>30</v>
      </c>
      <c r="Z41" s="680">
        <v>12.081107857142856</v>
      </c>
      <c r="AA41" s="680">
        <v>17.796981904761903</v>
      </c>
      <c r="AB41" s="681">
        <v>12.23078947368421</v>
      </c>
      <c r="AC41" s="682"/>
      <c r="AE41" s="679">
        <v>30</v>
      </c>
      <c r="AF41" s="680">
        <v>28.910140654761907</v>
      </c>
      <c r="AG41" s="680">
        <v>27.085379702380951</v>
      </c>
      <c r="AH41" s="681">
        <v>20.434952797619047</v>
      </c>
      <c r="AI41" s="682"/>
      <c r="AK41" s="679">
        <v>30</v>
      </c>
      <c r="AL41" s="680">
        <v>25.713708333333333</v>
      </c>
      <c r="AM41" s="680">
        <v>30.788440476190473</v>
      </c>
      <c r="AN41" s="681">
        <v>31.374017857142857</v>
      </c>
      <c r="AO41" s="682"/>
      <c r="AQ41" s="679">
        <v>30</v>
      </c>
      <c r="AR41" s="680">
        <v>13.575940476190475</v>
      </c>
      <c r="AS41" s="680">
        <v>7.939886904761905</v>
      </c>
      <c r="AT41" s="681">
        <v>5.3993214285714286</v>
      </c>
      <c r="AU41" s="682"/>
      <c r="AW41" s="679">
        <v>30</v>
      </c>
      <c r="AX41" s="680">
        <v>1.7351428571428571</v>
      </c>
      <c r="AY41" s="680">
        <v>1.943857142857143</v>
      </c>
      <c r="AZ41" s="681">
        <v>1.8231428571428572</v>
      </c>
      <c r="BA41" s="682"/>
      <c r="BC41" s="679">
        <v>30</v>
      </c>
      <c r="BD41" s="680">
        <v>6.9630952380952387</v>
      </c>
      <c r="BE41" s="680">
        <v>7.066071428571429</v>
      </c>
      <c r="BF41" s="681">
        <v>8.0647571428571432</v>
      </c>
      <c r="BG41" s="682"/>
      <c r="BI41" s="679">
        <v>30</v>
      </c>
      <c r="BJ41" s="680">
        <v>27.43809523809524</v>
      </c>
      <c r="BK41" s="680">
        <v>22</v>
      </c>
      <c r="BL41" s="681">
        <v>23.083333333333332</v>
      </c>
      <c r="BM41" s="682"/>
      <c r="BO41" s="679">
        <v>30</v>
      </c>
      <c r="BP41" s="680">
        <v>8.4327380952380953</v>
      </c>
      <c r="BQ41" s="680">
        <v>5.9559523809523816</v>
      </c>
      <c r="BR41" s="681">
        <v>6.3571428571428577</v>
      </c>
      <c r="BS41" s="682"/>
      <c r="BU41" s="679">
        <v>30</v>
      </c>
      <c r="BV41" s="680">
        <v>10.691666666666666</v>
      </c>
      <c r="BW41" s="680">
        <v>5.892321428571428</v>
      </c>
      <c r="BX41" s="681">
        <v>6.6091666666666669</v>
      </c>
      <c r="BY41" s="682"/>
      <c r="CA41" s="679">
        <v>30</v>
      </c>
      <c r="CB41" s="680">
        <v>75.140692857142852</v>
      </c>
      <c r="CC41" s="680">
        <v>56.385294285714288</v>
      </c>
      <c r="CD41" s="681">
        <v>61.398307142857142</v>
      </c>
      <c r="CE41" s="682"/>
      <c r="CG41" s="679">
        <v>30</v>
      </c>
      <c r="CH41" s="680">
        <v>33.136607142857144</v>
      </c>
      <c r="CI41" s="680">
        <v>33.387321428571425</v>
      </c>
      <c r="CJ41" s="681">
        <v>32.42422619047619</v>
      </c>
      <c r="CK41" s="682"/>
      <c r="CM41" s="679">
        <v>30</v>
      </c>
      <c r="CN41" s="680">
        <v>29.175041666666669</v>
      </c>
      <c r="CO41" s="680">
        <v>16.5215225</v>
      </c>
      <c r="CP41" s="681">
        <v>22.767410714285713</v>
      </c>
      <c r="CQ41" s="682"/>
      <c r="CS41" s="679">
        <v>30</v>
      </c>
      <c r="CT41" s="680">
        <v>11.25</v>
      </c>
      <c r="CU41" s="680">
        <v>5.9077380952380949</v>
      </c>
      <c r="CV41" s="681">
        <v>11.958333333333332</v>
      </c>
      <c r="CW41" s="682"/>
      <c r="CY41" s="679">
        <v>30</v>
      </c>
      <c r="CZ41" s="680">
        <v>0</v>
      </c>
      <c r="DA41" s="680">
        <v>0</v>
      </c>
      <c r="DB41" s="681">
        <v>6.1790000000000003</v>
      </c>
      <c r="DC41" s="682">
        <v>0</v>
      </c>
      <c r="DE41" s="679"/>
      <c r="DF41" s="679">
        <v>30</v>
      </c>
      <c r="DG41" s="680">
        <v>15.966918571428572</v>
      </c>
      <c r="DH41" s="681">
        <v>20.304285714285712</v>
      </c>
      <c r="DI41" s="682">
        <v>10.045190000000002</v>
      </c>
      <c r="DK41" s="679">
        <v>30</v>
      </c>
      <c r="DL41" s="680">
        <v>2.33</v>
      </c>
      <c r="DM41" s="680">
        <v>3.7212857142857145</v>
      </c>
      <c r="DN41" s="681">
        <v>2.2970000000000002</v>
      </c>
      <c r="DO41" s="682"/>
      <c r="DQ41" s="679">
        <v>30</v>
      </c>
      <c r="DR41" s="680">
        <v>11.530535714285714</v>
      </c>
      <c r="DS41" s="680">
        <v>10.428928571428573</v>
      </c>
      <c r="DT41" s="681">
        <v>11.761565476190476</v>
      </c>
      <c r="DU41" s="682"/>
      <c r="DW41" s="679">
        <v>30</v>
      </c>
      <c r="DX41" s="680">
        <v>1.6710714285714288</v>
      </c>
      <c r="DY41" s="680">
        <v>1.2653333333333334</v>
      </c>
      <c r="DZ41" s="681">
        <v>1.3571547619047619</v>
      </c>
      <c r="EA41" s="682"/>
      <c r="EC41" s="679">
        <v>30</v>
      </c>
      <c r="ED41" s="680">
        <v>9.3812499999999996</v>
      </c>
      <c r="EE41" s="680">
        <v>9.6266666666666669</v>
      </c>
      <c r="EF41" s="681">
        <v>11.845003749999998</v>
      </c>
      <c r="EG41" s="682"/>
      <c r="EI41" s="679">
        <v>30</v>
      </c>
      <c r="EJ41" s="680">
        <v>8.0122857142857136</v>
      </c>
      <c r="EK41" s="680">
        <v>2.8039999999999998</v>
      </c>
      <c r="EL41" s="681">
        <v>2.0265185714285714</v>
      </c>
      <c r="EM41" s="682"/>
      <c r="EO41" s="679">
        <v>30</v>
      </c>
      <c r="EP41" s="680">
        <v>7.2998899999999995</v>
      </c>
      <c r="EQ41" s="680">
        <v>16.250285714285713</v>
      </c>
      <c r="ER41" s="681">
        <v>10.758494285714285</v>
      </c>
      <c r="ES41" s="682"/>
      <c r="EU41" s="679">
        <v>30</v>
      </c>
      <c r="EV41" s="680">
        <v>0.5</v>
      </c>
      <c r="EW41" s="680">
        <v>9.2857142857142865</v>
      </c>
      <c r="EX41" s="681">
        <v>1.4285714285714286</v>
      </c>
      <c r="EY41" s="682"/>
    </row>
    <row r="42" spans="13:155">
      <c r="M42" s="679">
        <v>31</v>
      </c>
      <c r="N42" s="680">
        <v>20.899549464285712</v>
      </c>
      <c r="O42" s="680">
        <v>3.7210082142857144</v>
      </c>
      <c r="P42" s="681">
        <v>34.373332261904764</v>
      </c>
      <c r="Q42" s="682"/>
      <c r="S42" s="679">
        <v>31</v>
      </c>
      <c r="T42" s="680">
        <v>6.5392857142857146</v>
      </c>
      <c r="U42" s="680">
        <v>13.122023809523808</v>
      </c>
      <c r="V42" s="681">
        <v>6.8130952380952383</v>
      </c>
      <c r="W42" s="682"/>
      <c r="Y42" s="679">
        <v>31</v>
      </c>
      <c r="Z42" s="680">
        <v>11.596254285714286</v>
      </c>
      <c r="AA42" s="680">
        <v>15.804717999999999</v>
      </c>
      <c r="AB42" s="681">
        <v>12.497343750000001</v>
      </c>
      <c r="AC42" s="682"/>
      <c r="AE42" s="679">
        <v>31</v>
      </c>
      <c r="AF42" s="680">
        <v>27.139766369047621</v>
      </c>
      <c r="AG42" s="680">
        <v>28.367976071428568</v>
      </c>
      <c r="AH42" s="681">
        <v>20.430120119047618</v>
      </c>
      <c r="AI42" s="682"/>
      <c r="AK42" s="679">
        <v>31</v>
      </c>
      <c r="AL42" s="680">
        <v>24.763547619047618</v>
      </c>
      <c r="AM42" s="680">
        <v>31.946880952380951</v>
      </c>
      <c r="AN42" s="681">
        <v>35.059249999999999</v>
      </c>
      <c r="AO42" s="682"/>
      <c r="AQ42" s="679">
        <v>31</v>
      </c>
      <c r="AR42" s="680">
        <v>11.669809523809523</v>
      </c>
      <c r="AS42" s="680">
        <v>6.6846785714285719</v>
      </c>
      <c r="AT42" s="681">
        <v>4.6639583333333334</v>
      </c>
      <c r="AU42" s="682"/>
      <c r="AW42" s="679">
        <v>31</v>
      </c>
      <c r="AX42" s="680">
        <v>1.6478571428571429</v>
      </c>
      <c r="AY42" s="680">
        <v>1.6775714285714287</v>
      </c>
      <c r="AZ42" s="681">
        <v>1.642857142857143</v>
      </c>
      <c r="BA42" s="682"/>
      <c r="BC42" s="679">
        <v>31</v>
      </c>
      <c r="BD42" s="680">
        <v>6.8166666666666673</v>
      </c>
      <c r="BE42" s="680">
        <v>7.2053571428571432</v>
      </c>
      <c r="BF42" s="681">
        <v>7.7652299999999999</v>
      </c>
      <c r="BG42" s="682"/>
      <c r="BI42" s="679">
        <v>31</v>
      </c>
      <c r="BJ42" s="680">
        <v>26.440476190476193</v>
      </c>
      <c r="BK42" s="680">
        <v>24.678571428571431</v>
      </c>
      <c r="BL42" s="681">
        <v>22.5</v>
      </c>
      <c r="BM42" s="682"/>
      <c r="BO42" s="679">
        <v>31</v>
      </c>
      <c r="BP42" s="680">
        <v>7.6333333333333337</v>
      </c>
      <c r="BQ42" s="680">
        <v>6.043452380952381</v>
      </c>
      <c r="BR42" s="681">
        <v>6.2720238095238097</v>
      </c>
      <c r="BS42" s="682"/>
      <c r="BU42" s="679">
        <v>31</v>
      </c>
      <c r="BV42" s="680">
        <v>7.5748809523809522</v>
      </c>
      <c r="BW42" s="680">
        <v>5.4251190476190478</v>
      </c>
      <c r="BX42" s="681">
        <v>6.8306547619047615</v>
      </c>
      <c r="BY42" s="682"/>
      <c r="CA42" s="679">
        <v>31</v>
      </c>
      <c r="CB42" s="680">
        <v>70.276420000000002</v>
      </c>
      <c r="CC42" s="680">
        <v>53.272820000000003</v>
      </c>
      <c r="CD42" s="681">
        <v>65.886551428571423</v>
      </c>
      <c r="CE42" s="682"/>
      <c r="CG42" s="679">
        <v>31</v>
      </c>
      <c r="CH42" s="680">
        <v>31.936428571428571</v>
      </c>
      <c r="CI42" s="680">
        <v>33.588392857142857</v>
      </c>
      <c r="CJ42" s="681">
        <v>32.558511904761907</v>
      </c>
      <c r="CK42" s="682"/>
      <c r="CM42" s="679">
        <v>31</v>
      </c>
      <c r="CN42" s="680">
        <v>22.397854166666669</v>
      </c>
      <c r="CO42" s="680">
        <v>14.077602083333334</v>
      </c>
      <c r="CP42" s="681">
        <v>23.766559523809526</v>
      </c>
      <c r="CQ42" s="682"/>
      <c r="CS42" s="679">
        <v>31</v>
      </c>
      <c r="CT42" s="680">
        <v>10.386904761904763</v>
      </c>
      <c r="CU42" s="680">
        <v>7.6083333333333334</v>
      </c>
      <c r="CV42" s="681">
        <v>12.108928571428571</v>
      </c>
      <c r="CW42" s="682"/>
      <c r="CY42" s="679">
        <v>31</v>
      </c>
      <c r="CZ42" s="680">
        <v>0</v>
      </c>
      <c r="DA42" s="680">
        <v>0</v>
      </c>
      <c r="DB42" s="681">
        <v>2.0542857142857143</v>
      </c>
      <c r="DC42" s="682">
        <v>0</v>
      </c>
      <c r="DE42" s="679"/>
      <c r="DF42" s="679">
        <v>31</v>
      </c>
      <c r="DG42" s="680">
        <v>19.5946</v>
      </c>
      <c r="DH42" s="681">
        <v>19.900591428571428</v>
      </c>
      <c r="DI42" s="682">
        <v>10.712957142857142</v>
      </c>
      <c r="DK42" s="679">
        <v>31</v>
      </c>
      <c r="DL42" s="680">
        <v>1.5128571428571429</v>
      </c>
      <c r="DM42" s="680">
        <v>5.0069999999999997</v>
      </c>
      <c r="DN42" s="681">
        <v>2.1869999999999998</v>
      </c>
      <c r="DO42" s="682"/>
      <c r="DQ42" s="679">
        <v>31</v>
      </c>
      <c r="DR42" s="680">
        <v>13.242678571428572</v>
      </c>
      <c r="DS42" s="680">
        <v>10.613214285714285</v>
      </c>
      <c r="DT42" s="681">
        <v>12.165416666666665</v>
      </c>
      <c r="DU42" s="682"/>
      <c r="DW42" s="679">
        <v>31</v>
      </c>
      <c r="DX42" s="680">
        <v>1.695845238095238</v>
      </c>
      <c r="DY42" s="680">
        <v>1.3022440476190476</v>
      </c>
      <c r="DZ42" s="681">
        <v>1.3893869047619047</v>
      </c>
      <c r="EA42" s="682"/>
      <c r="EC42" s="679">
        <v>31</v>
      </c>
      <c r="ED42" s="680">
        <v>10.680555555555555</v>
      </c>
      <c r="EE42" s="680">
        <v>8.2949999999999999</v>
      </c>
      <c r="EF42" s="681">
        <v>11.221735059523809</v>
      </c>
      <c r="EG42" s="682"/>
      <c r="EI42" s="679">
        <v>31</v>
      </c>
      <c r="EJ42" s="680">
        <v>7.9480000000000004</v>
      </c>
      <c r="EK42" s="680">
        <v>3.374714285714286</v>
      </c>
      <c r="EL42" s="681">
        <v>2.2833628571428575</v>
      </c>
      <c r="EM42" s="682"/>
      <c r="EO42" s="679">
        <v>31</v>
      </c>
      <c r="EP42" s="680">
        <v>11.466117142857144</v>
      </c>
      <c r="EQ42" s="680">
        <v>16.700321428571428</v>
      </c>
      <c r="ER42" s="681">
        <v>16.307811428571426</v>
      </c>
      <c r="ES42" s="682"/>
      <c r="EU42" s="679">
        <v>31</v>
      </c>
      <c r="EV42" s="680">
        <v>0.5</v>
      </c>
      <c r="EW42" s="680">
        <v>6.0714285714285712</v>
      </c>
      <c r="EX42" s="681">
        <v>2.8571428571428572</v>
      </c>
      <c r="EY42" s="682"/>
    </row>
    <row r="43" spans="13:155">
      <c r="M43" s="679">
        <v>32</v>
      </c>
      <c r="N43" s="680">
        <v>39.382662440476189</v>
      </c>
      <c r="O43" s="680">
        <v>3.6848163095238098</v>
      </c>
      <c r="P43" s="681">
        <v>20.772976130952379</v>
      </c>
      <c r="Q43" s="682"/>
      <c r="S43" s="679">
        <v>32</v>
      </c>
      <c r="T43" s="680">
        <v>7.0517857142857148</v>
      </c>
      <c r="U43" s="680">
        <v>11.525595238095237</v>
      </c>
      <c r="V43" s="681">
        <v>6.7928571428571427</v>
      </c>
      <c r="W43" s="682"/>
      <c r="Y43" s="679">
        <v>32</v>
      </c>
      <c r="Z43" s="680">
        <v>11.716150666666666</v>
      </c>
      <c r="AA43" s="680">
        <v>11.248804745762712</v>
      </c>
      <c r="AB43" s="681">
        <v>15.472283972602737</v>
      </c>
      <c r="AC43" s="682"/>
      <c r="AE43" s="679">
        <v>32</v>
      </c>
      <c r="AF43" s="680">
        <v>28.593414285714285</v>
      </c>
      <c r="AG43" s="680">
        <v>27.099876547619044</v>
      </c>
      <c r="AH43" s="681">
        <v>20.985496249999997</v>
      </c>
      <c r="AI43" s="682"/>
      <c r="AK43" s="679">
        <v>32</v>
      </c>
      <c r="AL43" s="680">
        <v>24.089791666666667</v>
      </c>
      <c r="AM43" s="680">
        <v>30.209166666666665</v>
      </c>
      <c r="AN43" s="681">
        <v>34.601154761904759</v>
      </c>
      <c r="AO43" s="682"/>
      <c r="AQ43" s="679">
        <v>32</v>
      </c>
      <c r="AR43" s="680">
        <v>19.260142857142856</v>
      </c>
      <c r="AS43" s="680">
        <v>6.1822023809523809</v>
      </c>
      <c r="AT43" s="681">
        <v>4.6392202380952385</v>
      </c>
      <c r="AU43" s="682"/>
      <c r="AW43" s="679">
        <v>32</v>
      </c>
      <c r="AX43" s="680">
        <v>1.7564285714285715</v>
      </c>
      <c r="AY43" s="680">
        <v>2.3351428571428574</v>
      </c>
      <c r="AZ43" s="681">
        <v>1.5297142857142858</v>
      </c>
      <c r="BA43" s="682"/>
      <c r="BC43" s="679">
        <v>32</v>
      </c>
      <c r="BD43" s="680">
        <v>6.7767857142857144</v>
      </c>
      <c r="BE43" s="680">
        <v>8.3952380952380956</v>
      </c>
      <c r="BF43" s="681">
        <v>7.5767857142857142</v>
      </c>
      <c r="BG43" s="682"/>
      <c r="BI43" s="679">
        <v>32</v>
      </c>
      <c r="BJ43" s="680">
        <v>46.172619047619051</v>
      </c>
      <c r="BK43" s="680">
        <v>23.392857142857142</v>
      </c>
      <c r="BL43" s="681">
        <v>22.535714285714285</v>
      </c>
      <c r="BM43" s="682"/>
      <c r="BO43" s="679">
        <v>32</v>
      </c>
      <c r="BP43" s="680">
        <v>10.47202380952381</v>
      </c>
      <c r="BQ43" s="680">
        <v>5.9089285714285715</v>
      </c>
      <c r="BR43" s="681">
        <v>6.2238095238095239</v>
      </c>
      <c r="BS43" s="682"/>
      <c r="BU43" s="679">
        <v>32</v>
      </c>
      <c r="BV43" s="680">
        <v>7.3609523809523809</v>
      </c>
      <c r="BW43" s="680">
        <v>4.7474404761904765</v>
      </c>
      <c r="BX43" s="681">
        <v>6.2484523809523811</v>
      </c>
      <c r="BY43" s="682"/>
      <c r="CA43" s="679">
        <v>32</v>
      </c>
      <c r="CB43" s="680">
        <v>70.941308571428564</v>
      </c>
      <c r="CC43" s="680">
        <v>57.199350000000003</v>
      </c>
      <c r="CD43" s="681">
        <v>64.339405714285718</v>
      </c>
      <c r="CE43" s="682"/>
      <c r="CG43" s="679">
        <v>32</v>
      </c>
      <c r="CH43" s="680">
        <v>35.95547619047619</v>
      </c>
      <c r="CI43" s="680">
        <v>31.456904761904759</v>
      </c>
      <c r="CJ43" s="681">
        <v>34.400476190476191</v>
      </c>
      <c r="CK43" s="682"/>
      <c r="CM43" s="679">
        <v>32</v>
      </c>
      <c r="CN43" s="680">
        <v>36.792434523809526</v>
      </c>
      <c r="CO43" s="680">
        <v>14.058005654761905</v>
      </c>
      <c r="CP43" s="681">
        <v>22.940440476190474</v>
      </c>
      <c r="CQ43" s="682"/>
      <c r="CS43" s="679">
        <v>32</v>
      </c>
      <c r="CT43" s="680">
        <v>10.446428571428571</v>
      </c>
      <c r="CU43" s="680">
        <v>8.1136904761904756</v>
      </c>
      <c r="CV43" s="681">
        <v>11.605357142857143</v>
      </c>
      <c r="CW43" s="682"/>
      <c r="CY43" s="679">
        <v>32</v>
      </c>
      <c r="CZ43" s="680">
        <v>0</v>
      </c>
      <c r="DA43" s="680">
        <v>0</v>
      </c>
      <c r="DB43" s="681">
        <v>0</v>
      </c>
      <c r="DC43" s="682">
        <v>3.0192857142857146</v>
      </c>
      <c r="DE43" s="679"/>
      <c r="DF43" s="679">
        <v>32</v>
      </c>
      <c r="DG43" s="680">
        <v>11.057115714285715</v>
      </c>
      <c r="DH43" s="681">
        <v>16.578571428571429</v>
      </c>
      <c r="DI43" s="682">
        <v>16.907714285714285</v>
      </c>
      <c r="DK43" s="679">
        <v>32</v>
      </c>
      <c r="DL43" s="680">
        <v>0.88</v>
      </c>
      <c r="DM43" s="680">
        <v>4.0641428571428575</v>
      </c>
      <c r="DN43" s="681">
        <v>0.80700000000000005</v>
      </c>
      <c r="DO43" s="682"/>
      <c r="DQ43" s="679">
        <v>32</v>
      </c>
      <c r="DR43" s="680">
        <v>14.178214285714287</v>
      </c>
      <c r="DS43" s="680">
        <v>10.808095238095238</v>
      </c>
      <c r="DT43" s="681">
        <v>12.709880952380953</v>
      </c>
      <c r="DU43" s="682"/>
      <c r="DW43" s="679">
        <v>32</v>
      </c>
      <c r="DX43" s="680">
        <v>1.5084880952380952</v>
      </c>
      <c r="DY43" s="680">
        <v>1.3299047619047619</v>
      </c>
      <c r="DZ43" s="681">
        <v>1.3845000000000001</v>
      </c>
      <c r="EA43" s="682"/>
      <c r="EC43" s="679">
        <v>32</v>
      </c>
      <c r="ED43" s="680">
        <v>11.1305</v>
      </c>
      <c r="EE43" s="680">
        <v>9.5821367521367531</v>
      </c>
      <c r="EF43" s="681">
        <v>10.654285714285715</v>
      </c>
      <c r="EG43" s="682"/>
      <c r="EI43" s="679">
        <v>32</v>
      </c>
      <c r="EJ43" s="680">
        <v>7.7560000000000002</v>
      </c>
      <c r="EK43" s="680">
        <v>3.3822857142857141</v>
      </c>
      <c r="EL43" s="681">
        <v>2.5129999999999999</v>
      </c>
      <c r="EM43" s="682"/>
      <c r="EO43" s="679">
        <v>32</v>
      </c>
      <c r="EP43" s="680">
        <v>15.055007142857143</v>
      </c>
      <c r="EQ43" s="680">
        <v>18.00657142857143</v>
      </c>
      <c r="ER43" s="681">
        <v>19.10257142857143</v>
      </c>
      <c r="ES43" s="682"/>
      <c r="EU43" s="679">
        <v>32</v>
      </c>
      <c r="EV43" s="680">
        <v>4.3857142857142861</v>
      </c>
      <c r="EW43" s="680">
        <v>4.5714285714285721</v>
      </c>
      <c r="EX43" s="681">
        <v>4</v>
      </c>
      <c r="EY43" s="682"/>
    </row>
    <row r="44" spans="13:155">
      <c r="M44" s="679">
        <v>33</v>
      </c>
      <c r="N44" s="680">
        <v>28.184737023809525</v>
      </c>
      <c r="O44" s="680">
        <v>3.7201983333333337</v>
      </c>
      <c r="P44" s="681">
        <v>15.332976666666667</v>
      </c>
      <c r="Q44" s="682"/>
      <c r="S44" s="679">
        <v>33</v>
      </c>
      <c r="T44" s="680">
        <v>8.5</v>
      </c>
      <c r="U44" s="680">
        <v>3.5750000000000002</v>
      </c>
      <c r="V44" s="681">
        <v>6.8267857142857151</v>
      </c>
      <c r="W44" s="682"/>
      <c r="Y44" s="679">
        <v>33</v>
      </c>
      <c r="Z44" s="680">
        <v>12.527402857142857</v>
      </c>
      <c r="AA44" s="680">
        <v>11.060119268292683</v>
      </c>
      <c r="AB44" s="681">
        <v>19.1374481</v>
      </c>
      <c r="AC44" s="682"/>
      <c r="AE44" s="679">
        <v>33</v>
      </c>
      <c r="AF44" s="680">
        <v>29.544705892857145</v>
      </c>
      <c r="AG44" s="680">
        <v>25.174950714285714</v>
      </c>
      <c r="AH44" s="681">
        <v>20.312671845238093</v>
      </c>
      <c r="AI44" s="682"/>
      <c r="AK44" s="679">
        <v>33</v>
      </c>
      <c r="AL44" s="680">
        <v>22.496214285714288</v>
      </c>
      <c r="AM44" s="680">
        <v>29.829404761904762</v>
      </c>
      <c r="AN44" s="681">
        <v>35.992422619047616</v>
      </c>
      <c r="AO44" s="682"/>
      <c r="AQ44" s="679">
        <v>33</v>
      </c>
      <c r="AR44" s="680">
        <v>11.777142857142856</v>
      </c>
      <c r="AS44" s="680">
        <v>8.6734464285714292</v>
      </c>
      <c r="AT44" s="681">
        <v>3.9761369047619048</v>
      </c>
      <c r="AU44" s="682"/>
      <c r="AW44" s="679">
        <v>33</v>
      </c>
      <c r="AX44" s="680">
        <v>1.7424285714285714</v>
      </c>
      <c r="AY44" s="680">
        <v>1.7321428571428572</v>
      </c>
      <c r="AZ44" s="681">
        <v>1.643142857142857</v>
      </c>
      <c r="BA44" s="682"/>
      <c r="BC44" s="679">
        <v>33</v>
      </c>
      <c r="BD44" s="680">
        <v>6.6273809523809524</v>
      </c>
      <c r="BE44" s="680">
        <v>8.0577380952380953</v>
      </c>
      <c r="BF44" s="681">
        <v>7.3572285714285712</v>
      </c>
      <c r="BG44" s="682"/>
      <c r="BI44" s="679">
        <v>33</v>
      </c>
      <c r="BJ44" s="680">
        <v>27.946428571428569</v>
      </c>
      <c r="BK44" s="680">
        <v>24.422619047619047</v>
      </c>
      <c r="BL44" s="681">
        <v>21.898809523809526</v>
      </c>
      <c r="BM44" s="682"/>
      <c r="BO44" s="679">
        <v>33</v>
      </c>
      <c r="BP44" s="680">
        <v>7.9559523809523807</v>
      </c>
      <c r="BQ44" s="680">
        <v>5.9785714285714286</v>
      </c>
      <c r="BR44" s="681">
        <v>6.0309523809523808</v>
      </c>
      <c r="BS44" s="682"/>
      <c r="BU44" s="679">
        <v>33</v>
      </c>
      <c r="BV44" s="680">
        <v>6.3004761904761901</v>
      </c>
      <c r="BW44" s="680">
        <v>4.4223809523809523</v>
      </c>
      <c r="BX44" s="681">
        <v>5.4127976190476188</v>
      </c>
      <c r="BY44" s="682"/>
      <c r="CA44" s="679">
        <v>33</v>
      </c>
      <c r="CB44" s="680">
        <v>69.015711428571436</v>
      </c>
      <c r="CC44" s="680">
        <v>56.146367142857137</v>
      </c>
      <c r="CD44" s="681">
        <v>63.791538571428575</v>
      </c>
      <c r="CE44" s="682"/>
      <c r="CG44" s="679">
        <v>33</v>
      </c>
      <c r="CH44" s="680">
        <v>36.009642857142858</v>
      </c>
      <c r="CI44" s="680">
        <v>31.279404761904761</v>
      </c>
      <c r="CJ44" s="681">
        <v>34.474285714285713</v>
      </c>
      <c r="CK44" s="682"/>
      <c r="CM44" s="679">
        <v>33</v>
      </c>
      <c r="CN44" s="680">
        <v>25.97325</v>
      </c>
      <c r="CO44" s="680">
        <v>14.037869047619047</v>
      </c>
      <c r="CP44" s="681">
        <v>22.11786</v>
      </c>
      <c r="CQ44" s="682"/>
      <c r="CS44" s="679">
        <v>33</v>
      </c>
      <c r="CT44" s="680">
        <v>9.1428571428571423</v>
      </c>
      <c r="CU44" s="680">
        <v>10.798809523809524</v>
      </c>
      <c r="CV44" s="681">
        <v>10.806547619047619</v>
      </c>
      <c r="CW44" s="682"/>
      <c r="CY44" s="679">
        <v>33</v>
      </c>
      <c r="CZ44" s="680">
        <v>0</v>
      </c>
      <c r="DA44" s="680">
        <v>1.6607142857142858</v>
      </c>
      <c r="DB44" s="681">
        <v>0</v>
      </c>
      <c r="DC44" s="682">
        <v>7.0385714285714291</v>
      </c>
      <c r="DE44" s="679"/>
      <c r="DF44" s="679">
        <v>33</v>
      </c>
      <c r="DG44" s="680">
        <v>16.374714285714287</v>
      </c>
      <c r="DH44" s="681">
        <v>12.592714285714287</v>
      </c>
      <c r="DI44" s="682">
        <v>16.679142857142857</v>
      </c>
      <c r="DK44" s="679">
        <v>33</v>
      </c>
      <c r="DL44" s="680">
        <v>0.89357142857142868</v>
      </c>
      <c r="DM44" s="680">
        <v>0.80700000000000005</v>
      </c>
      <c r="DN44" s="681">
        <v>0.6805714285714286</v>
      </c>
      <c r="DO44" s="682"/>
      <c r="DQ44" s="679">
        <v>33</v>
      </c>
      <c r="DR44" s="680">
        <v>14.038035714285714</v>
      </c>
      <c r="DS44" s="680">
        <v>10.50327380952381</v>
      </c>
      <c r="DT44" s="681">
        <v>12.740571428571428</v>
      </c>
      <c r="DU44" s="682"/>
      <c r="DW44" s="679">
        <v>33</v>
      </c>
      <c r="DX44" s="680">
        <v>1.5888869047619048</v>
      </c>
      <c r="DY44" s="680">
        <v>1.3639761904761905</v>
      </c>
      <c r="DZ44" s="681">
        <v>1.3844880952380951</v>
      </c>
      <c r="EA44" s="682"/>
      <c r="EC44" s="679">
        <v>33</v>
      </c>
      <c r="ED44" s="680">
        <v>12.098571428571429</v>
      </c>
      <c r="EE44" s="680">
        <v>11.082539682539682</v>
      </c>
      <c r="EF44" s="681">
        <v>10.794200714285713</v>
      </c>
      <c r="EG44" s="682"/>
      <c r="EI44" s="679">
        <v>33</v>
      </c>
      <c r="EJ44" s="680">
        <v>7.7560000000000002</v>
      </c>
      <c r="EK44" s="680">
        <v>3.1828571428571428</v>
      </c>
      <c r="EL44" s="681">
        <v>2.6647142857142856</v>
      </c>
      <c r="EM44" s="682"/>
      <c r="EO44" s="679">
        <v>33</v>
      </c>
      <c r="EP44" s="680">
        <v>20.758999999999997</v>
      </c>
      <c r="EQ44" s="680">
        <v>19.049999999999997</v>
      </c>
      <c r="ER44" s="681">
        <v>19.119714285714284</v>
      </c>
      <c r="ES44" s="682"/>
      <c r="EU44" s="679">
        <v>33</v>
      </c>
      <c r="EV44" s="680">
        <v>7.0714285714285721</v>
      </c>
      <c r="EW44" s="680">
        <v>4</v>
      </c>
      <c r="EX44" s="681">
        <v>4.8571428571428568</v>
      </c>
      <c r="EY44" s="682"/>
    </row>
    <row r="45" spans="13:155">
      <c r="M45" s="679">
        <v>34</v>
      </c>
      <c r="N45" s="680">
        <v>17.814669404761904</v>
      </c>
      <c r="O45" s="680">
        <v>3.7221894642857145</v>
      </c>
      <c r="P45" s="681">
        <v>19.52066125</v>
      </c>
      <c r="Q45" s="682"/>
      <c r="S45" s="679">
        <v>34</v>
      </c>
      <c r="T45" s="680">
        <v>8.5</v>
      </c>
      <c r="U45" s="680">
        <v>3.3392857142857144</v>
      </c>
      <c r="V45" s="681">
        <v>6.397619047619048</v>
      </c>
      <c r="W45" s="682"/>
      <c r="Y45" s="679">
        <v>34</v>
      </c>
      <c r="Z45" s="680">
        <v>16.217902307692306</v>
      </c>
      <c r="AA45" s="680">
        <v>11.790654838709676</v>
      </c>
      <c r="AB45" s="681">
        <v>14.735789473684211</v>
      </c>
      <c r="AC45" s="682"/>
      <c r="AE45" s="679">
        <v>34</v>
      </c>
      <c r="AF45" s="680">
        <v>26.738878474576271</v>
      </c>
      <c r="AG45" s="680">
        <v>24.429476785714286</v>
      </c>
      <c r="AH45" s="681">
        <v>18.977465833333333</v>
      </c>
      <c r="AI45" s="682"/>
      <c r="AK45" s="679">
        <v>34</v>
      </c>
      <c r="AL45" s="680">
        <v>25.360142857142858</v>
      </c>
      <c r="AM45" s="680">
        <v>28.740690476190476</v>
      </c>
      <c r="AN45" s="681">
        <v>35.974220238095235</v>
      </c>
      <c r="AO45" s="682"/>
      <c r="AQ45" s="679">
        <v>34</v>
      </c>
      <c r="AR45" s="680">
        <v>9.6848095238095233</v>
      </c>
      <c r="AS45" s="680">
        <v>5.9792440476190478</v>
      </c>
      <c r="AT45" s="681">
        <v>3.2134047619047621</v>
      </c>
      <c r="AU45" s="682"/>
      <c r="AW45" s="679">
        <v>34</v>
      </c>
      <c r="AX45" s="680">
        <v>1.7314285714285715</v>
      </c>
      <c r="AY45" s="680">
        <v>1.8168571428571429</v>
      </c>
      <c r="AZ45" s="681">
        <v>1.5192857142857144</v>
      </c>
      <c r="BA45" s="682"/>
      <c r="BC45" s="679">
        <v>34</v>
      </c>
      <c r="BD45" s="680">
        <v>6.5702380952380954</v>
      </c>
      <c r="BE45" s="680">
        <v>7.1738095238095241</v>
      </c>
      <c r="BF45" s="681">
        <v>7.4188328571428572</v>
      </c>
      <c r="BG45" s="682"/>
      <c r="BI45" s="679">
        <v>34</v>
      </c>
      <c r="BJ45" s="680">
        <v>25.892857142857142</v>
      </c>
      <c r="BK45" s="680">
        <v>21.785714285714285</v>
      </c>
      <c r="BL45" s="681">
        <v>21</v>
      </c>
      <c r="BM45" s="682"/>
      <c r="BO45" s="679">
        <v>34</v>
      </c>
      <c r="BP45" s="680">
        <v>7.6577380952380958</v>
      </c>
      <c r="BQ45" s="680">
        <v>5.2142857142857144</v>
      </c>
      <c r="BR45" s="681">
        <v>5.3327380952380956</v>
      </c>
      <c r="BS45" s="682"/>
      <c r="BU45" s="679">
        <v>34</v>
      </c>
      <c r="BV45" s="680">
        <v>5.8734523809523811</v>
      </c>
      <c r="BW45" s="680">
        <v>4.7784523809523805</v>
      </c>
      <c r="BX45" s="681">
        <v>5.4408928571428579</v>
      </c>
      <c r="BY45" s="682"/>
      <c r="CA45" s="679">
        <v>34</v>
      </c>
      <c r="CB45" s="680">
        <v>67.186000000000007</v>
      </c>
      <c r="CC45" s="680">
        <v>55.957977142857139</v>
      </c>
      <c r="CD45" s="681">
        <v>59.935607142857144</v>
      </c>
      <c r="CE45" s="682"/>
      <c r="CG45" s="679">
        <v>34</v>
      </c>
      <c r="CH45" s="680">
        <v>38.306428571428576</v>
      </c>
      <c r="CI45" s="680">
        <v>28.472321428571426</v>
      </c>
      <c r="CJ45" s="681">
        <v>35.478392857142858</v>
      </c>
      <c r="CK45" s="682"/>
      <c r="CM45" s="679">
        <v>34</v>
      </c>
      <c r="CN45" s="680">
        <v>22.838303571428572</v>
      </c>
      <c r="CO45" s="680">
        <v>13.971279761904762</v>
      </c>
      <c r="CP45" s="681">
        <v>20.003574583333332</v>
      </c>
      <c r="CQ45" s="682"/>
      <c r="CS45" s="679">
        <v>34</v>
      </c>
      <c r="CT45" s="680">
        <v>9.0178571428571423</v>
      </c>
      <c r="CU45" s="680">
        <v>11.307142857142857</v>
      </c>
      <c r="CV45" s="681">
        <v>10.333333333333332</v>
      </c>
      <c r="CW45" s="682"/>
      <c r="CY45" s="679">
        <v>34</v>
      </c>
      <c r="CZ45" s="680">
        <v>2.4732142857142856</v>
      </c>
      <c r="DA45" s="680">
        <v>4.2857142857142865</v>
      </c>
      <c r="DB45" s="681">
        <v>0</v>
      </c>
      <c r="DC45" s="682">
        <v>7.0449999999999999</v>
      </c>
      <c r="DE45" s="679"/>
      <c r="DF45" s="679">
        <v>34</v>
      </c>
      <c r="DG45" s="680">
        <v>16.086648571428569</v>
      </c>
      <c r="DH45" s="681">
        <v>12.626857142857142</v>
      </c>
      <c r="DI45" s="682">
        <v>17.414857142857141</v>
      </c>
      <c r="DK45" s="679">
        <v>34</v>
      </c>
      <c r="DL45" s="680">
        <v>0.97499999999999998</v>
      </c>
      <c r="DM45" s="680">
        <v>0.80700000000000005</v>
      </c>
      <c r="DN45" s="681">
        <v>0.63</v>
      </c>
      <c r="DO45" s="682"/>
      <c r="DQ45" s="679">
        <v>34</v>
      </c>
      <c r="DR45" s="680">
        <v>13.96767857142857</v>
      </c>
      <c r="DS45" s="680">
        <v>10.30267857142857</v>
      </c>
      <c r="DT45" s="681">
        <v>12.608702380952382</v>
      </c>
      <c r="DU45" s="682"/>
      <c r="DW45" s="679">
        <v>34</v>
      </c>
      <c r="DX45" s="680">
        <v>1.5062142857142857</v>
      </c>
      <c r="DY45" s="680">
        <v>1.3449166666666668</v>
      </c>
      <c r="DZ45" s="681">
        <v>1.3730416666666667</v>
      </c>
      <c r="EA45" s="682"/>
      <c r="EC45" s="679">
        <v>34</v>
      </c>
      <c r="ED45" s="680">
        <v>11.756785714285714</v>
      </c>
      <c r="EE45" s="680">
        <v>8.7592857142857135</v>
      </c>
      <c r="EF45" s="681">
        <v>11.403251130952381</v>
      </c>
      <c r="EG45" s="682"/>
      <c r="EI45" s="679">
        <v>34</v>
      </c>
      <c r="EJ45" s="680">
        <v>6.7308571428571433</v>
      </c>
      <c r="EK45" s="680">
        <v>3.1785714285714288</v>
      </c>
      <c r="EL45" s="681">
        <v>3.7325714285714287</v>
      </c>
      <c r="EM45" s="682"/>
      <c r="EO45" s="679">
        <v>34</v>
      </c>
      <c r="EP45" s="680">
        <v>25.805224285714285</v>
      </c>
      <c r="EQ45" s="680">
        <v>20.877000000000002</v>
      </c>
      <c r="ER45" s="681">
        <v>18.699714285714286</v>
      </c>
      <c r="ES45" s="682"/>
      <c r="EU45" s="679">
        <v>34</v>
      </c>
      <c r="EV45" s="680">
        <v>11.214285714285715</v>
      </c>
      <c r="EW45" s="680">
        <v>3.5814285714285714</v>
      </c>
      <c r="EX45" s="681">
        <v>7</v>
      </c>
      <c r="EY45" s="682"/>
    </row>
    <row r="46" spans="13:155">
      <c r="M46" s="679">
        <v>35</v>
      </c>
      <c r="N46" s="683">
        <v>18.440122380952381</v>
      </c>
      <c r="O46" s="680">
        <v>3.6783005952380954</v>
      </c>
      <c r="P46" s="681">
        <v>26.139146607142855</v>
      </c>
      <c r="Q46" s="682"/>
      <c r="S46" s="679">
        <v>35</v>
      </c>
      <c r="T46" s="683">
        <v>8.5</v>
      </c>
      <c r="U46" s="680">
        <v>5.085119047619048</v>
      </c>
      <c r="V46" s="681">
        <v>4.8494047619047622</v>
      </c>
      <c r="W46" s="682"/>
      <c r="Y46" s="679">
        <v>35</v>
      </c>
      <c r="Z46" s="683">
        <v>16.31579</v>
      </c>
      <c r="AA46" s="680">
        <v>11.429442</v>
      </c>
      <c r="AB46" s="681">
        <v>15.907564102564104</v>
      </c>
      <c r="AC46" s="682"/>
      <c r="AE46" s="679">
        <v>35</v>
      </c>
      <c r="AF46" s="683">
        <v>27.39990089285714</v>
      </c>
      <c r="AG46" s="680">
        <v>23.28633982142857</v>
      </c>
      <c r="AH46" s="681">
        <v>20.034989464285715</v>
      </c>
      <c r="AI46" s="682"/>
      <c r="AK46" s="679">
        <v>35</v>
      </c>
      <c r="AL46" s="683">
        <v>25.566726190476189</v>
      </c>
      <c r="AM46" s="680">
        <v>30.12517857142857</v>
      </c>
      <c r="AN46" s="681">
        <v>33.177934523809526</v>
      </c>
      <c r="AO46" s="682"/>
      <c r="AQ46" s="679">
        <v>35</v>
      </c>
      <c r="AR46" s="683">
        <v>8.348809523809523</v>
      </c>
      <c r="AS46" s="680">
        <v>4.6743452380952384</v>
      </c>
      <c r="AT46" s="681">
        <v>2.7718333333333334</v>
      </c>
      <c r="AU46" s="682"/>
      <c r="AW46" s="679">
        <v>35</v>
      </c>
      <c r="AX46" s="683">
        <v>1.703714285714286</v>
      </c>
      <c r="AY46" s="680">
        <v>1.8871428571428572</v>
      </c>
      <c r="AZ46" s="681">
        <v>1.9528571428571428</v>
      </c>
      <c r="BA46" s="682"/>
      <c r="BC46" s="679">
        <v>35</v>
      </c>
      <c r="BD46" s="683">
        <v>6.5428571428571427</v>
      </c>
      <c r="BE46" s="680">
        <v>7.6916666666666664</v>
      </c>
      <c r="BF46" s="681">
        <v>7.2504214285714292</v>
      </c>
      <c r="BG46" s="682"/>
      <c r="BI46" s="679">
        <v>35</v>
      </c>
      <c r="BJ46" s="683">
        <v>24.232142857142858</v>
      </c>
      <c r="BK46" s="680">
        <v>20.910714285714285</v>
      </c>
      <c r="BL46" s="681">
        <v>25.345238095238095</v>
      </c>
      <c r="BM46" s="682"/>
      <c r="BO46" s="679">
        <v>35</v>
      </c>
      <c r="BP46" s="683">
        <v>6.8083333333333336</v>
      </c>
      <c r="BQ46" s="680">
        <v>5.0940476190476183</v>
      </c>
      <c r="BR46" s="681">
        <v>7.0273809523809527</v>
      </c>
      <c r="BS46" s="682"/>
      <c r="BU46" s="679">
        <v>35</v>
      </c>
      <c r="BV46" s="683">
        <v>6.2333333333333334</v>
      </c>
      <c r="BW46" s="680">
        <v>4.8842857142857143</v>
      </c>
      <c r="BX46" s="681">
        <v>5.9502976190476184</v>
      </c>
      <c r="BY46" s="682"/>
      <c r="CA46" s="679">
        <v>35</v>
      </c>
      <c r="CB46" s="683">
        <v>70.909397142857145</v>
      </c>
      <c r="CC46" s="680">
        <v>53.568442857142855</v>
      </c>
      <c r="CD46" s="681">
        <v>60.937711428571433</v>
      </c>
      <c r="CE46" s="682"/>
      <c r="CG46" s="679">
        <v>35</v>
      </c>
      <c r="CH46" s="683">
        <v>40.638988095238098</v>
      </c>
      <c r="CI46" s="680">
        <v>28.715833333333332</v>
      </c>
      <c r="CJ46" s="681">
        <v>35.879940476190477</v>
      </c>
      <c r="CK46" s="682"/>
      <c r="CM46" s="679">
        <v>35</v>
      </c>
      <c r="CN46" s="683">
        <v>19.976577380952378</v>
      </c>
      <c r="CO46" s="680">
        <v>13.367744047619047</v>
      </c>
      <c r="CP46" s="681">
        <v>23.865934285714285</v>
      </c>
      <c r="CQ46" s="682"/>
      <c r="CS46" s="679">
        <v>35</v>
      </c>
      <c r="CT46" s="683">
        <v>9</v>
      </c>
      <c r="CU46" s="680">
        <v>9.3452380952380949</v>
      </c>
      <c r="CV46" s="681">
        <v>10.611904761904761</v>
      </c>
      <c r="CW46" s="682"/>
      <c r="CY46" s="679">
        <v>35</v>
      </c>
      <c r="CZ46" s="683">
        <v>2.916666666666667</v>
      </c>
      <c r="DA46" s="680">
        <v>3.3112857142857144</v>
      </c>
      <c r="DB46" s="681">
        <v>0</v>
      </c>
      <c r="DC46" s="682">
        <v>7.0449999999999999</v>
      </c>
      <c r="DE46" s="679"/>
      <c r="DF46" s="679">
        <v>35</v>
      </c>
      <c r="DG46" s="680">
        <v>16.804434285714287</v>
      </c>
      <c r="DH46" s="681">
        <v>13.360064285714286</v>
      </c>
      <c r="DI46" s="682">
        <v>15.357862857142857</v>
      </c>
      <c r="DK46" s="679">
        <v>35</v>
      </c>
      <c r="DL46" s="683">
        <v>0.97499999999999998</v>
      </c>
      <c r="DM46" s="680">
        <v>0.80700000000000005</v>
      </c>
      <c r="DN46" s="681">
        <v>0.63</v>
      </c>
      <c r="DO46" s="682"/>
      <c r="DQ46" s="679">
        <v>35</v>
      </c>
      <c r="DR46" s="683">
        <v>14.058988095238096</v>
      </c>
      <c r="DS46" s="680">
        <v>10.568511904761904</v>
      </c>
      <c r="DT46" s="681">
        <v>12.612029761904761</v>
      </c>
      <c r="DU46" s="682"/>
      <c r="DW46" s="679">
        <v>35</v>
      </c>
      <c r="DX46" s="683">
        <v>1.4867738095238097</v>
      </c>
      <c r="DY46" s="680">
        <v>1.395559523809524</v>
      </c>
      <c r="DZ46" s="681">
        <v>1.3833392857142857</v>
      </c>
      <c r="EA46" s="682"/>
      <c r="EC46" s="679">
        <v>35</v>
      </c>
      <c r="ED46" s="683">
        <v>12.592589285714286</v>
      </c>
      <c r="EE46" s="680">
        <v>10.168863636363636</v>
      </c>
      <c r="EF46" s="681">
        <v>11.194279345238096</v>
      </c>
      <c r="EG46" s="682"/>
      <c r="EI46" s="679">
        <v>35</v>
      </c>
      <c r="EJ46" s="683">
        <v>9.0442857142857136</v>
      </c>
      <c r="EK46" s="680">
        <v>4.1310000000000002</v>
      </c>
      <c r="EL46" s="681">
        <v>4.5307142857142857</v>
      </c>
      <c r="EM46" s="682"/>
      <c r="EO46" s="679">
        <v>35</v>
      </c>
      <c r="EP46" s="683">
        <v>26.197011428571429</v>
      </c>
      <c r="EQ46" s="680">
        <v>14.689654285714287</v>
      </c>
      <c r="ER46" s="681">
        <v>24.819689999999998</v>
      </c>
      <c r="ES46" s="682"/>
      <c r="EU46" s="679">
        <v>35</v>
      </c>
      <c r="EV46" s="683">
        <v>12</v>
      </c>
      <c r="EW46" s="680">
        <v>3.7242857142857146</v>
      </c>
      <c r="EX46" s="681">
        <v>9.1428571428571423</v>
      </c>
      <c r="EY46" s="682"/>
    </row>
    <row r="47" spans="13:155">
      <c r="M47" s="679">
        <v>36</v>
      </c>
      <c r="N47" s="683">
        <v>27.367440238095238</v>
      </c>
      <c r="O47" s="680">
        <v>3.7254572023809529</v>
      </c>
      <c r="P47" s="681">
        <v>18.282831369047621</v>
      </c>
      <c r="Q47" s="682"/>
      <c r="S47" s="679">
        <v>36</v>
      </c>
      <c r="T47" s="683">
        <v>8.5</v>
      </c>
      <c r="U47" s="680">
        <v>4.0565476190476195</v>
      </c>
      <c r="V47" s="681">
        <v>4.7976190476190474</v>
      </c>
      <c r="W47" s="682"/>
      <c r="Y47" s="679">
        <v>36</v>
      </c>
      <c r="Z47" s="683">
        <v>16.31579</v>
      </c>
      <c r="AA47" s="680">
        <v>11.204540909090909</v>
      </c>
      <c r="AB47" s="681">
        <v>15.917727272727273</v>
      </c>
      <c r="AC47" s="682"/>
      <c r="AE47" s="679">
        <v>36</v>
      </c>
      <c r="AF47" s="683">
        <v>23.578874107142855</v>
      </c>
      <c r="AG47" s="680">
        <v>20.47283773809524</v>
      </c>
      <c r="AH47" s="681">
        <v>20.634920297619047</v>
      </c>
      <c r="AI47" s="682"/>
      <c r="AK47" s="679">
        <v>36</v>
      </c>
      <c r="AL47" s="683">
        <v>27.733642857142858</v>
      </c>
      <c r="AM47" s="680">
        <v>30.62184523809524</v>
      </c>
      <c r="AN47" s="681">
        <v>36.156041666666667</v>
      </c>
      <c r="AO47" s="682"/>
      <c r="AQ47" s="679">
        <v>36</v>
      </c>
      <c r="AR47" s="683">
        <v>7.1784226190476188</v>
      </c>
      <c r="AS47" s="680">
        <v>5.4713154761904761</v>
      </c>
      <c r="AT47" s="681">
        <v>2.4279166666666669</v>
      </c>
      <c r="AU47" s="682"/>
      <c r="AW47" s="679">
        <v>36</v>
      </c>
      <c r="AX47" s="683">
        <v>1.48</v>
      </c>
      <c r="AY47" s="680">
        <v>1.74</v>
      </c>
      <c r="AZ47" s="681">
        <v>1.3097142857142858</v>
      </c>
      <c r="BA47" s="682"/>
      <c r="BC47" s="679">
        <v>36</v>
      </c>
      <c r="BD47" s="683">
        <v>6.3226190476190478</v>
      </c>
      <c r="BE47" s="680">
        <v>7.1761904761904765</v>
      </c>
      <c r="BF47" s="681">
        <v>7.0097014285714296</v>
      </c>
      <c r="BG47" s="682"/>
      <c r="BI47" s="679">
        <v>36</v>
      </c>
      <c r="BJ47" s="683">
        <v>22.238095238095237</v>
      </c>
      <c r="BK47" s="680">
        <v>24.636904761904763</v>
      </c>
      <c r="BL47" s="681">
        <v>22.398809523809526</v>
      </c>
      <c r="BM47" s="682"/>
      <c r="BO47" s="679">
        <v>36</v>
      </c>
      <c r="BP47" s="683">
        <v>6.3386904761904761</v>
      </c>
      <c r="BQ47" s="680">
        <v>5.3142857142857141</v>
      </c>
      <c r="BR47" s="681">
        <v>5.6845238095238102</v>
      </c>
      <c r="BS47" s="682"/>
      <c r="BU47" s="679">
        <v>36</v>
      </c>
      <c r="BV47" s="683">
        <v>5.6138690476190476</v>
      </c>
      <c r="BW47" s="680">
        <v>5.878511904761905</v>
      </c>
      <c r="BX47" s="681">
        <v>6.1593452380952387</v>
      </c>
      <c r="BY47" s="682"/>
      <c r="CA47" s="679">
        <v>36</v>
      </c>
      <c r="CB47" s="683">
        <v>63.658282857142858</v>
      </c>
      <c r="CC47" s="680">
        <v>55.328421428571431</v>
      </c>
      <c r="CD47" s="681">
        <v>59.124839999999999</v>
      </c>
      <c r="CE47" s="682"/>
      <c r="CG47" s="679">
        <v>36</v>
      </c>
      <c r="CH47" s="683">
        <v>39.713154761904768</v>
      </c>
      <c r="CI47" s="680">
        <v>30.856011904761903</v>
      </c>
      <c r="CJ47" s="681">
        <v>36.85285714285714</v>
      </c>
      <c r="CK47" s="682"/>
      <c r="CM47" s="679">
        <v>36</v>
      </c>
      <c r="CN47" s="683">
        <v>18.146744047619048</v>
      </c>
      <c r="CO47" s="680">
        <v>11.299565476190475</v>
      </c>
      <c r="CP47" s="681">
        <v>25.003873333333331</v>
      </c>
      <c r="CQ47" s="682"/>
      <c r="CS47" s="679">
        <v>36</v>
      </c>
      <c r="CT47" s="683">
        <v>8.5297619047619051</v>
      </c>
      <c r="CU47" s="680">
        <v>8.9011904761904752</v>
      </c>
      <c r="CV47" s="681">
        <v>10.931547619047619</v>
      </c>
      <c r="CW47" s="682"/>
      <c r="CY47" s="679">
        <v>36</v>
      </c>
      <c r="CZ47" s="683">
        <v>0</v>
      </c>
      <c r="DA47" s="680">
        <v>6.1790000000000003</v>
      </c>
      <c r="DB47" s="681">
        <v>0</v>
      </c>
      <c r="DC47" s="682">
        <v>7.0449999999999999</v>
      </c>
      <c r="DE47" s="679"/>
      <c r="DF47" s="679">
        <v>36</v>
      </c>
      <c r="DG47" s="680">
        <v>13.020234285714286</v>
      </c>
      <c r="DH47" s="681">
        <v>10.351714285714287</v>
      </c>
      <c r="DI47" s="682">
        <v>12.395571428571429</v>
      </c>
      <c r="DK47" s="679">
        <v>36</v>
      </c>
      <c r="DL47" s="683">
        <v>1.9350000000000001</v>
      </c>
      <c r="DM47" s="680">
        <v>0.80700000000000005</v>
      </c>
      <c r="DN47" s="681">
        <v>0.63</v>
      </c>
      <c r="DO47" s="682"/>
      <c r="DQ47" s="679">
        <v>36</v>
      </c>
      <c r="DR47" s="683">
        <v>14.080714285714285</v>
      </c>
      <c r="DS47" s="680">
        <v>11.495654761904762</v>
      </c>
      <c r="DT47" s="681">
        <v>12.648928571428572</v>
      </c>
      <c r="DU47" s="682"/>
      <c r="DW47" s="679">
        <v>36</v>
      </c>
      <c r="DX47" s="683">
        <v>1.4799583333333335</v>
      </c>
      <c r="DY47" s="680">
        <v>1.381142857142857</v>
      </c>
      <c r="DZ47" s="681">
        <v>1.3733690476190477</v>
      </c>
      <c r="EA47" s="682"/>
      <c r="EC47" s="679">
        <v>36</v>
      </c>
      <c r="ED47" s="683">
        <v>11.989285714285714</v>
      </c>
      <c r="EE47" s="680">
        <v>10.774444444444445</v>
      </c>
      <c r="EF47" s="681">
        <v>12.738394285714286</v>
      </c>
      <c r="EG47" s="682"/>
      <c r="EI47" s="679">
        <v>36</v>
      </c>
      <c r="EJ47" s="683">
        <v>10.173857142857141</v>
      </c>
      <c r="EK47" s="680">
        <v>2.9395714285714285</v>
      </c>
      <c r="EL47" s="681">
        <v>5.2011428571428571</v>
      </c>
      <c r="EM47" s="682"/>
      <c r="EO47" s="679">
        <v>36</v>
      </c>
      <c r="EP47" s="683">
        <v>24.665034285714285</v>
      </c>
      <c r="EQ47" s="680">
        <v>14.642428571428571</v>
      </c>
      <c r="ER47" s="681">
        <v>24.931142857142856</v>
      </c>
      <c r="ES47" s="682"/>
      <c r="EU47" s="679">
        <v>36</v>
      </c>
      <c r="EV47" s="683">
        <v>12</v>
      </c>
      <c r="EW47" s="680">
        <v>4.8571428571428568</v>
      </c>
      <c r="EX47" s="681">
        <v>10</v>
      </c>
      <c r="EY47" s="682"/>
    </row>
    <row r="48" spans="13:155">
      <c r="M48" s="679">
        <v>37</v>
      </c>
      <c r="N48" s="680">
        <v>17.051804940476188</v>
      </c>
      <c r="O48" s="680">
        <v>3.7262060714285719</v>
      </c>
      <c r="P48" s="681">
        <v>22.26321595238095</v>
      </c>
      <c r="Q48" s="682"/>
      <c r="S48" s="679">
        <v>37</v>
      </c>
      <c r="T48" s="680">
        <v>8.4857142857142858</v>
      </c>
      <c r="U48" s="680">
        <v>3.2684523809523811</v>
      </c>
      <c r="V48" s="681">
        <v>4.9595238095238097</v>
      </c>
      <c r="W48" s="682"/>
      <c r="Y48" s="679">
        <v>37</v>
      </c>
      <c r="Z48" s="680">
        <v>16.184408333333334</v>
      </c>
      <c r="AA48" s="680">
        <v>10.459101086956522</v>
      </c>
      <c r="AB48" s="681">
        <v>15.370681818181819</v>
      </c>
      <c r="AC48" s="682"/>
      <c r="AE48" s="679">
        <v>37</v>
      </c>
      <c r="AF48" s="680">
        <v>21.39784106732348</v>
      </c>
      <c r="AG48" s="680">
        <v>11.625696369047619</v>
      </c>
      <c r="AH48" s="681">
        <v>18.338426904761903</v>
      </c>
      <c r="AI48" s="682"/>
      <c r="AK48" s="679">
        <v>37</v>
      </c>
      <c r="AL48" s="680">
        <v>30.252976190476186</v>
      </c>
      <c r="AM48" s="680">
        <v>25.994047619047617</v>
      </c>
      <c r="AN48" s="681">
        <v>37.571422619047617</v>
      </c>
      <c r="AO48" s="682"/>
      <c r="AQ48" s="679">
        <v>37</v>
      </c>
      <c r="AR48" s="680">
        <v>7.1493333333333338</v>
      </c>
      <c r="AS48" s="680">
        <v>4.4325595238095241</v>
      </c>
      <c r="AT48" s="681">
        <v>2.6039940476190475</v>
      </c>
      <c r="AU48" s="682"/>
      <c r="AW48" s="679">
        <v>37</v>
      </c>
      <c r="AX48" s="680">
        <v>1.6220000000000001</v>
      </c>
      <c r="AY48" s="680">
        <v>1.6961428571428572</v>
      </c>
      <c r="AZ48" s="681">
        <v>1.4174285714285715</v>
      </c>
      <c r="BA48" s="682"/>
      <c r="BC48" s="679">
        <v>37</v>
      </c>
      <c r="BD48" s="680">
        <v>5.7279761904761912</v>
      </c>
      <c r="BE48" s="680">
        <v>6.7976190476190483</v>
      </c>
      <c r="BF48" s="681">
        <v>7.0177342857142859</v>
      </c>
      <c r="BG48" s="682"/>
      <c r="BI48" s="679">
        <v>37</v>
      </c>
      <c r="BJ48" s="680">
        <v>27.642857142857142</v>
      </c>
      <c r="BK48" s="680">
        <v>22.75</v>
      </c>
      <c r="BL48" s="681">
        <v>21.785714285714285</v>
      </c>
      <c r="BM48" s="682"/>
      <c r="BO48" s="679">
        <v>37</v>
      </c>
      <c r="BP48" s="680">
        <v>6.3392857142857153</v>
      </c>
      <c r="BQ48" s="680">
        <v>5.3053571428571429</v>
      </c>
      <c r="BR48" s="681">
        <v>5.1452380952380956</v>
      </c>
      <c r="BS48" s="682"/>
      <c r="BU48" s="679">
        <v>37</v>
      </c>
      <c r="BV48" s="680">
        <v>5.6806904761904766</v>
      </c>
      <c r="BW48" s="680">
        <v>5.6679166666666667</v>
      </c>
      <c r="BX48" s="681">
        <v>6.5198214285714284</v>
      </c>
      <c r="BY48" s="682"/>
      <c r="CA48" s="679">
        <v>37</v>
      </c>
      <c r="CB48" s="680">
        <v>60.511012857142852</v>
      </c>
      <c r="CC48" s="680">
        <v>56.533175714285711</v>
      </c>
      <c r="CD48" s="681">
        <v>59.624978032506419</v>
      </c>
      <c r="CE48" s="682"/>
      <c r="CG48" s="679">
        <v>37</v>
      </c>
      <c r="CH48" s="680">
        <v>41.439107142857146</v>
      </c>
      <c r="CI48" s="680">
        <v>30.721488095238094</v>
      </c>
      <c r="CJ48" s="681">
        <v>35.675952380952381</v>
      </c>
      <c r="CK48" s="682"/>
      <c r="CM48" s="679">
        <v>37</v>
      </c>
      <c r="CN48" s="680">
        <v>18.857440476190476</v>
      </c>
      <c r="CO48" s="680">
        <v>16.21643380952381</v>
      </c>
      <c r="CP48" s="681">
        <v>22.18115107142857</v>
      </c>
      <c r="CQ48" s="682"/>
      <c r="CS48" s="679">
        <v>37</v>
      </c>
      <c r="CT48" s="680">
        <v>8.3755952380952383</v>
      </c>
      <c r="CU48" s="680">
        <v>9.918452380952381</v>
      </c>
      <c r="CV48" s="681">
        <v>10.105952380952381</v>
      </c>
      <c r="CW48" s="682"/>
      <c r="CY48" s="679">
        <v>37</v>
      </c>
      <c r="CZ48" s="680">
        <v>0</v>
      </c>
      <c r="DA48" s="680">
        <v>6.1098571428571438</v>
      </c>
      <c r="DB48" s="681">
        <v>0</v>
      </c>
      <c r="DC48" s="682">
        <v>7.0449999999999999</v>
      </c>
      <c r="DE48" s="679"/>
      <c r="DF48" s="679">
        <v>37</v>
      </c>
      <c r="DG48" s="680">
        <v>8.6278571428571436</v>
      </c>
      <c r="DH48" s="681">
        <v>4.641</v>
      </c>
      <c r="DI48" s="682">
        <v>16.352331428571429</v>
      </c>
      <c r="DK48" s="679">
        <v>37</v>
      </c>
      <c r="DL48" s="680">
        <v>2.8835714285714285</v>
      </c>
      <c r="DM48" s="680">
        <v>2.9729999999999999</v>
      </c>
      <c r="DN48" s="681">
        <v>0.63</v>
      </c>
      <c r="DO48" s="682"/>
      <c r="DQ48" s="679">
        <v>37</v>
      </c>
      <c r="DR48" s="680">
        <v>13.895238095238094</v>
      </c>
      <c r="DS48" s="680">
        <v>11.481130952380953</v>
      </c>
      <c r="DT48" s="681">
        <v>12.703273809523809</v>
      </c>
      <c r="DU48" s="682"/>
      <c r="DW48" s="679">
        <v>37</v>
      </c>
      <c r="DX48" s="680">
        <v>1.5020357142857144</v>
      </c>
      <c r="DY48" s="680">
        <v>1.4239226190476191</v>
      </c>
      <c r="DZ48" s="681">
        <v>1.378107142857143</v>
      </c>
      <c r="EA48" s="682"/>
      <c r="EC48" s="679">
        <v>37</v>
      </c>
      <c r="ED48" s="680">
        <v>13.571428571428571</v>
      </c>
      <c r="EE48" s="680">
        <v>10.745714285714284</v>
      </c>
      <c r="EF48" s="681">
        <v>14.188574285714285</v>
      </c>
      <c r="EG48" s="682"/>
      <c r="EI48" s="679">
        <v>37</v>
      </c>
      <c r="EJ48" s="680">
        <v>8.2764285714285712</v>
      </c>
      <c r="EK48" s="680">
        <v>2.9160000000000004</v>
      </c>
      <c r="EL48" s="681">
        <v>5.5704285714285717</v>
      </c>
      <c r="EM48" s="682"/>
      <c r="EO48" s="679">
        <v>37</v>
      </c>
      <c r="EP48" s="680">
        <v>23.766999999999999</v>
      </c>
      <c r="EQ48" s="680">
        <v>14.864857142857144</v>
      </c>
      <c r="ER48" s="681">
        <v>25.599404285714286</v>
      </c>
      <c r="ES48" s="682"/>
      <c r="EU48" s="679">
        <v>37</v>
      </c>
      <c r="EV48" s="680">
        <v>12</v>
      </c>
      <c r="EW48" s="680">
        <v>4</v>
      </c>
      <c r="EX48" s="681">
        <v>10</v>
      </c>
      <c r="EY48" s="682"/>
    </row>
    <row r="49" spans="13:155">
      <c r="M49" s="679">
        <v>38</v>
      </c>
      <c r="N49" s="680">
        <v>15.810213273809524</v>
      </c>
      <c r="O49" s="680">
        <v>3.7222056547619049</v>
      </c>
      <c r="P49" s="681">
        <v>17.837958392857143</v>
      </c>
      <c r="Q49" s="682"/>
      <c r="S49" s="679">
        <v>38</v>
      </c>
      <c r="T49" s="680">
        <v>8.4803571428571427</v>
      </c>
      <c r="U49" s="680">
        <v>6.7874999999999996</v>
      </c>
      <c r="V49" s="681">
        <v>7.8732142857142859</v>
      </c>
      <c r="W49" s="682"/>
      <c r="Y49" s="679">
        <v>38</v>
      </c>
      <c r="Z49" s="680">
        <v>16.294863636363637</v>
      </c>
      <c r="AA49" s="680">
        <v>13.684423888888888</v>
      </c>
      <c r="AB49" s="681">
        <v>16.383239436619718</v>
      </c>
      <c r="AC49" s="682"/>
      <c r="AE49" s="679">
        <v>38</v>
      </c>
      <c r="AF49" s="680">
        <v>21.1024357401168</v>
      </c>
      <c r="AG49" s="680">
        <v>12.952952559523808</v>
      </c>
      <c r="AH49" s="681">
        <v>23.423318392857144</v>
      </c>
      <c r="AI49" s="682"/>
      <c r="AK49" s="679">
        <v>38</v>
      </c>
      <c r="AL49" s="680">
        <v>37.00830357142857</v>
      </c>
      <c r="AM49" s="680">
        <v>32.033988095238094</v>
      </c>
      <c r="AN49" s="681">
        <v>44.536732142857147</v>
      </c>
      <c r="AO49" s="682"/>
      <c r="AQ49" s="679">
        <v>38</v>
      </c>
      <c r="AR49" s="680">
        <v>21.733553571428573</v>
      </c>
      <c r="AS49" s="680">
        <v>3.0378571428571428</v>
      </c>
      <c r="AT49" s="681">
        <v>2.3044404761904764</v>
      </c>
      <c r="AU49" s="682"/>
      <c r="AW49" s="679">
        <v>38</v>
      </c>
      <c r="AX49" s="680">
        <v>1.5089999999999999</v>
      </c>
      <c r="AY49" s="680">
        <v>1.5474285714285716</v>
      </c>
      <c r="AZ49" s="681">
        <v>1.4341428571428572</v>
      </c>
      <c r="BA49" s="682"/>
      <c r="BC49" s="679">
        <v>38</v>
      </c>
      <c r="BD49" s="680">
        <v>5.7940476190476184</v>
      </c>
      <c r="BE49" s="680">
        <v>7.300595238095239</v>
      </c>
      <c r="BF49" s="681">
        <v>7.0100928571428573</v>
      </c>
      <c r="BG49" s="682"/>
      <c r="BI49" s="679">
        <v>38</v>
      </c>
      <c r="BJ49" s="680">
        <v>29.702380952380953</v>
      </c>
      <c r="BK49" s="680">
        <v>28.702380952380953</v>
      </c>
      <c r="BL49" s="681">
        <v>22.184523809523807</v>
      </c>
      <c r="BM49" s="682"/>
      <c r="BO49" s="679">
        <v>38</v>
      </c>
      <c r="BP49" s="680">
        <v>6.6744047619047615</v>
      </c>
      <c r="BQ49" s="680">
        <v>5.7482142857142859</v>
      </c>
      <c r="BR49" s="681">
        <v>5.0589285714285719</v>
      </c>
      <c r="BS49" s="682"/>
      <c r="BU49" s="679">
        <v>38</v>
      </c>
      <c r="BV49" s="680">
        <v>7.074702380952381</v>
      </c>
      <c r="BW49" s="680">
        <v>5.5802380952380961</v>
      </c>
      <c r="BX49" s="681">
        <v>8.4429761904761893</v>
      </c>
      <c r="BY49" s="682"/>
      <c r="CA49" s="679">
        <v>38</v>
      </c>
      <c r="CB49" s="680">
        <v>69.248734285714278</v>
      </c>
      <c r="CC49" s="680">
        <v>57.29794714285714</v>
      </c>
      <c r="CD49" s="681">
        <v>57.922452857142858</v>
      </c>
      <c r="CE49" s="682"/>
      <c r="CG49" s="679">
        <v>38</v>
      </c>
      <c r="CH49" s="680">
        <v>43.727142857142859</v>
      </c>
      <c r="CI49" s="680">
        <v>30.928869047619045</v>
      </c>
      <c r="CJ49" s="681">
        <v>37.584404761904764</v>
      </c>
      <c r="CK49" s="682"/>
      <c r="CM49" s="679">
        <v>38</v>
      </c>
      <c r="CN49" s="680">
        <v>21.921863095238095</v>
      </c>
      <c r="CO49" s="680">
        <v>17.982369047619049</v>
      </c>
      <c r="CP49" s="681">
        <v>20.118804821428569</v>
      </c>
      <c r="CQ49" s="682"/>
      <c r="CS49" s="679">
        <v>38</v>
      </c>
      <c r="CT49" s="680">
        <v>8.2321428571428577</v>
      </c>
      <c r="CU49" s="680">
        <v>8.1029761904761912</v>
      </c>
      <c r="CV49" s="681">
        <v>8.9732142857142865</v>
      </c>
      <c r="CW49" s="682"/>
      <c r="CY49" s="679">
        <v>38</v>
      </c>
      <c r="CZ49" s="680">
        <v>3.6666666666666665</v>
      </c>
      <c r="DA49" s="680">
        <v>6.0582857142857147</v>
      </c>
      <c r="DB49" s="681">
        <v>0</v>
      </c>
      <c r="DC49" s="682">
        <v>5.9315714285714289</v>
      </c>
      <c r="DE49" s="679"/>
      <c r="DF49" s="679">
        <v>38</v>
      </c>
      <c r="DG49" s="680">
        <v>6.4153400000000005</v>
      </c>
      <c r="DH49" s="681">
        <v>4.641</v>
      </c>
      <c r="DI49" s="682">
        <v>13.114571428571427</v>
      </c>
      <c r="DK49" s="679">
        <v>38</v>
      </c>
      <c r="DL49" s="680">
        <v>2.9750000000000001</v>
      </c>
      <c r="DM49" s="680">
        <v>0.80700000000000005</v>
      </c>
      <c r="DN49" s="681">
        <v>0.63</v>
      </c>
      <c r="DO49" s="682"/>
      <c r="DQ49" s="679">
        <v>38</v>
      </c>
      <c r="DR49" s="680">
        <v>13.981904761904762</v>
      </c>
      <c r="DS49" s="680">
        <v>11.506488095238094</v>
      </c>
      <c r="DT49" s="681">
        <v>12.64970238095238</v>
      </c>
      <c r="DU49" s="682"/>
      <c r="DW49" s="679">
        <v>38</v>
      </c>
      <c r="DX49" s="680">
        <v>1.5248630952380953</v>
      </c>
      <c r="DY49" s="680">
        <v>1.3737916666666667</v>
      </c>
      <c r="DZ49" s="681">
        <v>1.3975357142857143</v>
      </c>
      <c r="EA49" s="682"/>
      <c r="EC49" s="679">
        <v>38</v>
      </c>
      <c r="ED49" s="680">
        <v>12.775303030303029</v>
      </c>
      <c r="EE49" s="680">
        <v>10.545714285714286</v>
      </c>
      <c r="EF49" s="681">
        <v>13.831216547619048</v>
      </c>
      <c r="EG49" s="682"/>
      <c r="EI49" s="679">
        <v>38</v>
      </c>
      <c r="EJ49" s="680">
        <v>10.170571428571428</v>
      </c>
      <c r="EK49" s="680">
        <v>3.144857142857143</v>
      </c>
      <c r="EL49" s="681">
        <v>5.8825714285714286</v>
      </c>
      <c r="EM49" s="682"/>
      <c r="EO49" s="679">
        <v>38</v>
      </c>
      <c r="EP49" s="680">
        <v>21.962030000000002</v>
      </c>
      <c r="EQ49" s="680">
        <v>12.411714285714286</v>
      </c>
      <c r="ER49" s="681">
        <v>24.582857142857144</v>
      </c>
      <c r="ES49" s="682"/>
      <c r="EU49" s="679">
        <v>38</v>
      </c>
      <c r="EV49" s="680">
        <v>9</v>
      </c>
      <c r="EW49" s="680">
        <v>3.5814285714285714</v>
      </c>
      <c r="EX49" s="681">
        <v>9.2857142857142865</v>
      </c>
      <c r="EY49" s="682"/>
    </row>
    <row r="50" spans="13:155">
      <c r="M50" s="679">
        <v>39</v>
      </c>
      <c r="N50" s="680">
        <v>32.260155357142857</v>
      </c>
      <c r="O50" s="680">
        <v>3.6971698214285715</v>
      </c>
      <c r="P50" s="681">
        <v>15.548666726190476</v>
      </c>
      <c r="Q50" s="682"/>
      <c r="S50" s="679">
        <v>39</v>
      </c>
      <c r="T50" s="680">
        <v>8.5005952380952383</v>
      </c>
      <c r="U50" s="680">
        <v>6.71875</v>
      </c>
      <c r="V50" s="681">
        <v>7.7148809523809527</v>
      </c>
      <c r="W50" s="682"/>
      <c r="Y50" s="679">
        <v>39</v>
      </c>
      <c r="Z50" s="680">
        <v>16.226248265306122</v>
      </c>
      <c r="AA50" s="680">
        <v>12.967962625</v>
      </c>
      <c r="AB50" s="681">
        <v>13.451599999999999</v>
      </c>
      <c r="AC50" s="682"/>
      <c r="AE50" s="679">
        <v>39</v>
      </c>
      <c r="AF50" s="680">
        <v>22.072478639971138</v>
      </c>
      <c r="AG50" s="680">
        <v>11.961053928571429</v>
      </c>
      <c r="AH50" s="681">
        <v>21.723815357142854</v>
      </c>
      <c r="AI50" s="682"/>
      <c r="AK50" s="679">
        <v>39</v>
      </c>
      <c r="AL50" s="680">
        <v>43.94135119047619</v>
      </c>
      <c r="AM50" s="680">
        <v>29.836011904761904</v>
      </c>
      <c r="AN50" s="681">
        <v>40.671488095238097</v>
      </c>
      <c r="AO50" s="682"/>
      <c r="AQ50" s="679">
        <v>39</v>
      </c>
      <c r="AR50" s="680">
        <v>21.54977380952381</v>
      </c>
      <c r="AS50" s="680">
        <v>4.6022916666666669</v>
      </c>
      <c r="AT50" s="681">
        <v>2.0359523809523812</v>
      </c>
      <c r="AU50" s="682"/>
      <c r="AW50" s="679">
        <v>39</v>
      </c>
      <c r="AX50" s="680">
        <v>1.4841428571428572</v>
      </c>
      <c r="AY50" s="680">
        <v>1.4987142857142857</v>
      </c>
      <c r="AZ50" s="681">
        <v>1.3543428571428573</v>
      </c>
      <c r="BA50" s="682"/>
      <c r="BC50" s="679">
        <v>39</v>
      </c>
      <c r="BD50" s="680">
        <v>5.980952380952381</v>
      </c>
      <c r="BE50" s="680">
        <v>6.9958333333333336</v>
      </c>
      <c r="BF50" s="681">
        <v>7.8169899999999997</v>
      </c>
      <c r="BG50" s="682"/>
      <c r="BI50" s="679">
        <v>39</v>
      </c>
      <c r="BJ50" s="680">
        <v>38.05952380952381</v>
      </c>
      <c r="BK50" s="680">
        <v>24.255952380952383</v>
      </c>
      <c r="BL50" s="681">
        <v>21.083333333333332</v>
      </c>
      <c r="BM50" s="682"/>
      <c r="BO50" s="679">
        <v>39</v>
      </c>
      <c r="BP50" s="680">
        <v>7.1607142857142856</v>
      </c>
      <c r="BQ50" s="680">
        <v>5.1303571428571431</v>
      </c>
      <c r="BR50" s="681">
        <v>4.7130952380952387</v>
      </c>
      <c r="BS50" s="682"/>
      <c r="BU50" s="679">
        <v>39</v>
      </c>
      <c r="BV50" s="680">
        <v>4.6551190476190474</v>
      </c>
      <c r="BW50" s="680">
        <v>5.5864880952380958</v>
      </c>
      <c r="BX50" s="681">
        <v>8.5735416666666673</v>
      </c>
      <c r="BY50" s="682"/>
      <c r="CA50" s="679">
        <v>39</v>
      </c>
      <c r="CB50" s="680">
        <v>69.840917142857137</v>
      </c>
      <c r="CC50" s="680">
        <v>53.593225714285708</v>
      </c>
      <c r="CD50" s="681">
        <v>58.769549999999995</v>
      </c>
      <c r="CE50" s="682"/>
      <c r="CG50" s="679">
        <v>39</v>
      </c>
      <c r="CH50" s="680">
        <v>39.684761904761906</v>
      </c>
      <c r="CI50" s="680">
        <v>32.155357142857142</v>
      </c>
      <c r="CJ50" s="681">
        <v>38.184761904761906</v>
      </c>
      <c r="CK50" s="682"/>
      <c r="CM50" s="679">
        <v>39</v>
      </c>
      <c r="CN50" s="680">
        <v>28.534565476190476</v>
      </c>
      <c r="CO50" s="680">
        <v>18.297690476190475</v>
      </c>
      <c r="CP50" s="681">
        <v>20.139690714285713</v>
      </c>
      <c r="CQ50" s="682"/>
      <c r="CS50" s="679">
        <v>39</v>
      </c>
      <c r="CT50" s="680">
        <v>8.4880952380952372</v>
      </c>
      <c r="CU50" s="680">
        <v>7.333333333333333</v>
      </c>
      <c r="CV50" s="681">
        <v>8.6547619047619051</v>
      </c>
      <c r="CW50" s="682"/>
      <c r="CY50" s="679">
        <v>39</v>
      </c>
      <c r="CZ50" s="680">
        <v>2.75</v>
      </c>
      <c r="DA50" s="680">
        <v>6.1790000000000003</v>
      </c>
      <c r="DB50" s="681">
        <v>0</v>
      </c>
      <c r="DC50" s="682">
        <v>3.2225714285714289</v>
      </c>
      <c r="DE50" s="679"/>
      <c r="DF50" s="679">
        <v>39</v>
      </c>
      <c r="DG50" s="680">
        <v>6.2310000000000008</v>
      </c>
      <c r="DH50" s="681">
        <v>4.6409799999999999</v>
      </c>
      <c r="DI50" s="682">
        <v>13.956857142857142</v>
      </c>
      <c r="DK50" s="679">
        <v>39</v>
      </c>
      <c r="DL50" s="680">
        <v>1.8321428571428573</v>
      </c>
      <c r="DM50" s="680">
        <v>0.80700000000000005</v>
      </c>
      <c r="DN50" s="681">
        <v>0.63</v>
      </c>
      <c r="DO50" s="682"/>
      <c r="DQ50" s="679">
        <v>39</v>
      </c>
      <c r="DR50" s="680">
        <v>14.005595238095237</v>
      </c>
      <c r="DS50" s="680">
        <v>11.565773809523808</v>
      </c>
      <c r="DT50" s="681">
        <v>12.638154761904762</v>
      </c>
      <c r="DU50" s="682"/>
      <c r="DW50" s="679">
        <v>39</v>
      </c>
      <c r="DX50" s="680">
        <v>1.5242083333333334</v>
      </c>
      <c r="DY50" s="680">
        <v>1.4468749999999999</v>
      </c>
      <c r="DZ50" s="681">
        <v>1.4138809523809523</v>
      </c>
      <c r="EA50" s="682"/>
      <c r="EC50" s="679">
        <v>39</v>
      </c>
      <c r="ED50" s="680">
        <v>14.49</v>
      </c>
      <c r="EE50" s="680">
        <v>10.550416666666667</v>
      </c>
      <c r="EF50" s="681">
        <v>13.615486344827586</v>
      </c>
      <c r="EG50" s="682"/>
      <c r="EI50" s="679">
        <v>39</v>
      </c>
      <c r="EJ50" s="680">
        <v>8.7710000000000008</v>
      </c>
      <c r="EK50" s="680">
        <v>2.5575714285714288</v>
      </c>
      <c r="EL50" s="681">
        <v>6.37</v>
      </c>
      <c r="EM50" s="682"/>
      <c r="EO50" s="679">
        <v>39</v>
      </c>
      <c r="EP50" s="680">
        <v>22.607571428571429</v>
      </c>
      <c r="EQ50" s="680">
        <v>13.179147142857142</v>
      </c>
      <c r="ER50" s="681">
        <v>21.625428571428571</v>
      </c>
      <c r="ES50" s="682"/>
      <c r="EU50" s="679">
        <v>39</v>
      </c>
      <c r="EV50" s="680">
        <v>6</v>
      </c>
      <c r="EW50" s="680">
        <v>4.5</v>
      </c>
      <c r="EX50" s="681">
        <v>8</v>
      </c>
      <c r="EY50" s="682"/>
    </row>
    <row r="51" spans="13:155">
      <c r="M51" s="679">
        <v>40</v>
      </c>
      <c r="N51" s="680">
        <v>25.804468452380952</v>
      </c>
      <c r="O51" s="680">
        <v>3.6088154761904763</v>
      </c>
      <c r="P51" s="681">
        <v>16.865446190476192</v>
      </c>
      <c r="Q51" s="682"/>
      <c r="S51" s="679">
        <v>40</v>
      </c>
      <c r="T51" s="680">
        <v>6.4226190476190483</v>
      </c>
      <c r="U51" s="680">
        <v>4.960119047619048</v>
      </c>
      <c r="V51" s="681">
        <v>7.7517857142857149</v>
      </c>
      <c r="W51" s="682"/>
      <c r="Y51" s="679">
        <v>40</v>
      </c>
      <c r="Z51" s="680">
        <v>16.796728390804596</v>
      </c>
      <c r="AA51" s="680">
        <v>18.204366436781608</v>
      </c>
      <c r="AB51" s="681">
        <v>12.386101999999999</v>
      </c>
      <c r="AC51" s="682"/>
      <c r="AE51" s="679">
        <v>40</v>
      </c>
      <c r="AF51" s="680">
        <v>21.856431607142856</v>
      </c>
      <c r="AG51" s="680">
        <v>18.35805244047619</v>
      </c>
      <c r="AH51" s="681">
        <v>28.957615595238096</v>
      </c>
      <c r="AI51" s="682"/>
      <c r="AK51" s="679">
        <v>40</v>
      </c>
      <c r="AL51" s="680">
        <v>35.542898809523813</v>
      </c>
      <c r="AM51" s="680">
        <v>54.100714285714282</v>
      </c>
      <c r="AN51" s="681">
        <v>41.234434523809526</v>
      </c>
      <c r="AO51" s="682"/>
      <c r="AQ51" s="679">
        <v>40</v>
      </c>
      <c r="AR51" s="680">
        <v>14.787000000000001</v>
      </c>
      <c r="AS51" s="680">
        <v>10.36360119047619</v>
      </c>
      <c r="AT51" s="681">
        <v>4.9496845238095233</v>
      </c>
      <c r="AU51" s="682"/>
      <c r="AW51" s="679">
        <v>40</v>
      </c>
      <c r="AX51" s="680">
        <v>1.3278571428571431</v>
      </c>
      <c r="AY51" s="680">
        <v>1.5349999999999999</v>
      </c>
      <c r="AZ51" s="681">
        <v>1.346857142857143</v>
      </c>
      <c r="BA51" s="682"/>
      <c r="BC51" s="679">
        <v>40</v>
      </c>
      <c r="BD51" s="680">
        <v>5.6357142857142861</v>
      </c>
      <c r="BE51" s="680">
        <v>7.6809523809523812</v>
      </c>
      <c r="BF51" s="681">
        <v>8.0233276190476186</v>
      </c>
      <c r="BG51" s="682"/>
      <c r="BI51" s="679">
        <v>40</v>
      </c>
      <c r="BJ51" s="680">
        <v>36.791666666666664</v>
      </c>
      <c r="BK51" s="680">
        <v>29.345238095238095</v>
      </c>
      <c r="BL51" s="681">
        <v>29.583333333333336</v>
      </c>
      <c r="BM51" s="682"/>
      <c r="BO51" s="679">
        <v>40</v>
      </c>
      <c r="BP51" s="680">
        <v>7.4190476190476193</v>
      </c>
      <c r="BQ51" s="680">
        <v>6.4261904761904765</v>
      </c>
      <c r="BR51" s="681">
        <v>6.9363095238095243</v>
      </c>
      <c r="BS51" s="682"/>
      <c r="BU51" s="679">
        <v>40</v>
      </c>
      <c r="BV51" s="680">
        <v>6.7251785714285717</v>
      </c>
      <c r="BW51" s="680">
        <v>7.1452976190476187</v>
      </c>
      <c r="BX51" s="681">
        <v>9.4776785714285712</v>
      </c>
      <c r="BY51" s="682"/>
      <c r="CA51" s="679">
        <v>40</v>
      </c>
      <c r="CB51" s="680">
        <v>64.21554857142857</v>
      </c>
      <c r="CC51" s="680">
        <v>49.911740000000002</v>
      </c>
      <c r="CD51" s="681">
        <v>59.44453</v>
      </c>
      <c r="CE51" s="682"/>
      <c r="CG51" s="679">
        <v>40</v>
      </c>
      <c r="CH51" s="680">
        <v>38.891249999999999</v>
      </c>
      <c r="CI51" s="680">
        <v>36.943333333333335</v>
      </c>
      <c r="CJ51" s="681">
        <v>44.533809523809524</v>
      </c>
      <c r="CK51" s="682"/>
      <c r="CM51" s="679">
        <v>40</v>
      </c>
      <c r="CN51" s="680">
        <v>27.555470238095236</v>
      </c>
      <c r="CO51" s="680">
        <v>24.065738095238093</v>
      </c>
      <c r="CP51" s="681">
        <v>20.9374775</v>
      </c>
      <c r="CQ51" s="682"/>
      <c r="CS51" s="679">
        <v>40</v>
      </c>
      <c r="CT51" s="680">
        <v>8.6041666666666661</v>
      </c>
      <c r="CU51" s="680">
        <v>8.8636904761904756</v>
      </c>
      <c r="CV51" s="681">
        <v>9.7279761904761912</v>
      </c>
      <c r="CW51" s="682"/>
      <c r="CY51" s="679">
        <v>40</v>
      </c>
      <c r="CZ51" s="680">
        <v>0</v>
      </c>
      <c r="DA51" s="680">
        <v>5.3769999999999998</v>
      </c>
      <c r="DB51" s="681">
        <v>0</v>
      </c>
      <c r="DC51" s="682">
        <v>1.59</v>
      </c>
      <c r="DE51" s="679"/>
      <c r="DF51" s="679">
        <v>40</v>
      </c>
      <c r="DG51" s="680">
        <v>7.7921428571428573</v>
      </c>
      <c r="DH51" s="681">
        <v>1.2697142857142856</v>
      </c>
      <c r="DI51" s="682">
        <v>7.4847142857142854</v>
      </c>
      <c r="DK51" s="679">
        <v>40</v>
      </c>
      <c r="DL51" s="680">
        <v>1.1312857142857142</v>
      </c>
      <c r="DM51" s="680">
        <v>1.4355714285714287</v>
      </c>
      <c r="DN51" s="681">
        <v>0.63</v>
      </c>
      <c r="DO51" s="682"/>
      <c r="DQ51" s="679">
        <v>40</v>
      </c>
      <c r="DR51" s="680">
        <v>14.040833333333333</v>
      </c>
      <c r="DS51" s="680">
        <v>11.507797619047619</v>
      </c>
      <c r="DT51" s="681">
        <v>12.71547619047619</v>
      </c>
      <c r="DU51" s="682"/>
      <c r="DW51" s="679">
        <v>40</v>
      </c>
      <c r="DX51" s="680">
        <v>1.4517916666666666</v>
      </c>
      <c r="DY51" s="680">
        <v>1.3484464285714286</v>
      </c>
      <c r="DZ51" s="681">
        <v>1.4111666666666667</v>
      </c>
      <c r="EA51" s="682"/>
      <c r="EC51" s="679">
        <v>40</v>
      </c>
      <c r="ED51" s="680">
        <v>12.039444444444445</v>
      </c>
      <c r="EE51" s="680">
        <v>8.1994545454545449</v>
      </c>
      <c r="EF51" s="681">
        <v>11.841282206896551</v>
      </c>
      <c r="EG51" s="682"/>
      <c r="EI51" s="679">
        <v>40</v>
      </c>
      <c r="EJ51" s="680">
        <v>4.414714285714286</v>
      </c>
      <c r="EK51" s="680">
        <v>1.2912857142857144</v>
      </c>
      <c r="EL51" s="681">
        <v>5.7389999999999999</v>
      </c>
      <c r="EM51" s="682"/>
      <c r="EO51" s="679">
        <v>40</v>
      </c>
      <c r="EP51" s="680">
        <v>22.724142857142855</v>
      </c>
      <c r="EQ51" s="680">
        <v>11.591428571428571</v>
      </c>
      <c r="ER51" s="681">
        <v>20.259714285714285</v>
      </c>
      <c r="ES51" s="682"/>
      <c r="EU51" s="679">
        <v>40</v>
      </c>
      <c r="EV51" s="680">
        <v>6</v>
      </c>
      <c r="EW51" s="680">
        <v>4.0357142857142856</v>
      </c>
      <c r="EX51" s="681">
        <v>8</v>
      </c>
      <c r="EY51" s="682"/>
    </row>
    <row r="52" spans="13:155">
      <c r="M52" s="679">
        <v>41</v>
      </c>
      <c r="N52" s="680">
        <v>36.386808928571426</v>
      </c>
      <c r="O52" s="680">
        <v>3.6802957142857142</v>
      </c>
      <c r="P52" s="681">
        <v>21.25532464285714</v>
      </c>
      <c r="Q52" s="682"/>
      <c r="S52" s="679">
        <v>41</v>
      </c>
      <c r="T52" s="680">
        <v>6</v>
      </c>
      <c r="U52" s="680">
        <v>4.0744047619047628</v>
      </c>
      <c r="V52" s="681">
        <v>8.4535714285714274</v>
      </c>
      <c r="W52" s="682"/>
      <c r="Y52" s="679">
        <v>41</v>
      </c>
      <c r="Z52" s="680">
        <v>11.811489999999999</v>
      </c>
      <c r="AA52" s="680">
        <v>20.63369543859649</v>
      </c>
      <c r="AB52" s="681">
        <v>11.991128611111112</v>
      </c>
      <c r="AC52" s="682"/>
      <c r="AE52" s="679">
        <v>41</v>
      </c>
      <c r="AF52" s="680">
        <v>16.019276309523811</v>
      </c>
      <c r="AG52" s="680">
        <v>27.781466309523811</v>
      </c>
      <c r="AH52" s="681">
        <v>21.351429999999997</v>
      </c>
      <c r="AI52" s="682"/>
      <c r="AK52" s="679">
        <v>41</v>
      </c>
      <c r="AL52" s="680">
        <v>31.525654761904764</v>
      </c>
      <c r="AM52" s="680">
        <v>60.485678571428572</v>
      </c>
      <c r="AN52" s="681">
        <v>36.457863095238096</v>
      </c>
      <c r="AO52" s="682"/>
      <c r="AQ52" s="679">
        <v>41</v>
      </c>
      <c r="AR52" s="680">
        <v>16.799410714285717</v>
      </c>
      <c r="AS52" s="680">
        <v>35.265666666666668</v>
      </c>
      <c r="AT52" s="681">
        <v>4.906220238095238</v>
      </c>
      <c r="AU52" s="682"/>
      <c r="AW52" s="679">
        <v>41</v>
      </c>
      <c r="AX52" s="680">
        <v>1.3642857142857143</v>
      </c>
      <c r="AY52" s="680">
        <v>1.4079999999999999</v>
      </c>
      <c r="AZ52" s="681">
        <v>1.4485714285714286</v>
      </c>
      <c r="BA52" s="682"/>
      <c r="BC52" s="679">
        <v>41</v>
      </c>
      <c r="BD52" s="680">
        <v>5.7369047619047624</v>
      </c>
      <c r="BE52" s="680">
        <v>7.0041666666666673</v>
      </c>
      <c r="BF52" s="681">
        <v>7.4035714285714294</v>
      </c>
      <c r="BG52" s="682"/>
      <c r="BI52" s="679">
        <v>41</v>
      </c>
      <c r="BJ52" s="680">
        <v>32.517857142857139</v>
      </c>
      <c r="BK52" s="680">
        <v>51.970238095238095</v>
      </c>
      <c r="BL52" s="681">
        <v>25.285714285714285</v>
      </c>
      <c r="BM52" s="682"/>
      <c r="BO52" s="679">
        <v>41</v>
      </c>
      <c r="BP52" s="680">
        <v>6.2315476190476184</v>
      </c>
      <c r="BQ52" s="680">
        <v>12.367857142857144</v>
      </c>
      <c r="BR52" s="681">
        <v>5.975595238095238</v>
      </c>
      <c r="BS52" s="682"/>
      <c r="BU52" s="679">
        <v>41</v>
      </c>
      <c r="BV52" s="680">
        <v>6.8115476190476194</v>
      </c>
      <c r="BW52" s="680">
        <v>9.3424404761904771</v>
      </c>
      <c r="BX52" s="681">
        <v>8.7004191616766473</v>
      </c>
      <c r="BY52" s="682"/>
      <c r="CA52" s="679">
        <v>41</v>
      </c>
      <c r="CB52" s="680">
        <v>63.28442428571428</v>
      </c>
      <c r="CC52" s="680">
        <v>60.027588571428574</v>
      </c>
      <c r="CD52" s="681">
        <v>59.739446428571426</v>
      </c>
      <c r="CE52" s="682"/>
      <c r="CG52" s="679">
        <v>41</v>
      </c>
      <c r="CH52" s="680">
        <v>36.401011904761909</v>
      </c>
      <c r="CI52" s="680">
        <v>40.218690476190474</v>
      </c>
      <c r="CJ52" s="681">
        <v>42.058095238095234</v>
      </c>
      <c r="CK52" s="682"/>
      <c r="CM52" s="679">
        <v>41</v>
      </c>
      <c r="CN52" s="680">
        <v>28.086970238095237</v>
      </c>
      <c r="CO52" s="680">
        <v>33.692529761904758</v>
      </c>
      <c r="CP52" s="681">
        <v>20.01493119047619</v>
      </c>
      <c r="CQ52" s="682"/>
      <c r="CS52" s="679">
        <v>41</v>
      </c>
      <c r="CT52" s="680">
        <v>8.7946428571428559</v>
      </c>
      <c r="CU52" s="680">
        <v>11.160714285714285</v>
      </c>
      <c r="CV52" s="681">
        <v>9.3214285714285712</v>
      </c>
      <c r="CW52" s="682"/>
      <c r="CY52" s="679">
        <v>41</v>
      </c>
      <c r="CZ52" s="680">
        <v>2.4285714285714284</v>
      </c>
      <c r="DA52" s="680">
        <v>0.47219642857142863</v>
      </c>
      <c r="DB52" s="681">
        <v>0.14285714285714288</v>
      </c>
      <c r="DC52" s="682">
        <v>1.59</v>
      </c>
      <c r="DE52" s="679"/>
      <c r="DF52" s="679">
        <v>41</v>
      </c>
      <c r="DG52" s="680">
        <v>1.671142857142857</v>
      </c>
      <c r="DH52" s="681">
        <v>1.2697142857142856</v>
      </c>
      <c r="DI52" s="682">
        <v>5.1673085714285723</v>
      </c>
      <c r="DK52" s="679">
        <v>41</v>
      </c>
      <c r="DL52" s="680">
        <v>2.0270000000000001</v>
      </c>
      <c r="DM52" s="680">
        <v>1.907</v>
      </c>
      <c r="DN52" s="681">
        <v>0.63</v>
      </c>
      <c r="DO52" s="682"/>
      <c r="DQ52" s="679">
        <v>41</v>
      </c>
      <c r="DR52" s="680">
        <v>13.811369047619047</v>
      </c>
      <c r="DS52" s="680">
        <v>11.410773809523809</v>
      </c>
      <c r="DT52" s="681">
        <v>12.751369047619049</v>
      </c>
      <c r="DU52" s="682"/>
      <c r="DW52" s="679">
        <v>41</v>
      </c>
      <c r="DX52" s="680">
        <v>1.4910059523809525</v>
      </c>
      <c r="DY52" s="680">
        <v>1.4490059523809524</v>
      </c>
      <c r="DZ52" s="681">
        <v>1.4098095238095238</v>
      </c>
      <c r="EA52" s="682"/>
      <c r="EC52" s="679">
        <v>41</v>
      </c>
      <c r="ED52" s="680">
        <v>12.585833333333333</v>
      </c>
      <c r="EE52" s="680">
        <v>9.4949999999999992</v>
      </c>
      <c r="EF52" s="681">
        <v>12.067047619047619</v>
      </c>
      <c r="EG52" s="682"/>
      <c r="EI52" s="679">
        <v>41</v>
      </c>
      <c r="EJ52" s="680">
        <v>1.9174285714285715</v>
      </c>
      <c r="EK52" s="680">
        <v>1.1297142857142859</v>
      </c>
      <c r="EL52" s="681">
        <v>4.8351428571428574</v>
      </c>
      <c r="EM52" s="682"/>
      <c r="EO52" s="679">
        <v>41</v>
      </c>
      <c r="EP52" s="680">
        <v>18.961142857142857</v>
      </c>
      <c r="EQ52" s="680">
        <v>13.75</v>
      </c>
      <c r="ER52" s="681">
        <v>19.896547142857141</v>
      </c>
      <c r="ES52" s="682"/>
      <c r="EU52" s="679">
        <v>41</v>
      </c>
      <c r="EV52" s="680">
        <v>6</v>
      </c>
      <c r="EW52" s="680">
        <v>1.625</v>
      </c>
      <c r="EX52" s="681">
        <v>8</v>
      </c>
      <c r="EY52" s="682"/>
    </row>
    <row r="53" spans="13:155">
      <c r="M53" s="679">
        <v>42</v>
      </c>
      <c r="N53" s="680">
        <v>35.287988095238092</v>
      </c>
      <c r="O53" s="680">
        <v>30.902833214285714</v>
      </c>
      <c r="P53" s="681">
        <v>22.554563988095236</v>
      </c>
      <c r="Q53" s="682"/>
      <c r="S53" s="679">
        <v>42</v>
      </c>
      <c r="T53" s="680">
        <v>5.9857142857142858</v>
      </c>
      <c r="U53" s="680">
        <v>4</v>
      </c>
      <c r="V53" s="681">
        <v>9.5023809523809515</v>
      </c>
      <c r="W53" s="682"/>
      <c r="Y53" s="679">
        <v>42</v>
      </c>
      <c r="Z53" s="680">
        <v>9.4665357142857136</v>
      </c>
      <c r="AA53" s="680">
        <v>23.087295853658535</v>
      </c>
      <c r="AB53" s="681">
        <v>16.337517619047617</v>
      </c>
      <c r="AC53" s="682"/>
      <c r="AE53" s="679">
        <v>42</v>
      </c>
      <c r="AF53" s="680">
        <v>21.152950000000001</v>
      </c>
      <c r="AG53" s="680">
        <v>35.060577916666666</v>
      </c>
      <c r="AH53" s="681">
        <v>19.993490416666667</v>
      </c>
      <c r="AI53" s="682"/>
      <c r="AK53" s="679">
        <v>42</v>
      </c>
      <c r="AL53" s="680">
        <v>38.873613095238092</v>
      </c>
      <c r="AM53" s="680">
        <v>53.366845238095244</v>
      </c>
      <c r="AN53" s="681">
        <v>43.796535714285717</v>
      </c>
      <c r="AO53" s="682"/>
      <c r="AQ53" s="679">
        <v>42</v>
      </c>
      <c r="AR53" s="680">
        <v>25.138291666666667</v>
      </c>
      <c r="AS53" s="680">
        <v>22.728273809523809</v>
      </c>
      <c r="AT53" s="681">
        <v>4.1620714285714291</v>
      </c>
      <c r="AU53" s="682"/>
      <c r="AW53" s="679">
        <v>42</v>
      </c>
      <c r="AX53" s="680">
        <v>1.3397142857142856</v>
      </c>
      <c r="AY53" s="680">
        <v>1.4577142857142857</v>
      </c>
      <c r="AZ53" s="681">
        <v>1.2307142857142856</v>
      </c>
      <c r="BA53" s="682"/>
      <c r="BC53" s="679">
        <v>42</v>
      </c>
      <c r="BD53" s="680">
        <v>5.776190476190477</v>
      </c>
      <c r="BE53" s="680">
        <v>6.4196428571428577</v>
      </c>
      <c r="BF53" s="681">
        <v>7.5059514285714286</v>
      </c>
      <c r="BG53" s="682"/>
      <c r="BI53" s="679">
        <v>42</v>
      </c>
      <c r="BJ53" s="680">
        <v>46.428571428571431</v>
      </c>
      <c r="BK53" s="680">
        <v>50.113095238095234</v>
      </c>
      <c r="BL53" s="681">
        <v>32.333333333333336</v>
      </c>
      <c r="BM53" s="682"/>
      <c r="BO53" s="679">
        <v>42</v>
      </c>
      <c r="BP53" s="680">
        <v>5.819642857142858</v>
      </c>
      <c r="BQ53" s="680">
        <v>12.489285714285714</v>
      </c>
      <c r="BR53" s="681">
        <v>5.7511904761904766</v>
      </c>
      <c r="BS53" s="682"/>
      <c r="BU53" s="679">
        <v>42</v>
      </c>
      <c r="BV53" s="680">
        <v>9.7129166666666666</v>
      </c>
      <c r="BW53" s="680">
        <v>9.1038095238095238</v>
      </c>
      <c r="BX53" s="681">
        <v>9.4101190476190464</v>
      </c>
      <c r="BY53" s="682"/>
      <c r="CA53" s="679">
        <v>42</v>
      </c>
      <c r="CB53" s="680">
        <v>58.394262857142856</v>
      </c>
      <c r="CC53" s="680">
        <v>67.799015714285716</v>
      </c>
      <c r="CD53" s="681">
        <v>57.632452857142859</v>
      </c>
      <c r="CE53" s="682"/>
      <c r="CG53" s="679">
        <v>42</v>
      </c>
      <c r="CH53" s="680">
        <v>40.439702380952383</v>
      </c>
      <c r="CI53" s="680">
        <v>36.219583333333333</v>
      </c>
      <c r="CJ53" s="681">
        <v>42.249583333333334</v>
      </c>
      <c r="CK53" s="682"/>
      <c r="CM53" s="679">
        <v>42</v>
      </c>
      <c r="CN53" s="680">
        <v>38.422172619047622</v>
      </c>
      <c r="CO53" s="680">
        <v>43.799497380952381</v>
      </c>
      <c r="CP53" s="681">
        <v>25.350767857142856</v>
      </c>
      <c r="CQ53" s="682"/>
      <c r="CS53" s="679">
        <v>42</v>
      </c>
      <c r="CT53" s="680">
        <v>8</v>
      </c>
      <c r="CU53" s="680">
        <v>11.276785714285715</v>
      </c>
      <c r="CV53" s="681">
        <v>8.2369047619047624</v>
      </c>
      <c r="CW53" s="682"/>
      <c r="CY53" s="679">
        <v>42</v>
      </c>
      <c r="CZ53" s="680">
        <v>3.0833333333333335</v>
      </c>
      <c r="DA53" s="680">
        <v>4.4470000000000001</v>
      </c>
      <c r="DB53" s="681">
        <v>0.42871428571428577</v>
      </c>
      <c r="DC53" s="682">
        <v>1.4412499999999999</v>
      </c>
      <c r="DE53" s="679"/>
      <c r="DF53" s="679">
        <v>42</v>
      </c>
      <c r="DG53" s="680">
        <v>2.6417142857142859</v>
      </c>
      <c r="DH53" s="681">
        <v>0.2</v>
      </c>
      <c r="DI53" s="682">
        <v>1.6991428571428571</v>
      </c>
      <c r="DK53" s="679">
        <v>42</v>
      </c>
      <c r="DL53" s="680">
        <v>2.0270000000000001</v>
      </c>
      <c r="DM53" s="680">
        <v>1.907</v>
      </c>
      <c r="DN53" s="681">
        <v>0.63</v>
      </c>
      <c r="DO53" s="682"/>
      <c r="DQ53" s="679">
        <v>42</v>
      </c>
      <c r="DR53" s="680">
        <v>14.016309523809523</v>
      </c>
      <c r="DS53" s="680">
        <v>11.888392857142858</v>
      </c>
      <c r="DT53" s="681">
        <v>12.650416666666665</v>
      </c>
      <c r="DU53" s="682"/>
      <c r="DW53" s="679">
        <v>42</v>
      </c>
      <c r="DX53" s="680">
        <v>1.3492202380952381</v>
      </c>
      <c r="DY53" s="680">
        <v>1.4034523809523809</v>
      </c>
      <c r="DZ53" s="681">
        <v>1.3976488095238098</v>
      </c>
      <c r="EA53" s="682"/>
      <c r="EC53" s="679">
        <v>42</v>
      </c>
      <c r="ED53" s="680">
        <v>12.242000000000001</v>
      </c>
      <c r="EE53" s="680">
        <v>9.26</v>
      </c>
      <c r="EF53" s="681">
        <v>11.90654761904762</v>
      </c>
      <c r="EG53" s="682"/>
      <c r="EI53" s="679">
        <v>42</v>
      </c>
      <c r="EJ53" s="680">
        <v>1.6819999999999999</v>
      </c>
      <c r="EK53" s="680">
        <v>1.048</v>
      </c>
      <c r="EL53" s="681">
        <v>3.7248571428571431</v>
      </c>
      <c r="EM53" s="682"/>
      <c r="EO53" s="679">
        <v>42</v>
      </c>
      <c r="EP53" s="680">
        <v>16.621714285714287</v>
      </c>
      <c r="EQ53" s="680">
        <v>17.013428571428573</v>
      </c>
      <c r="ER53" s="681">
        <v>20.384428571428572</v>
      </c>
      <c r="ES53" s="682"/>
      <c r="EU53" s="679">
        <v>42</v>
      </c>
      <c r="EV53" s="680">
        <v>9</v>
      </c>
      <c r="EW53" s="680">
        <v>0.25</v>
      </c>
      <c r="EX53" s="681">
        <v>5.7857142857142856</v>
      </c>
      <c r="EY53" s="682"/>
    </row>
    <row r="54" spans="13:155">
      <c r="M54" s="679">
        <v>43</v>
      </c>
      <c r="N54" s="680">
        <v>36.766672678571432</v>
      </c>
      <c r="O54" s="680">
        <v>40.460493392857146</v>
      </c>
      <c r="P54" s="681">
        <v>23.687886607142854</v>
      </c>
      <c r="Q54" s="682"/>
      <c r="S54" s="679">
        <v>43</v>
      </c>
      <c r="T54" s="680">
        <v>2.7440476190476191</v>
      </c>
      <c r="U54" s="680">
        <v>3.9369047619047621</v>
      </c>
      <c r="V54" s="681">
        <v>7.8744047619047626</v>
      </c>
      <c r="W54" s="682"/>
      <c r="Y54" s="679">
        <v>43</v>
      </c>
      <c r="Z54" s="680">
        <v>11.382345714285714</v>
      </c>
      <c r="AA54" s="680">
        <v>23.893623888888886</v>
      </c>
      <c r="AB54" s="681">
        <v>14.424296296296298</v>
      </c>
      <c r="AC54" s="682"/>
      <c r="AE54" s="679">
        <v>43</v>
      </c>
      <c r="AF54" s="680">
        <v>18.619558809523809</v>
      </c>
      <c r="AG54" s="680">
        <v>33.667004583333338</v>
      </c>
      <c r="AH54" s="681">
        <v>18.157015297619047</v>
      </c>
      <c r="AI54" s="682"/>
      <c r="AK54" s="679">
        <v>43</v>
      </c>
      <c r="AL54" s="680">
        <v>37.695744047619044</v>
      </c>
      <c r="AM54" s="680">
        <v>50.110047619047613</v>
      </c>
      <c r="AN54" s="681">
        <v>43.663297619047619</v>
      </c>
      <c r="AO54" s="682"/>
      <c r="AQ54" s="679">
        <v>43</v>
      </c>
      <c r="AR54" s="680">
        <v>25.216505952380952</v>
      </c>
      <c r="AS54" s="680">
        <v>18.437976190476192</v>
      </c>
      <c r="AT54" s="681">
        <v>2.9861607142857145</v>
      </c>
      <c r="AU54" s="682"/>
      <c r="AW54" s="679">
        <v>43</v>
      </c>
      <c r="AX54" s="680">
        <v>1.3554285714285716</v>
      </c>
      <c r="AY54" s="680">
        <v>1.915</v>
      </c>
      <c r="AZ54" s="681">
        <v>1.4154285714285715</v>
      </c>
      <c r="BA54" s="682"/>
      <c r="BC54" s="679">
        <v>43</v>
      </c>
      <c r="BD54" s="680">
        <v>5.6267857142857141</v>
      </c>
      <c r="BE54" s="680">
        <v>8.6452380952380956</v>
      </c>
      <c r="BF54" s="681">
        <v>7.6015300000000003</v>
      </c>
      <c r="BG54" s="682"/>
      <c r="BI54" s="679">
        <v>43</v>
      </c>
      <c r="BJ54" s="680">
        <v>34.410714285714285</v>
      </c>
      <c r="BK54" s="680">
        <v>51.63095238095238</v>
      </c>
      <c r="BL54" s="681">
        <v>41.029761904761905</v>
      </c>
      <c r="BM54" s="682"/>
      <c r="BO54" s="679">
        <v>43</v>
      </c>
      <c r="BP54" s="680">
        <v>5.7607142857142861</v>
      </c>
      <c r="BQ54" s="680">
        <v>10.933333333333334</v>
      </c>
      <c r="BR54" s="681">
        <v>6.4970238095238093</v>
      </c>
      <c r="BS54" s="682"/>
      <c r="BU54" s="679">
        <v>43</v>
      </c>
      <c r="BV54" s="680">
        <v>9.8952976190476196</v>
      </c>
      <c r="BW54" s="680">
        <v>10.036547619047619</v>
      </c>
      <c r="BX54" s="681">
        <v>9.6590476190476195</v>
      </c>
      <c r="BY54" s="682"/>
      <c r="CA54" s="679">
        <v>43</v>
      </c>
      <c r="CB54" s="680">
        <v>53.371878571428574</v>
      </c>
      <c r="CC54" s="680">
        <v>72.184182857142858</v>
      </c>
      <c r="CD54" s="681">
        <v>65.079384285714283</v>
      </c>
      <c r="CE54" s="682"/>
      <c r="CG54" s="679">
        <v>43</v>
      </c>
      <c r="CH54" s="680">
        <v>41.807559523809523</v>
      </c>
      <c r="CI54" s="680">
        <v>37.46892857142857</v>
      </c>
      <c r="CJ54" s="681">
        <v>35.534940476190471</v>
      </c>
      <c r="CK54" s="682"/>
      <c r="CM54" s="679">
        <v>43</v>
      </c>
      <c r="CN54" s="680">
        <v>32.257410714285712</v>
      </c>
      <c r="CO54" s="680">
        <v>45.182834583333332</v>
      </c>
      <c r="CP54" s="681">
        <v>22.342321428571427</v>
      </c>
      <c r="CQ54" s="682"/>
      <c r="CS54" s="679">
        <v>43</v>
      </c>
      <c r="CT54" s="680">
        <v>8.449404761904761</v>
      </c>
      <c r="CU54" s="680">
        <v>14.338690476190477</v>
      </c>
      <c r="CV54" s="681">
        <v>9.3095238095238102</v>
      </c>
      <c r="CW54" s="682"/>
      <c r="CY54" s="679">
        <v>43</v>
      </c>
      <c r="CZ54" s="680">
        <v>1.4011904761904761</v>
      </c>
      <c r="DA54" s="680">
        <v>4.4470000000000001</v>
      </c>
      <c r="DB54" s="681">
        <v>4.8032000000000004</v>
      </c>
      <c r="DC54" s="682">
        <v>0.44714285714285718</v>
      </c>
      <c r="DE54" s="679"/>
      <c r="DF54" s="679">
        <v>43</v>
      </c>
      <c r="DG54" s="680">
        <v>2.6494285714285715</v>
      </c>
      <c r="DH54" s="681">
        <v>0.2</v>
      </c>
      <c r="DI54" s="682">
        <v>0.40829142857142858</v>
      </c>
      <c r="DK54" s="679">
        <v>43</v>
      </c>
      <c r="DL54" s="680">
        <v>2.0270000000000001</v>
      </c>
      <c r="DM54" s="680">
        <v>1.907</v>
      </c>
      <c r="DN54" s="681">
        <v>0.97285714285714286</v>
      </c>
      <c r="DO54" s="682"/>
      <c r="DQ54" s="679">
        <v>43</v>
      </c>
      <c r="DR54" s="680">
        <v>14.078071428571429</v>
      </c>
      <c r="DS54" s="680">
        <v>11.458273809523808</v>
      </c>
      <c r="DT54" s="681">
        <v>12.796071428571429</v>
      </c>
      <c r="DU54" s="682"/>
      <c r="DW54" s="679">
        <v>43</v>
      </c>
      <c r="DX54" s="680">
        <v>0.80763095238095239</v>
      </c>
      <c r="DY54" s="680">
        <v>1.4262440476190477</v>
      </c>
      <c r="DZ54" s="681">
        <v>1.3728095238095237</v>
      </c>
      <c r="EA54" s="682"/>
      <c r="EC54" s="679">
        <v>43</v>
      </c>
      <c r="ED54" s="680">
        <v>12.491250000000001</v>
      </c>
      <c r="EE54" s="680">
        <v>7.4359999999999999</v>
      </c>
      <c r="EF54" s="681">
        <v>13.988054821428571</v>
      </c>
      <c r="EG54" s="682"/>
      <c r="EI54" s="679">
        <v>43</v>
      </c>
      <c r="EJ54" s="680">
        <v>1.3287142857142857</v>
      </c>
      <c r="EK54" s="680">
        <v>0.86314285714285721</v>
      </c>
      <c r="EL54" s="681">
        <v>2.3491428571428576</v>
      </c>
      <c r="EM54" s="682"/>
      <c r="EO54" s="679">
        <v>43</v>
      </c>
      <c r="EP54" s="680">
        <v>16.669571428571427</v>
      </c>
      <c r="EQ54" s="680">
        <v>14.309142857142858</v>
      </c>
      <c r="ER54" s="681">
        <v>20.607328571428571</v>
      </c>
      <c r="ES54" s="682"/>
      <c r="EU54" s="679">
        <v>43</v>
      </c>
      <c r="EV54" s="680">
        <v>12</v>
      </c>
      <c r="EW54" s="680">
        <v>0.25</v>
      </c>
      <c r="EX54" s="681">
        <v>2.0714285714285712</v>
      </c>
      <c r="EY54" s="682"/>
    </row>
    <row r="55" spans="13:155">
      <c r="M55" s="679">
        <v>44</v>
      </c>
      <c r="N55" s="680">
        <v>24.030873392857142</v>
      </c>
      <c r="O55" s="680">
        <v>44.399610119047622</v>
      </c>
      <c r="P55" s="682">
        <v>49.960453273809527</v>
      </c>
      <c r="Q55" s="682"/>
      <c r="S55" s="679">
        <v>44</v>
      </c>
      <c r="T55" s="680">
        <v>2</v>
      </c>
      <c r="U55" s="680">
        <v>3.960119047619048</v>
      </c>
      <c r="V55" s="682">
        <v>7.677083333333333</v>
      </c>
      <c r="W55" s="682"/>
      <c r="Y55" s="679">
        <v>44</v>
      </c>
      <c r="Z55" s="680">
        <v>11.09458857142857</v>
      </c>
      <c r="AA55" s="680">
        <v>20.258904999999999</v>
      </c>
      <c r="AB55" s="682">
        <v>13.80711320754717</v>
      </c>
      <c r="AC55" s="682"/>
      <c r="AE55" s="679">
        <v>44</v>
      </c>
      <c r="AF55" s="680">
        <v>14.498785892857143</v>
      </c>
      <c r="AG55" s="680">
        <v>23.371952380952379</v>
      </c>
      <c r="AH55" s="682">
        <v>21.387031666666665</v>
      </c>
      <c r="AI55" s="682"/>
      <c r="AK55" s="679">
        <v>44</v>
      </c>
      <c r="AL55" s="680">
        <v>41.06847619047619</v>
      </c>
      <c r="AM55" s="680">
        <v>54.361297619047626</v>
      </c>
      <c r="AN55" s="682">
        <v>46.310196428571423</v>
      </c>
      <c r="AO55" s="682"/>
      <c r="AQ55" s="679">
        <v>44</v>
      </c>
      <c r="AR55" s="680">
        <v>14.095446428571428</v>
      </c>
      <c r="AS55" s="680">
        <v>12.731904761904762</v>
      </c>
      <c r="AT55" s="682">
        <v>2.6654047619047621</v>
      </c>
      <c r="AU55" s="682"/>
      <c r="AW55" s="679">
        <v>44</v>
      </c>
      <c r="AX55" s="680">
        <v>1.3972857142857145</v>
      </c>
      <c r="AY55" s="680">
        <v>1.4124285714285714</v>
      </c>
      <c r="AZ55" s="682">
        <v>1.338857142857143</v>
      </c>
      <c r="BA55" s="682"/>
      <c r="BC55" s="679">
        <v>44</v>
      </c>
      <c r="BD55" s="680">
        <v>5.229166666666667</v>
      </c>
      <c r="BE55" s="680">
        <v>7.3392857142857144</v>
      </c>
      <c r="BF55" s="682">
        <v>7.3621114285714295</v>
      </c>
      <c r="BG55" s="682"/>
      <c r="BI55" s="679">
        <v>44</v>
      </c>
      <c r="BJ55" s="680">
        <v>27.107142857142858</v>
      </c>
      <c r="BK55" s="680">
        <v>69.125</v>
      </c>
      <c r="BL55" s="682">
        <v>62.035714285714285</v>
      </c>
      <c r="BM55" s="682"/>
      <c r="BO55" s="679">
        <v>44</v>
      </c>
      <c r="BP55" s="680">
        <v>5.9261904761904765</v>
      </c>
      <c r="BQ55" s="680">
        <v>7.996428571428571</v>
      </c>
      <c r="BR55" s="682">
        <v>7.4309523809523812</v>
      </c>
      <c r="BS55" s="682"/>
      <c r="BU55" s="679">
        <v>44</v>
      </c>
      <c r="BV55" s="680">
        <v>9.9142857142857128</v>
      </c>
      <c r="BW55" s="680">
        <v>12.725416666666666</v>
      </c>
      <c r="BX55" s="682">
        <v>12.630892857142857</v>
      </c>
      <c r="BY55" s="682"/>
      <c r="CA55" s="679">
        <v>44</v>
      </c>
      <c r="CB55" s="680">
        <v>52.716372857142858</v>
      </c>
      <c r="CC55" s="680">
        <v>76.170468571428572</v>
      </c>
      <c r="CD55" s="682">
        <v>67.863810793650785</v>
      </c>
      <c r="CE55" s="682"/>
      <c r="CG55" s="679">
        <v>44</v>
      </c>
      <c r="CH55" s="680">
        <v>41.045952380952379</v>
      </c>
      <c r="CI55" s="680">
        <v>37.777559523809522</v>
      </c>
      <c r="CJ55" s="682">
        <v>46.504821428571432</v>
      </c>
      <c r="CK55" s="682"/>
      <c r="CM55" s="679">
        <v>44</v>
      </c>
      <c r="CN55" s="680">
        <v>28.062583333333336</v>
      </c>
      <c r="CO55" s="680">
        <v>46.470208333333339</v>
      </c>
      <c r="CP55" s="682">
        <v>45.67944130952381</v>
      </c>
      <c r="CQ55" s="682"/>
      <c r="CS55" s="679">
        <v>44</v>
      </c>
      <c r="CT55" s="680">
        <v>9.0535714285714288</v>
      </c>
      <c r="CU55" s="680">
        <v>12.126785714285713</v>
      </c>
      <c r="CV55" s="682">
        <v>8.9763888888888896</v>
      </c>
      <c r="CW55" s="682"/>
      <c r="CY55" s="679">
        <v>44</v>
      </c>
      <c r="CZ55" s="680">
        <v>1</v>
      </c>
      <c r="DA55" s="680">
        <v>1.1195714285714287</v>
      </c>
      <c r="DB55" s="682">
        <v>5.4902857142857151</v>
      </c>
      <c r="DC55" s="682">
        <v>0.308</v>
      </c>
      <c r="DE55" s="679"/>
      <c r="DF55" s="679">
        <v>44</v>
      </c>
      <c r="DG55" s="680">
        <v>0.2</v>
      </c>
      <c r="DH55" s="682">
        <v>0.2</v>
      </c>
      <c r="DI55" s="682">
        <v>1.3332857142857144</v>
      </c>
      <c r="DK55" s="679">
        <v>44</v>
      </c>
      <c r="DL55" s="680">
        <v>1.6555714285714287</v>
      </c>
      <c r="DM55" s="680">
        <v>1.907</v>
      </c>
      <c r="DN55" s="682">
        <v>1.68</v>
      </c>
      <c r="DO55" s="682"/>
      <c r="DQ55" s="679">
        <v>44</v>
      </c>
      <c r="DR55" s="680">
        <v>13.987261904761903</v>
      </c>
      <c r="DS55" s="680">
        <v>11.577142857142858</v>
      </c>
      <c r="DT55" s="682">
        <v>12.765178571428571</v>
      </c>
      <c r="DU55" s="682"/>
      <c r="DW55" s="679">
        <v>44</v>
      </c>
      <c r="DX55" s="680">
        <v>1.413904761904762</v>
      </c>
      <c r="DY55" s="680">
        <v>1.3690238095238094</v>
      </c>
      <c r="DZ55" s="682">
        <v>1.4147261904761905</v>
      </c>
      <c r="EA55" s="682"/>
      <c r="EC55" s="679">
        <v>44</v>
      </c>
      <c r="ED55" s="680">
        <v>12.179230769230768</v>
      </c>
      <c r="EE55" s="680">
        <v>7.8862500000000004</v>
      </c>
      <c r="EF55" s="682">
        <v>13.768726413793102</v>
      </c>
      <c r="EG55" s="682"/>
      <c r="EI55" s="679">
        <v>44</v>
      </c>
      <c r="EJ55" s="680">
        <v>4.5287142857142859</v>
      </c>
      <c r="EK55" s="680">
        <v>0.19800000000000001</v>
      </c>
      <c r="EL55" s="682">
        <v>0.72699999999999998</v>
      </c>
      <c r="EM55" s="682"/>
      <c r="EO55" s="679">
        <v>44</v>
      </c>
      <c r="EP55" s="680">
        <v>16.430571428571426</v>
      </c>
      <c r="EQ55" s="680">
        <v>14.774571428571429</v>
      </c>
      <c r="ER55" s="682">
        <v>24.565857142857144</v>
      </c>
      <c r="ES55" s="682"/>
      <c r="EU55" s="679">
        <v>44</v>
      </c>
      <c r="EV55" s="680">
        <v>6.3571428571428577</v>
      </c>
      <c r="EW55" s="680">
        <v>0.25</v>
      </c>
      <c r="EX55" s="682">
        <v>5.6071428571428577</v>
      </c>
      <c r="EY55" s="682"/>
    </row>
    <row r="56" spans="13:155">
      <c r="M56" s="679">
        <v>45</v>
      </c>
      <c r="N56" s="680">
        <v>26.38632613095238</v>
      </c>
      <c r="O56" s="680">
        <v>43.055703869047619</v>
      </c>
      <c r="P56" s="681">
        <v>30.840908154761902</v>
      </c>
      <c r="Q56" s="682"/>
      <c r="S56" s="679">
        <v>45</v>
      </c>
      <c r="T56" s="680">
        <v>2.3291666666666666</v>
      </c>
      <c r="U56" s="680">
        <v>5.1875</v>
      </c>
      <c r="V56" s="681">
        <v>7.4636904761904761</v>
      </c>
      <c r="W56" s="682"/>
      <c r="Y56" s="679">
        <v>45</v>
      </c>
      <c r="Z56" s="680">
        <v>10.919885714285716</v>
      </c>
      <c r="AA56" s="680">
        <v>20.541220967741936</v>
      </c>
      <c r="AB56" s="681">
        <v>21.247549230769231</v>
      </c>
      <c r="AC56" s="682"/>
      <c r="AE56" s="679">
        <v>45</v>
      </c>
      <c r="AF56" s="680">
        <v>13.124091785714286</v>
      </c>
      <c r="AG56" s="680">
        <v>27.697178035714288</v>
      </c>
      <c r="AH56" s="681">
        <v>17.947266428571428</v>
      </c>
      <c r="AI56" s="682"/>
      <c r="AK56" s="679">
        <v>45</v>
      </c>
      <c r="AL56" s="680">
        <v>45.284589285714283</v>
      </c>
      <c r="AM56" s="680">
        <v>51.144755952380955</v>
      </c>
      <c r="AN56" s="681">
        <v>60.387482142857145</v>
      </c>
      <c r="AO56" s="682"/>
      <c r="AQ56" s="679">
        <v>45</v>
      </c>
      <c r="AR56" s="680">
        <v>11.297154761904762</v>
      </c>
      <c r="AS56" s="680">
        <v>10.882261904761904</v>
      </c>
      <c r="AT56" s="681">
        <v>2.5789523809523809</v>
      </c>
      <c r="AU56" s="682"/>
      <c r="AW56" s="679">
        <v>45</v>
      </c>
      <c r="AX56" s="680">
        <v>1.3508571428571428</v>
      </c>
      <c r="AY56" s="680">
        <v>1.3938571428571429</v>
      </c>
      <c r="AZ56" s="681">
        <v>1.1362857142857143</v>
      </c>
      <c r="BA56" s="682"/>
      <c r="BC56" s="679">
        <v>45</v>
      </c>
      <c r="BD56" s="680">
        <v>5.4345238095238102</v>
      </c>
      <c r="BE56" s="680">
        <v>6.9363095238095243</v>
      </c>
      <c r="BF56" s="681">
        <v>7.3020442857142855</v>
      </c>
      <c r="BG56" s="682"/>
      <c r="BI56" s="679">
        <v>45</v>
      </c>
      <c r="BJ56" s="680">
        <v>29.329166666666666</v>
      </c>
      <c r="BK56" s="680">
        <v>67.529761904761898</v>
      </c>
      <c r="BL56" s="681">
        <v>43.160714285714285</v>
      </c>
      <c r="BM56" s="682"/>
      <c r="BO56" s="679">
        <v>45</v>
      </c>
      <c r="BP56" s="680">
        <v>5.2148809523809527</v>
      </c>
      <c r="BQ56" s="680">
        <v>8.2648809523809526</v>
      </c>
      <c r="BR56" s="681">
        <v>6.3732142857142859</v>
      </c>
      <c r="BS56" s="682"/>
      <c r="BU56" s="679">
        <v>45</v>
      </c>
      <c r="BV56" s="680">
        <v>9.1105952380952377</v>
      </c>
      <c r="BW56" s="680">
        <v>14.373511904761905</v>
      </c>
      <c r="BX56" s="681">
        <v>11.841726190476189</v>
      </c>
      <c r="BY56" s="682"/>
      <c r="CA56" s="679">
        <v>45</v>
      </c>
      <c r="CB56" s="680">
        <v>54.434167142857142</v>
      </c>
      <c r="CC56" s="680">
        <v>65.741641428571427</v>
      </c>
      <c r="CD56" s="681">
        <v>70.197649285714277</v>
      </c>
      <c r="CE56" s="682"/>
      <c r="CG56" s="679">
        <v>45</v>
      </c>
      <c r="CH56" s="680">
        <v>40.194285714285712</v>
      </c>
      <c r="CI56" s="680">
        <v>41.259821428571428</v>
      </c>
      <c r="CJ56" s="681">
        <v>42.21422619047619</v>
      </c>
      <c r="CK56" s="682"/>
      <c r="CM56" s="679">
        <v>45</v>
      </c>
      <c r="CN56" s="680">
        <v>22.788553571428572</v>
      </c>
      <c r="CO56" s="680">
        <v>39.26159761904762</v>
      </c>
      <c r="CP56" s="681">
        <v>27.135380535714283</v>
      </c>
      <c r="CQ56" s="682"/>
      <c r="CS56" s="679">
        <v>45</v>
      </c>
      <c r="CT56" s="680">
        <v>8.5267857142857153</v>
      </c>
      <c r="CU56" s="680">
        <v>10.195833333333333</v>
      </c>
      <c r="CV56" s="681">
        <v>8.6154761904761887</v>
      </c>
      <c r="CW56" s="682"/>
      <c r="CY56" s="679">
        <v>45</v>
      </c>
      <c r="CZ56" s="680">
        <v>0.4285714285714286</v>
      </c>
      <c r="DA56" s="680">
        <v>0.3228571428571429</v>
      </c>
      <c r="DB56" s="681">
        <v>1.1041428571428573</v>
      </c>
      <c r="DC56" s="682">
        <v>0.308</v>
      </c>
      <c r="DE56" s="679"/>
      <c r="DF56" s="679">
        <v>45</v>
      </c>
      <c r="DG56" s="680">
        <v>2.3730000000000002</v>
      </c>
      <c r="DH56" s="681">
        <v>0</v>
      </c>
      <c r="DI56" s="682">
        <v>1.570587142857143</v>
      </c>
      <c r="DK56" s="679">
        <v>45</v>
      </c>
      <c r="DL56" s="680">
        <v>1.5912857142857144</v>
      </c>
      <c r="DM56" s="680">
        <v>1.907</v>
      </c>
      <c r="DN56" s="681">
        <v>1.35</v>
      </c>
      <c r="DO56" s="682"/>
      <c r="DQ56" s="679">
        <v>45</v>
      </c>
      <c r="DR56" s="680">
        <v>13.874702380952382</v>
      </c>
      <c r="DS56" s="680">
        <v>11.875059523809524</v>
      </c>
      <c r="DT56" s="681">
        <v>12.822559523809524</v>
      </c>
      <c r="DU56" s="682"/>
      <c r="DW56" s="679">
        <v>45</v>
      </c>
      <c r="DX56" s="680">
        <v>0.73639285714285718</v>
      </c>
      <c r="DY56" s="680">
        <v>1.4191011904761905</v>
      </c>
      <c r="DZ56" s="681">
        <v>1.4241726190476192</v>
      </c>
      <c r="EA56" s="682"/>
      <c r="EC56" s="679">
        <v>45</v>
      </c>
      <c r="ED56" s="680">
        <v>12.746153846153845</v>
      </c>
      <c r="EE56" s="680">
        <v>10.840045454545454</v>
      </c>
      <c r="EF56" s="681">
        <v>12.437954821428573</v>
      </c>
      <c r="EG56" s="682"/>
      <c r="EI56" s="679">
        <v>45</v>
      </c>
      <c r="EJ56" s="680">
        <v>3.8367142857142857</v>
      </c>
      <c r="EK56" s="680">
        <v>0.19800000000000001</v>
      </c>
      <c r="EL56" s="681">
        <v>0.63600000000000001</v>
      </c>
      <c r="EM56" s="682"/>
      <c r="EO56" s="679">
        <v>45</v>
      </c>
      <c r="EP56" s="680">
        <v>15.745714285714286</v>
      </c>
      <c r="EQ56" s="680">
        <v>13.727714285714285</v>
      </c>
      <c r="ER56" s="681">
        <v>19.891999999999999</v>
      </c>
      <c r="ES56" s="682"/>
      <c r="EU56" s="679">
        <v>45</v>
      </c>
      <c r="EV56" s="680">
        <v>8</v>
      </c>
      <c r="EW56" s="680">
        <v>3.9821428571428572</v>
      </c>
      <c r="EX56" s="681">
        <v>0.25</v>
      </c>
      <c r="EY56" s="682"/>
    </row>
    <row r="57" spans="13:155">
      <c r="M57" s="679">
        <v>46</v>
      </c>
      <c r="N57" s="680">
        <v>22.054565654761905</v>
      </c>
      <c r="O57" s="680">
        <v>53.695060059523811</v>
      </c>
      <c r="P57" s="681">
        <v>98.491946071428572</v>
      </c>
      <c r="Q57" s="682"/>
      <c r="S57" s="679">
        <v>46</v>
      </c>
      <c r="T57" s="680">
        <v>3.5</v>
      </c>
      <c r="U57" s="680">
        <v>6.9678571428571425</v>
      </c>
      <c r="V57" s="681">
        <v>4.8178571428571431</v>
      </c>
      <c r="W57" s="682"/>
      <c r="Y57" s="679">
        <v>46</v>
      </c>
      <c r="Z57" s="680">
        <v>11.464804285714285</v>
      </c>
      <c r="AA57" s="680">
        <v>23.569002205882356</v>
      </c>
      <c r="AB57" s="681">
        <v>24.397706545454543</v>
      </c>
      <c r="AC57" s="682"/>
      <c r="AE57" s="679">
        <v>46</v>
      </c>
      <c r="AF57" s="680">
        <v>16.0647275</v>
      </c>
      <c r="AG57" s="680">
        <v>26.440050178571429</v>
      </c>
      <c r="AH57" s="681">
        <v>45.869066547619049</v>
      </c>
      <c r="AI57" s="682"/>
      <c r="AK57" s="679">
        <v>46</v>
      </c>
      <c r="AL57" s="680">
        <v>38.686327380952378</v>
      </c>
      <c r="AM57" s="680">
        <v>70.320077380952384</v>
      </c>
      <c r="AN57" s="681">
        <v>52.254172619047615</v>
      </c>
      <c r="AO57" s="682"/>
      <c r="AQ57" s="679">
        <v>46</v>
      </c>
      <c r="AR57" s="680">
        <v>9.9714107142857156</v>
      </c>
      <c r="AS57" s="680">
        <v>26.536244047619046</v>
      </c>
      <c r="AT57" s="681">
        <v>2.0100297619047618</v>
      </c>
      <c r="AU57" s="682"/>
      <c r="AW57" s="679">
        <v>46</v>
      </c>
      <c r="AX57" s="680">
        <v>1.3508571428571428</v>
      </c>
      <c r="AY57" s="680">
        <v>1.3957142857142857</v>
      </c>
      <c r="AZ57" s="681">
        <v>1.3367142857142857</v>
      </c>
      <c r="BA57" s="682"/>
      <c r="BC57" s="679">
        <v>46</v>
      </c>
      <c r="BD57" s="680">
        <v>5.3250000000000002</v>
      </c>
      <c r="BE57" s="680">
        <v>6.9172619047619053</v>
      </c>
      <c r="BF57" s="681">
        <v>7.4222357142857138</v>
      </c>
      <c r="BG57" s="682"/>
      <c r="BI57" s="679">
        <v>46</v>
      </c>
      <c r="BJ57" s="680">
        <v>26.720238095238095</v>
      </c>
      <c r="BK57" s="680">
        <v>70.729761904761901</v>
      </c>
      <c r="BL57" s="681">
        <v>84.678571428571416</v>
      </c>
      <c r="BM57" s="682"/>
      <c r="BO57" s="679">
        <v>46</v>
      </c>
      <c r="BP57" s="680">
        <v>6.183928571428571</v>
      </c>
      <c r="BQ57" s="680">
        <v>8.0773333333333337</v>
      </c>
      <c r="BR57" s="681">
        <v>21.486904761904764</v>
      </c>
      <c r="BS57" s="682"/>
      <c r="BU57" s="679">
        <v>46</v>
      </c>
      <c r="BV57" s="680">
        <v>9.2526190476190475</v>
      </c>
      <c r="BW57" s="680">
        <v>14.067916666666665</v>
      </c>
      <c r="BX57" s="681">
        <v>13.290714285714287</v>
      </c>
      <c r="BY57" s="682"/>
      <c r="CA57" s="679">
        <v>46</v>
      </c>
      <c r="CB57" s="680">
        <v>52.327635714285712</v>
      </c>
      <c r="CC57" s="680">
        <v>66.222025714285721</v>
      </c>
      <c r="CD57" s="681">
        <v>80.93083571428572</v>
      </c>
      <c r="CE57" s="682"/>
      <c r="CG57" s="679">
        <v>46</v>
      </c>
      <c r="CH57" s="680">
        <v>39.391547619047621</v>
      </c>
      <c r="CI57" s="680">
        <v>43.544702380952373</v>
      </c>
      <c r="CJ57" s="681">
        <v>49.383749999999999</v>
      </c>
      <c r="CK57" s="682"/>
      <c r="CM57" s="679">
        <v>46</v>
      </c>
      <c r="CN57" s="680">
        <v>26.729696428571426</v>
      </c>
      <c r="CO57" s="680">
        <v>59.030308214285718</v>
      </c>
      <c r="CP57" s="681">
        <v>104.57784809523808</v>
      </c>
      <c r="CQ57" s="682"/>
      <c r="CS57" s="679">
        <v>46</v>
      </c>
      <c r="CT57" s="680">
        <v>7.7249999999999996</v>
      </c>
      <c r="CU57" s="680">
        <v>8.2529761904761898</v>
      </c>
      <c r="CV57" s="681">
        <v>10.053571428571429</v>
      </c>
      <c r="CW57" s="682"/>
      <c r="CY57" s="679">
        <v>46</v>
      </c>
      <c r="CZ57" s="680">
        <v>0</v>
      </c>
      <c r="DA57" s="680">
        <v>0</v>
      </c>
      <c r="DB57" s="681">
        <v>4.0609047619047614</v>
      </c>
      <c r="DC57" s="682">
        <v>0.308</v>
      </c>
      <c r="DE57" s="679"/>
      <c r="DF57" s="679">
        <v>46</v>
      </c>
      <c r="DG57" s="680">
        <v>7.5821428571428573</v>
      </c>
      <c r="DH57" s="681">
        <v>0</v>
      </c>
      <c r="DI57" s="682">
        <v>1.8371428571428572</v>
      </c>
      <c r="DK57" s="679">
        <v>46</v>
      </c>
      <c r="DL57" s="680">
        <v>1.0584285714285715</v>
      </c>
      <c r="DM57" s="680">
        <v>1.907</v>
      </c>
      <c r="DN57" s="681">
        <v>1.35</v>
      </c>
      <c r="DO57" s="682"/>
      <c r="DQ57" s="679">
        <v>46</v>
      </c>
      <c r="DR57" s="680">
        <v>14.021964285714287</v>
      </c>
      <c r="DS57" s="680">
        <v>11.820416666666667</v>
      </c>
      <c r="DT57" s="681">
        <v>12.748273809523811</v>
      </c>
      <c r="DU57" s="682"/>
      <c r="DW57" s="679">
        <v>46</v>
      </c>
      <c r="DX57" s="680">
        <v>0.75826785714285716</v>
      </c>
      <c r="DY57" s="680">
        <v>1.4256785714285716</v>
      </c>
      <c r="DZ57" s="681">
        <v>1.3263928571428572</v>
      </c>
      <c r="EA57" s="682"/>
      <c r="EC57" s="679">
        <v>46</v>
      </c>
      <c r="ED57" s="680">
        <v>13.478333333333333</v>
      </c>
      <c r="EE57" s="680">
        <v>11.66</v>
      </c>
      <c r="EF57" s="681">
        <v>11.888894702380952</v>
      </c>
      <c r="EG57" s="682"/>
      <c r="EI57" s="679">
        <v>46</v>
      </c>
      <c r="EJ57" s="680">
        <v>3.343</v>
      </c>
      <c r="EK57" s="680">
        <v>0.24</v>
      </c>
      <c r="EL57" s="681">
        <v>0.497</v>
      </c>
      <c r="EM57" s="682"/>
      <c r="EO57" s="679">
        <v>46</v>
      </c>
      <c r="EP57" s="680">
        <v>15.709074285714285</v>
      </c>
      <c r="EQ57" s="680">
        <v>12.090571428571428</v>
      </c>
      <c r="ER57" s="681">
        <v>17.86</v>
      </c>
      <c r="ES57" s="682"/>
      <c r="EU57" s="679">
        <v>46</v>
      </c>
      <c r="EV57" s="680">
        <v>8</v>
      </c>
      <c r="EW57" s="680">
        <v>0.25</v>
      </c>
      <c r="EX57" s="681">
        <v>0.25</v>
      </c>
      <c r="EY57" s="682"/>
    </row>
    <row r="58" spans="13:155">
      <c r="M58" s="679">
        <v>47</v>
      </c>
      <c r="N58" s="680">
        <v>28.543768333333333</v>
      </c>
      <c r="O58" s="680">
        <v>53.56757821428571</v>
      </c>
      <c r="P58" s="681">
        <v>91.631583392857138</v>
      </c>
      <c r="Q58" s="682"/>
      <c r="S58" s="679">
        <v>47</v>
      </c>
      <c r="T58" s="680">
        <v>3.4857142857142862</v>
      </c>
      <c r="U58" s="680">
        <v>6.8988095238095246</v>
      </c>
      <c r="V58" s="681">
        <v>3.0785714285714287</v>
      </c>
      <c r="W58" s="682"/>
      <c r="Y58" s="679">
        <v>47</v>
      </c>
      <c r="Z58" s="680">
        <v>11.333264285714284</v>
      </c>
      <c r="AA58" s="680">
        <v>31.916474158415841</v>
      </c>
      <c r="AB58" s="681">
        <v>17.730064516129033</v>
      </c>
      <c r="AC58" s="682"/>
      <c r="AE58" s="679">
        <v>47</v>
      </c>
      <c r="AF58" s="680">
        <v>16.058165595238094</v>
      </c>
      <c r="AG58" s="680">
        <v>23.067689702380953</v>
      </c>
      <c r="AH58" s="681">
        <v>45.121723333333328</v>
      </c>
      <c r="AI58" s="682"/>
      <c r="AK58" s="679">
        <v>47</v>
      </c>
      <c r="AL58" s="680">
        <v>46.268785714285713</v>
      </c>
      <c r="AM58" s="680">
        <v>93.984523809523807</v>
      </c>
      <c r="AN58" s="681">
        <v>45.114255952380951</v>
      </c>
      <c r="AO58" s="682"/>
      <c r="AQ58" s="679">
        <v>47</v>
      </c>
      <c r="AR58" s="680">
        <v>9.0634166666666669</v>
      </c>
      <c r="AS58" s="680">
        <v>31.621130952380952</v>
      </c>
      <c r="AT58" s="681">
        <v>2.051714285714286</v>
      </c>
      <c r="AU58" s="682"/>
      <c r="AW58" s="679">
        <v>47</v>
      </c>
      <c r="AX58" s="680">
        <v>1.351</v>
      </c>
      <c r="AY58" s="680">
        <v>1.3228571428571427</v>
      </c>
      <c r="AZ58" s="681">
        <v>1.235857142857143</v>
      </c>
      <c r="BA58" s="682"/>
      <c r="BC58" s="679">
        <v>47</v>
      </c>
      <c r="BD58" s="680">
        <v>5.2196428571428566</v>
      </c>
      <c r="BE58" s="680">
        <v>7.7166666666666668</v>
      </c>
      <c r="BF58" s="681">
        <v>7.4695923809523812</v>
      </c>
      <c r="BG58" s="682"/>
      <c r="BI58" s="679">
        <v>47</v>
      </c>
      <c r="BJ58" s="680">
        <v>27.404761904761902</v>
      </c>
      <c r="BK58" s="680">
        <v>77.99404761904762</v>
      </c>
      <c r="BL58" s="681">
        <v>126.86309523809523</v>
      </c>
      <c r="BM58" s="682"/>
      <c r="BO58" s="679">
        <v>47</v>
      </c>
      <c r="BP58" s="680">
        <v>5.6749999999999998</v>
      </c>
      <c r="BQ58" s="680">
        <v>9.1660714285714295</v>
      </c>
      <c r="BR58" s="681">
        <v>20.890476190476189</v>
      </c>
      <c r="BS58" s="682"/>
      <c r="BU58" s="679">
        <v>47</v>
      </c>
      <c r="BV58" s="680">
        <v>9.2395238095238099</v>
      </c>
      <c r="BW58" s="680">
        <v>14.072440476190478</v>
      </c>
      <c r="BX58" s="681">
        <v>46.866428571428571</v>
      </c>
      <c r="BY58" s="682"/>
      <c r="CA58" s="679">
        <v>47</v>
      </c>
      <c r="CB58" s="680">
        <v>53.448129999999999</v>
      </c>
      <c r="CC58" s="680">
        <v>80.752222857142854</v>
      </c>
      <c r="CD58" s="681">
        <v>101.42934</v>
      </c>
      <c r="CE58" s="682"/>
      <c r="CG58" s="679">
        <v>47</v>
      </c>
      <c r="CH58" s="680">
        <v>41.693392857142861</v>
      </c>
      <c r="CI58" s="680">
        <v>51.140416666666667</v>
      </c>
      <c r="CJ58" s="681">
        <v>128.9372619047619</v>
      </c>
      <c r="CK58" s="682"/>
      <c r="CM58" s="679">
        <v>47</v>
      </c>
      <c r="CN58" s="680">
        <v>23.517642857142857</v>
      </c>
      <c r="CO58" s="680">
        <v>56.926828809523812</v>
      </c>
      <c r="CP58" s="681">
        <v>109.90070833333331</v>
      </c>
      <c r="CQ58" s="682"/>
      <c r="CS58" s="679">
        <v>47</v>
      </c>
      <c r="CT58" s="680">
        <v>7.5</v>
      </c>
      <c r="CU58" s="680">
        <v>9.6809523809523803</v>
      </c>
      <c r="CV58" s="681">
        <v>10.65952380952381</v>
      </c>
      <c r="CW58" s="682"/>
      <c r="CY58" s="679">
        <v>47</v>
      </c>
      <c r="CZ58" s="680">
        <v>0</v>
      </c>
      <c r="DA58" s="680">
        <v>0</v>
      </c>
      <c r="DB58" s="681">
        <v>3.0009999999999999</v>
      </c>
      <c r="DC58" s="682">
        <v>0.308</v>
      </c>
      <c r="DE58" s="679"/>
      <c r="DF58" s="679">
        <v>47</v>
      </c>
      <c r="DG58" s="680">
        <v>0.37128571428571427</v>
      </c>
      <c r="DH58" s="681">
        <v>0</v>
      </c>
      <c r="DI58" s="682">
        <v>2.0692857142857144</v>
      </c>
      <c r="DK58" s="679">
        <v>47</v>
      </c>
      <c r="DL58" s="680">
        <v>0.80700000000000005</v>
      </c>
      <c r="DM58" s="680">
        <v>1.749857142857143</v>
      </c>
      <c r="DN58" s="681">
        <v>1.35</v>
      </c>
      <c r="DO58" s="682"/>
      <c r="DQ58" s="679">
        <v>47</v>
      </c>
      <c r="DR58" s="680">
        <v>12.869702380952381</v>
      </c>
      <c r="DS58" s="680">
        <v>11.851798611111112</v>
      </c>
      <c r="DT58" s="681">
        <v>12.787321428571428</v>
      </c>
      <c r="DU58" s="682"/>
      <c r="DW58" s="679">
        <v>47</v>
      </c>
      <c r="DX58" s="680">
        <v>0.76702976190476191</v>
      </c>
      <c r="DY58" s="680">
        <v>1.4621904761904763</v>
      </c>
      <c r="DZ58" s="681">
        <v>1.4328809523809523</v>
      </c>
      <c r="EA58" s="682"/>
      <c r="EC58" s="679">
        <v>47</v>
      </c>
      <c r="ED58" s="680">
        <v>12.83388888888889</v>
      </c>
      <c r="EE58" s="680">
        <v>7.641346153846154</v>
      </c>
      <c r="EF58" s="681">
        <v>11.965771700680271</v>
      </c>
      <c r="EG58" s="682"/>
      <c r="EI58" s="679">
        <v>47</v>
      </c>
      <c r="EJ58" s="680">
        <v>1.6451428571428572</v>
      </c>
      <c r="EK58" s="680">
        <v>0.24</v>
      </c>
      <c r="EL58" s="681">
        <v>0.47914285714285715</v>
      </c>
      <c r="EM58" s="682"/>
      <c r="EO58" s="679">
        <v>47</v>
      </c>
      <c r="EP58" s="680">
        <v>15.157857142857143</v>
      </c>
      <c r="EQ58" s="680">
        <v>9.1414285714285715</v>
      </c>
      <c r="ER58" s="681">
        <v>15.105714285714285</v>
      </c>
      <c r="ES58" s="682"/>
      <c r="EU58" s="679">
        <v>47</v>
      </c>
      <c r="EV58" s="680">
        <v>8</v>
      </c>
      <c r="EW58" s="680">
        <v>0.25</v>
      </c>
      <c r="EX58" s="681">
        <v>0.25</v>
      </c>
      <c r="EY58" s="682"/>
    </row>
    <row r="59" spans="13:155">
      <c r="M59" s="679">
        <v>48</v>
      </c>
      <c r="N59" s="680">
        <v>16.07927732142857</v>
      </c>
      <c r="O59" s="680">
        <v>86.30591428571428</v>
      </c>
      <c r="P59" s="681">
        <v>149.89897238095239</v>
      </c>
      <c r="Q59" s="682"/>
      <c r="S59" s="679">
        <v>48</v>
      </c>
      <c r="T59" s="680">
        <v>3.4402777777777782</v>
      </c>
      <c r="U59" s="680">
        <v>7.0732142857142852</v>
      </c>
      <c r="V59" s="681">
        <v>3.1541666666666668</v>
      </c>
      <c r="W59" s="682"/>
      <c r="Y59" s="679">
        <v>48</v>
      </c>
      <c r="Z59" s="680">
        <v>11.195039523809525</v>
      </c>
      <c r="AA59" s="680">
        <v>30.612757756410254</v>
      </c>
      <c r="AB59" s="681">
        <v>30.286987457627117</v>
      </c>
      <c r="AC59" s="682"/>
      <c r="AE59" s="679">
        <v>48</v>
      </c>
      <c r="AF59" s="680">
        <v>11.431945595238096</v>
      </c>
      <c r="AG59" s="680">
        <v>48.868549107142854</v>
      </c>
      <c r="AH59" s="681">
        <v>49.876342678571433</v>
      </c>
      <c r="AI59" s="682"/>
      <c r="AK59" s="679">
        <v>48</v>
      </c>
      <c r="AL59" s="680">
        <v>45.241041666666668</v>
      </c>
      <c r="AM59" s="680">
        <v>75.532809523809519</v>
      </c>
      <c r="AN59" s="681">
        <v>74.079982142857133</v>
      </c>
      <c r="AO59" s="682"/>
      <c r="AQ59" s="679">
        <v>48</v>
      </c>
      <c r="AR59" s="680">
        <v>7.7819821428571432</v>
      </c>
      <c r="AS59" s="680">
        <v>13.612142857142857</v>
      </c>
      <c r="AT59" s="681">
        <v>2.5101726190476192</v>
      </c>
      <c r="AU59" s="682"/>
      <c r="AW59" s="679">
        <v>48</v>
      </c>
      <c r="AX59" s="680">
        <v>1.351</v>
      </c>
      <c r="AY59" s="680">
        <v>1.4121428571428571</v>
      </c>
      <c r="AZ59" s="681">
        <v>1.7508333333333332</v>
      </c>
      <c r="BA59" s="682"/>
      <c r="BC59" s="679">
        <v>48</v>
      </c>
      <c r="BD59" s="680">
        <v>5.7077380952380956</v>
      </c>
      <c r="BE59" s="680">
        <v>11.59642857142857</v>
      </c>
      <c r="BF59" s="681">
        <v>15.011999047619048</v>
      </c>
      <c r="BG59" s="682"/>
      <c r="BI59" s="679">
        <v>48</v>
      </c>
      <c r="BJ59" s="680">
        <v>25.464285714285715</v>
      </c>
      <c r="BK59" s="680">
        <v>122.74404761904762</v>
      </c>
      <c r="BL59" s="681">
        <v>126.81547619047618</v>
      </c>
      <c r="BM59" s="682"/>
      <c r="BO59" s="679">
        <v>48</v>
      </c>
      <c r="BP59" s="680">
        <v>5.2589285714285712</v>
      </c>
      <c r="BQ59" s="680">
        <v>16.342857142857145</v>
      </c>
      <c r="BR59" s="681">
        <v>20.482738095238094</v>
      </c>
      <c r="BS59" s="682"/>
      <c r="BU59" s="679">
        <v>48</v>
      </c>
      <c r="BV59" s="680">
        <v>9.7901785714285712</v>
      </c>
      <c r="BW59" s="680">
        <v>24.205357142857142</v>
      </c>
      <c r="BX59" s="681">
        <v>43.280972222222225</v>
      </c>
      <c r="BY59" s="682"/>
      <c r="CA59" s="679">
        <v>48</v>
      </c>
      <c r="CB59" s="680">
        <v>48.331787142857145</v>
      </c>
      <c r="CC59" s="680">
        <v>123.04107285714285</v>
      </c>
      <c r="CD59" s="681">
        <v>148.29280428571428</v>
      </c>
      <c r="CE59" s="682"/>
      <c r="CG59" s="679">
        <v>48</v>
      </c>
      <c r="CH59" s="680">
        <v>40.391785714285717</v>
      </c>
      <c r="CI59" s="680">
        <v>96.677976190476187</v>
      </c>
      <c r="CJ59" s="681">
        <v>131.65976190476189</v>
      </c>
      <c r="CK59" s="682"/>
      <c r="CM59" s="679">
        <v>48</v>
      </c>
      <c r="CN59" s="680">
        <v>19.952767857142856</v>
      </c>
      <c r="CO59" s="680">
        <v>87.944065476190474</v>
      </c>
      <c r="CP59" s="681">
        <v>169.32457738095238</v>
      </c>
      <c r="CQ59" s="682"/>
      <c r="CS59" s="679">
        <v>48</v>
      </c>
      <c r="CT59" s="680">
        <v>7.9285714285714288</v>
      </c>
      <c r="CU59" s="680">
        <v>24.856547619047618</v>
      </c>
      <c r="CV59" s="681">
        <v>18.882738095238093</v>
      </c>
      <c r="CW59" s="682"/>
      <c r="CY59" s="679">
        <v>48</v>
      </c>
      <c r="CZ59" s="680">
        <v>0</v>
      </c>
      <c r="DA59" s="680">
        <v>0</v>
      </c>
      <c r="DB59" s="681">
        <v>6.1790000000000003</v>
      </c>
      <c r="DC59" s="682">
        <v>0.308</v>
      </c>
      <c r="DE59" s="679"/>
      <c r="DF59" s="679">
        <v>48</v>
      </c>
      <c r="DG59" s="680">
        <v>1.6001428571428573</v>
      </c>
      <c r="DH59" s="681">
        <v>0</v>
      </c>
      <c r="DI59" s="682">
        <v>2.278</v>
      </c>
      <c r="DK59" s="679">
        <v>48</v>
      </c>
      <c r="DL59" s="680">
        <v>0.80700000000000005</v>
      </c>
      <c r="DM59" s="680">
        <v>0.80700000000000005</v>
      </c>
      <c r="DN59" s="681">
        <v>0.73285714285714287</v>
      </c>
      <c r="DO59" s="682"/>
      <c r="DQ59" s="679">
        <v>48</v>
      </c>
      <c r="DR59" s="680">
        <v>12.914761904761905</v>
      </c>
      <c r="DS59" s="680">
        <v>11.712321428571428</v>
      </c>
      <c r="DT59" s="681">
        <v>12.898571428571428</v>
      </c>
      <c r="DU59" s="682"/>
      <c r="DW59" s="679">
        <v>48</v>
      </c>
      <c r="DX59" s="680">
        <v>0.78655952380952388</v>
      </c>
      <c r="DY59" s="680">
        <v>1.3380416666666666</v>
      </c>
      <c r="DZ59" s="681">
        <v>1.3944583333333334</v>
      </c>
      <c r="EA59" s="682"/>
      <c r="EC59" s="679">
        <v>48</v>
      </c>
      <c r="ED59" s="680">
        <v>11.984999999999999</v>
      </c>
      <c r="EE59" s="680">
        <v>4.0650000000000004</v>
      </c>
      <c r="EF59" s="681">
        <v>4.5906946721311481</v>
      </c>
      <c r="EG59" s="682"/>
      <c r="EI59" s="679">
        <v>48</v>
      </c>
      <c r="EJ59" s="680">
        <v>1.0308571428571429</v>
      </c>
      <c r="EK59" s="680">
        <v>0.24</v>
      </c>
      <c r="EL59" s="681">
        <v>0.372</v>
      </c>
      <c r="EM59" s="682"/>
      <c r="EO59" s="679">
        <v>48</v>
      </c>
      <c r="EP59" s="680">
        <v>13.044571428571428</v>
      </c>
      <c r="EQ59" s="680">
        <v>7.5495714285714293</v>
      </c>
      <c r="ER59" s="681">
        <v>6.37</v>
      </c>
      <c r="ES59" s="682"/>
      <c r="EU59" s="679">
        <v>48</v>
      </c>
      <c r="EV59" s="680">
        <v>8</v>
      </c>
      <c r="EW59" s="680">
        <v>0.25</v>
      </c>
      <c r="EX59" s="681">
        <v>0.25</v>
      </c>
      <c r="EY59" s="682"/>
    </row>
    <row r="60" spans="13:155">
      <c r="M60" s="679">
        <v>49</v>
      </c>
      <c r="N60" s="680">
        <v>21.426785357142855</v>
      </c>
      <c r="O60" s="680">
        <v>113.05152410714285</v>
      </c>
      <c r="P60" s="681">
        <v>132.23053339285715</v>
      </c>
      <c r="Q60" s="682"/>
      <c r="S60" s="679">
        <v>49</v>
      </c>
      <c r="T60" s="680">
        <v>3.3345238095238097</v>
      </c>
      <c r="U60" s="680">
        <v>9.0738095238095244</v>
      </c>
      <c r="V60" s="681">
        <v>6.9988095238095243</v>
      </c>
      <c r="W60" s="682"/>
      <c r="Y60" s="679">
        <v>49</v>
      </c>
      <c r="Z60" s="680">
        <v>11.129731904761906</v>
      </c>
      <c r="AA60" s="680">
        <v>34.605886149068326</v>
      </c>
      <c r="AB60" s="681">
        <v>37.649666956521735</v>
      </c>
      <c r="AC60" s="682"/>
      <c r="AE60" s="679">
        <v>49</v>
      </c>
      <c r="AF60" s="680">
        <v>9.678704166666666</v>
      </c>
      <c r="AG60" s="680">
        <v>53.325288273809527</v>
      </c>
      <c r="AH60" s="681">
        <v>40.876785119047625</v>
      </c>
      <c r="AI60" s="682"/>
      <c r="AK60" s="679">
        <v>49</v>
      </c>
      <c r="AL60" s="680">
        <v>43.305982142857147</v>
      </c>
      <c r="AM60" s="680">
        <v>112.09435714285713</v>
      </c>
      <c r="AN60" s="681">
        <v>96.931940476190476</v>
      </c>
      <c r="AO60" s="682"/>
      <c r="AQ60" s="679">
        <v>49</v>
      </c>
      <c r="AR60" s="680">
        <v>6.0246488095238098</v>
      </c>
      <c r="AS60" s="680">
        <v>15.010238095238096</v>
      </c>
      <c r="AT60" s="681">
        <v>4.0547559523809529</v>
      </c>
      <c r="AU60" s="682"/>
      <c r="AW60" s="679">
        <v>49</v>
      </c>
      <c r="AX60" s="680">
        <v>1.3818142857142859</v>
      </c>
      <c r="AY60" s="680">
        <v>1.2674285714285713</v>
      </c>
      <c r="AZ60" s="681">
        <v>1.7592857142857143</v>
      </c>
      <c r="BA60" s="682"/>
      <c r="BC60" s="679">
        <v>49</v>
      </c>
      <c r="BD60" s="680">
        <v>6.1595238095238098</v>
      </c>
      <c r="BE60" s="680">
        <v>19.209523809523809</v>
      </c>
      <c r="BF60" s="681">
        <v>14.967857142857142</v>
      </c>
      <c r="BG60" s="682"/>
      <c r="BI60" s="679">
        <v>49</v>
      </c>
      <c r="BJ60" s="680">
        <v>26.208333333333336</v>
      </c>
      <c r="BK60" s="680">
        <v>119.83928571428571</v>
      </c>
      <c r="BL60" s="681">
        <v>100.17261904761905</v>
      </c>
      <c r="BM60" s="682"/>
      <c r="BO60" s="679">
        <v>49</v>
      </c>
      <c r="BP60" s="680">
        <v>4.6136904761904765</v>
      </c>
      <c r="BQ60" s="680">
        <v>15.19047619047619</v>
      </c>
      <c r="BR60" s="681">
        <v>14.745833333333334</v>
      </c>
      <c r="BS60" s="682"/>
      <c r="BU60" s="679">
        <v>49</v>
      </c>
      <c r="BV60" s="680">
        <v>10.627678571428572</v>
      </c>
      <c r="BW60" s="680">
        <v>35.366488095238097</v>
      </c>
      <c r="BX60" s="681">
        <v>33.165654761904761</v>
      </c>
      <c r="BY60" s="682"/>
      <c r="CA60" s="679">
        <v>49</v>
      </c>
      <c r="CB60" s="680">
        <v>48.971171428571424</v>
      </c>
      <c r="CC60" s="680">
        <v>152.37889952380951</v>
      </c>
      <c r="CD60" s="681">
        <v>188.66927714285714</v>
      </c>
      <c r="CE60" s="682"/>
      <c r="CG60" s="679">
        <v>49</v>
      </c>
      <c r="CH60" s="680">
        <v>41.594166666666666</v>
      </c>
      <c r="CI60" s="680">
        <v>138.47607142857143</v>
      </c>
      <c r="CJ60" s="681">
        <v>110.02577380952381</v>
      </c>
      <c r="CK60" s="682"/>
      <c r="CM60" s="679">
        <v>49</v>
      </c>
      <c r="CN60" s="680">
        <v>18.699880952380951</v>
      </c>
      <c r="CO60" s="680">
        <v>114.37211404761904</v>
      </c>
      <c r="CP60" s="681">
        <v>142.88656005952379</v>
      </c>
      <c r="CQ60" s="682"/>
      <c r="CS60" s="679">
        <v>49</v>
      </c>
      <c r="CT60" s="680">
        <v>7.5857142857142863</v>
      </c>
      <c r="CU60" s="680">
        <v>44.813690476190473</v>
      </c>
      <c r="CV60" s="681">
        <v>40.543452380952374</v>
      </c>
      <c r="CW60" s="682"/>
      <c r="CY60" s="679">
        <v>49</v>
      </c>
      <c r="CZ60" s="680">
        <v>0</v>
      </c>
      <c r="DA60" s="680">
        <v>0</v>
      </c>
      <c r="DB60" s="681">
        <v>6.1790000000000003</v>
      </c>
      <c r="DC60" s="682">
        <v>0.308</v>
      </c>
      <c r="DE60" s="679"/>
      <c r="DF60" s="679">
        <v>49</v>
      </c>
      <c r="DG60" s="680">
        <v>0.2</v>
      </c>
      <c r="DH60" s="681">
        <v>0</v>
      </c>
      <c r="DI60" s="682">
        <v>0.43742857142857144</v>
      </c>
      <c r="DK60" s="679">
        <v>49</v>
      </c>
      <c r="DL60" s="680">
        <v>0.80700000000000005</v>
      </c>
      <c r="DM60" s="680">
        <v>0.80700000000000005</v>
      </c>
      <c r="DN60" s="681">
        <v>0.63</v>
      </c>
      <c r="DO60" s="682"/>
      <c r="DQ60" s="679">
        <v>49</v>
      </c>
      <c r="DR60" s="680">
        <v>13.072690476190475</v>
      </c>
      <c r="DS60" s="680">
        <v>10.803392857142857</v>
      </c>
      <c r="DT60" s="681">
        <v>12.657380952380951</v>
      </c>
      <c r="DU60" s="682"/>
      <c r="DW60" s="679">
        <v>49</v>
      </c>
      <c r="DX60" s="680">
        <v>0.79577380952380949</v>
      </c>
      <c r="DY60" s="680">
        <v>1.4183630952380952</v>
      </c>
      <c r="DZ60" s="681">
        <v>1.3856845238095239</v>
      </c>
      <c r="EA60" s="682"/>
      <c r="EC60" s="679">
        <v>49</v>
      </c>
      <c r="ED60" s="680">
        <v>13.492777777777778</v>
      </c>
      <c r="EE60" s="680">
        <v>1.0900000000000001</v>
      </c>
      <c r="EF60" s="681">
        <v>0.70799999999999996</v>
      </c>
      <c r="EG60" s="682"/>
      <c r="EI60" s="679">
        <v>49</v>
      </c>
      <c r="EJ60" s="680">
        <v>0.98799999999999999</v>
      </c>
      <c r="EK60" s="680">
        <v>0.24</v>
      </c>
      <c r="EL60" s="681">
        <v>0.372</v>
      </c>
      <c r="EM60" s="682"/>
      <c r="EO60" s="679">
        <v>49</v>
      </c>
      <c r="EP60" s="680">
        <v>9.899285714285714</v>
      </c>
      <c r="EQ60" s="680">
        <v>8.0542857142857134</v>
      </c>
      <c r="ER60" s="681">
        <v>3.7757142857142862</v>
      </c>
      <c r="ES60" s="682"/>
      <c r="EU60" s="679">
        <v>49</v>
      </c>
      <c r="EV60" s="680">
        <v>4.7678571428571432</v>
      </c>
      <c r="EW60" s="680">
        <v>0.25</v>
      </c>
      <c r="EX60" s="681">
        <v>0.25</v>
      </c>
      <c r="EY60" s="682"/>
    </row>
    <row r="61" spans="13:155">
      <c r="M61" s="679">
        <v>50</v>
      </c>
      <c r="N61" s="680">
        <v>32.50136761904762</v>
      </c>
      <c r="O61" s="680">
        <v>108.58853613095238</v>
      </c>
      <c r="P61" s="681">
        <v>135.52681000000001</v>
      </c>
      <c r="Q61" s="682"/>
      <c r="S61" s="679">
        <v>50</v>
      </c>
      <c r="T61" s="680">
        <v>2.9571428571428569</v>
      </c>
      <c r="U61" s="680">
        <v>9.4107142857142865</v>
      </c>
      <c r="V61" s="681">
        <v>12.689285714285713</v>
      </c>
      <c r="W61" s="682"/>
      <c r="Y61" s="679">
        <v>50</v>
      </c>
      <c r="Z61" s="680">
        <v>12.840785500000001</v>
      </c>
      <c r="AA61" s="680">
        <v>35.838043357664233</v>
      </c>
      <c r="AB61" s="681">
        <v>38.216720562500001</v>
      </c>
      <c r="AC61" s="682"/>
      <c r="AE61" s="679">
        <v>50</v>
      </c>
      <c r="AF61" s="680">
        <v>27.661739702380952</v>
      </c>
      <c r="AG61" s="680">
        <v>60.840097083333326</v>
      </c>
      <c r="AH61" s="681">
        <v>44.160467797619049</v>
      </c>
      <c r="AI61" s="682"/>
      <c r="AK61" s="679">
        <v>50</v>
      </c>
      <c r="AL61" s="680">
        <v>46.609410714285708</v>
      </c>
      <c r="AM61" s="680">
        <v>108.04799404761906</v>
      </c>
      <c r="AN61" s="681">
        <v>101.34713888888889</v>
      </c>
      <c r="AO61" s="682"/>
      <c r="AQ61" s="679">
        <v>50</v>
      </c>
      <c r="AR61" s="680">
        <v>10.802732142857144</v>
      </c>
      <c r="AS61" s="680">
        <v>14.624047619047619</v>
      </c>
      <c r="AT61" s="681">
        <v>6.4543125000000003</v>
      </c>
      <c r="AU61" s="682"/>
      <c r="AW61" s="679">
        <v>50</v>
      </c>
      <c r="AX61" s="680">
        <v>2.3402857142857143</v>
      </c>
      <c r="AY61" s="680">
        <v>1.6844285714285716</v>
      </c>
      <c r="AZ61" s="681">
        <v>1.3351428571428572</v>
      </c>
      <c r="BA61" s="682"/>
      <c r="BC61" s="679">
        <v>50</v>
      </c>
      <c r="BD61" s="680">
        <v>8.2303571428571427</v>
      </c>
      <c r="BE61" s="680">
        <v>19.223809523809525</v>
      </c>
      <c r="BF61" s="681">
        <v>15.783928095238094</v>
      </c>
      <c r="BG61" s="682"/>
      <c r="BI61" s="679">
        <v>50</v>
      </c>
      <c r="BJ61" s="680">
        <v>47.559523809523803</v>
      </c>
      <c r="BK61" s="680">
        <v>121.60714285714285</v>
      </c>
      <c r="BL61" s="681">
        <v>120.10119047619047</v>
      </c>
      <c r="BM61" s="682"/>
      <c r="BO61" s="679">
        <v>50</v>
      </c>
      <c r="BP61" s="680">
        <v>9.3255952380952376</v>
      </c>
      <c r="BQ61" s="680">
        <v>16.935714285714283</v>
      </c>
      <c r="BR61" s="681">
        <v>18.530952380952382</v>
      </c>
      <c r="BS61" s="682"/>
      <c r="BU61" s="679">
        <v>50</v>
      </c>
      <c r="BV61" s="680">
        <v>13.905297619047619</v>
      </c>
      <c r="BW61" s="680">
        <v>36.928095238095239</v>
      </c>
      <c r="BX61" s="681">
        <v>49.125476190476185</v>
      </c>
      <c r="BY61" s="682"/>
      <c r="CA61" s="679">
        <v>50</v>
      </c>
      <c r="CB61" s="680">
        <v>58.229397142857138</v>
      </c>
      <c r="CC61" s="680">
        <v>146.61115999999998</v>
      </c>
      <c r="CD61" s="681">
        <v>185.97834714285713</v>
      </c>
      <c r="CE61" s="682"/>
      <c r="CG61" s="679">
        <v>50</v>
      </c>
      <c r="CH61" s="680">
        <v>44.29053571428571</v>
      </c>
      <c r="CI61" s="680">
        <v>173.01172619047617</v>
      </c>
      <c r="CJ61" s="681">
        <v>125.49315476190476</v>
      </c>
      <c r="CK61" s="682"/>
      <c r="CM61" s="679">
        <v>50</v>
      </c>
      <c r="CN61" s="680">
        <v>39.400773809523812</v>
      </c>
      <c r="CO61" s="680">
        <v>124.79684440476188</v>
      </c>
      <c r="CP61" s="681">
        <v>135.75480071428572</v>
      </c>
      <c r="CQ61" s="682"/>
      <c r="CS61" s="679">
        <v>50</v>
      </c>
      <c r="CT61" s="680">
        <v>8.7535714285714281</v>
      </c>
      <c r="CU61" s="680">
        <v>26.686309523809523</v>
      </c>
      <c r="CV61" s="681">
        <v>24.372619047619047</v>
      </c>
      <c r="CW61" s="682"/>
      <c r="CY61" s="679">
        <v>50</v>
      </c>
      <c r="CZ61" s="680">
        <v>0</v>
      </c>
      <c r="DA61" s="680">
        <v>0</v>
      </c>
      <c r="DB61" s="681">
        <v>0</v>
      </c>
      <c r="DC61" s="682">
        <v>0.308</v>
      </c>
      <c r="DE61" s="679"/>
      <c r="DF61" s="679">
        <v>50</v>
      </c>
      <c r="DG61" s="680">
        <v>0</v>
      </c>
      <c r="DH61" s="681">
        <v>0</v>
      </c>
      <c r="DI61" s="682">
        <v>0</v>
      </c>
      <c r="DK61" s="679">
        <v>50</v>
      </c>
      <c r="DL61" s="680">
        <v>0.80700000000000005</v>
      </c>
      <c r="DM61" s="680">
        <v>0.96414285714285719</v>
      </c>
      <c r="DN61" s="681">
        <v>0.6657142857142857</v>
      </c>
      <c r="DO61" s="682"/>
      <c r="DQ61" s="679">
        <v>50</v>
      </c>
      <c r="DR61" s="680">
        <v>12.378571428571428</v>
      </c>
      <c r="DS61" s="680">
        <v>10.743154761904762</v>
      </c>
      <c r="DT61" s="681">
        <v>12.706309523809523</v>
      </c>
      <c r="DU61" s="682"/>
      <c r="DW61" s="679">
        <v>50</v>
      </c>
      <c r="DX61" s="680">
        <v>0.80280357142857151</v>
      </c>
      <c r="DY61" s="680">
        <v>1.4119880952380952</v>
      </c>
      <c r="DZ61" s="681">
        <v>1.4567023809523809</v>
      </c>
      <c r="EA61" s="682"/>
      <c r="EC61" s="679">
        <v>50</v>
      </c>
      <c r="ED61" s="680">
        <v>10.759871794871795</v>
      </c>
      <c r="EE61" s="680">
        <v>0.99</v>
      </c>
      <c r="EF61" s="681">
        <v>0.72</v>
      </c>
      <c r="EG61" s="682"/>
      <c r="EI61" s="679">
        <v>50</v>
      </c>
      <c r="EJ61" s="680"/>
      <c r="EK61" s="680">
        <v>0.24</v>
      </c>
      <c r="EL61" s="681">
        <v>0.372</v>
      </c>
      <c r="EM61" s="682"/>
      <c r="EO61" s="679">
        <v>50</v>
      </c>
      <c r="EP61" s="680">
        <v>8.4579514285714286</v>
      </c>
      <c r="EQ61" s="680">
        <v>8.194285714285714</v>
      </c>
      <c r="ER61" s="681">
        <v>5.1242857142857146</v>
      </c>
      <c r="ES61" s="682"/>
      <c r="EU61" s="679">
        <v>50</v>
      </c>
      <c r="EV61" s="680">
        <v>0.25</v>
      </c>
      <c r="EW61" s="680">
        <v>0.25</v>
      </c>
      <c r="EX61" s="681">
        <v>0.25</v>
      </c>
      <c r="EY61" s="682"/>
    </row>
    <row r="62" spans="13:155">
      <c r="M62" s="679">
        <v>51</v>
      </c>
      <c r="N62" s="680">
        <v>67.459739464285718</v>
      </c>
      <c r="O62" s="680">
        <v>143.51373023809523</v>
      </c>
      <c r="P62" s="681">
        <v>145.39447267857142</v>
      </c>
      <c r="Q62" s="682"/>
      <c r="S62" s="679">
        <v>51</v>
      </c>
      <c r="T62" s="680">
        <v>3.7464285714285714</v>
      </c>
      <c r="U62" s="680">
        <v>9.9922619047619037</v>
      </c>
      <c r="V62" s="681">
        <v>11.65952380952381</v>
      </c>
      <c r="W62" s="682"/>
      <c r="Y62" s="679">
        <v>51</v>
      </c>
      <c r="Z62" s="680">
        <v>21.320983571428574</v>
      </c>
      <c r="AA62" s="680">
        <v>53.486112547770702</v>
      </c>
      <c r="AB62" s="681">
        <v>55.853167264957264</v>
      </c>
      <c r="AC62" s="682"/>
      <c r="AE62" s="679">
        <v>51</v>
      </c>
      <c r="AF62" s="680">
        <v>32.688035892857144</v>
      </c>
      <c r="AG62" s="680">
        <v>63.815930119047614</v>
      </c>
      <c r="AH62" s="681">
        <v>71.789236547619041</v>
      </c>
      <c r="AI62" s="682"/>
      <c r="AK62" s="679">
        <v>51</v>
      </c>
      <c r="AL62" s="680">
        <v>70.499910714285704</v>
      </c>
      <c r="AM62" s="680">
        <v>146.68142857142857</v>
      </c>
      <c r="AN62" s="681">
        <v>102.51620833333332</v>
      </c>
      <c r="AO62" s="682"/>
      <c r="AQ62" s="679">
        <v>51</v>
      </c>
      <c r="AR62" s="680">
        <v>13.547023809523809</v>
      </c>
      <c r="AS62" s="680">
        <v>66.382773809523812</v>
      </c>
      <c r="AT62" s="681">
        <v>7.5661726190476193</v>
      </c>
      <c r="AU62" s="682"/>
      <c r="AW62" s="679">
        <v>51</v>
      </c>
      <c r="AX62" s="680">
        <v>2.1075714285714287</v>
      </c>
      <c r="AY62" s="680">
        <v>1.6027142857142858</v>
      </c>
      <c r="AZ62" s="681">
        <v>1.5354285714285716</v>
      </c>
      <c r="BA62" s="682"/>
      <c r="BC62" s="679">
        <v>51</v>
      </c>
      <c r="BD62" s="680">
        <v>10.147222222222222</v>
      </c>
      <c r="BE62" s="680">
        <v>21.12797619047619</v>
      </c>
      <c r="BF62" s="681">
        <v>24.151787142857142</v>
      </c>
      <c r="BG62" s="682"/>
      <c r="BI62" s="679">
        <v>51</v>
      </c>
      <c r="BJ62" s="680">
        <v>76.803571428571431</v>
      </c>
      <c r="BK62" s="680">
        <v>159.13690476190476</v>
      </c>
      <c r="BL62" s="681">
        <v>151.67261904761904</v>
      </c>
      <c r="BM62" s="682"/>
      <c r="BO62" s="679">
        <v>51</v>
      </c>
      <c r="BP62" s="680">
        <v>11.790476190476189</v>
      </c>
      <c r="BQ62" s="680">
        <v>22.553571428571431</v>
      </c>
      <c r="BR62" s="681">
        <v>41.13928571428572</v>
      </c>
      <c r="BS62" s="682"/>
      <c r="BU62" s="679">
        <v>51</v>
      </c>
      <c r="BV62" s="680">
        <v>18.10029761904762</v>
      </c>
      <c r="BW62" s="680">
        <v>48.658809523809524</v>
      </c>
      <c r="BX62" s="681">
        <v>22.373595238095238</v>
      </c>
      <c r="BY62" s="682"/>
      <c r="CA62" s="679">
        <v>51</v>
      </c>
      <c r="CB62" s="680">
        <v>75.462731428571431</v>
      </c>
      <c r="CC62" s="680">
        <v>155.44956999999999</v>
      </c>
      <c r="CD62" s="681">
        <v>423.4351871428571</v>
      </c>
      <c r="CE62" s="682"/>
      <c r="CG62" s="679">
        <v>51</v>
      </c>
      <c r="CH62" s="680">
        <v>58.199166666666663</v>
      </c>
      <c r="CI62" s="680">
        <v>260.03505952380954</v>
      </c>
      <c r="CJ62" s="681">
        <v>137.36000000000001</v>
      </c>
      <c r="CK62" s="682"/>
      <c r="CM62" s="679">
        <v>51</v>
      </c>
      <c r="CN62" s="680">
        <v>63.892113095238095</v>
      </c>
      <c r="CO62" s="680">
        <v>186.05912499999999</v>
      </c>
      <c r="CP62" s="681">
        <v>290.37373559523809</v>
      </c>
      <c r="CQ62" s="682"/>
      <c r="CS62" s="679">
        <v>51</v>
      </c>
      <c r="CT62" s="680">
        <v>14.265476190476191</v>
      </c>
      <c r="CU62" s="680">
        <v>38.479166666666664</v>
      </c>
      <c r="CV62" s="681">
        <v>38.110119047619044</v>
      </c>
      <c r="CW62" s="682"/>
      <c r="CY62" s="679">
        <v>51</v>
      </c>
      <c r="CZ62" s="680">
        <v>0</v>
      </c>
      <c r="DA62" s="680">
        <v>0</v>
      </c>
      <c r="DB62" s="681">
        <v>0</v>
      </c>
      <c r="DC62" s="682">
        <v>0.308</v>
      </c>
      <c r="DE62" s="679"/>
      <c r="DF62" s="679">
        <v>51</v>
      </c>
      <c r="DG62" s="680">
        <v>0</v>
      </c>
      <c r="DH62" s="681">
        <v>0</v>
      </c>
      <c r="DI62" s="682">
        <v>0</v>
      </c>
      <c r="DK62" s="679">
        <v>51</v>
      </c>
      <c r="DL62" s="680">
        <v>0.80700000000000005</v>
      </c>
      <c r="DM62" s="680">
        <v>1.907</v>
      </c>
      <c r="DN62" s="681">
        <v>0.63</v>
      </c>
      <c r="DO62" s="682"/>
      <c r="DQ62" s="679">
        <v>51</v>
      </c>
      <c r="DR62" s="680">
        <v>13.595178571428573</v>
      </c>
      <c r="DS62" s="680">
        <v>10.923154761904762</v>
      </c>
      <c r="DT62" s="681">
        <v>12.748869047619047</v>
      </c>
      <c r="DU62" s="682"/>
      <c r="DW62" s="679">
        <v>51</v>
      </c>
      <c r="DX62" s="680">
        <v>0.65187499999999998</v>
      </c>
      <c r="DY62" s="680">
        <v>1.4390595238095238</v>
      </c>
      <c r="DZ62" s="681">
        <v>1.4755773809523809</v>
      </c>
      <c r="EA62" s="682"/>
      <c r="EC62" s="679">
        <v>51</v>
      </c>
      <c r="ED62" s="680">
        <v>4.9118181818181821</v>
      </c>
      <c r="EE62" s="680">
        <v>0.99</v>
      </c>
      <c r="EF62" s="681">
        <v>2.1512500000000001</v>
      </c>
      <c r="EG62" s="682"/>
      <c r="EI62" s="679">
        <v>51</v>
      </c>
      <c r="EJ62" s="680">
        <v>0.78371428571428581</v>
      </c>
      <c r="EK62" s="680">
        <v>0.24</v>
      </c>
      <c r="EL62" s="681">
        <v>0.372</v>
      </c>
      <c r="EM62" s="682"/>
      <c r="EO62" s="679">
        <v>51</v>
      </c>
      <c r="EP62" s="680">
        <v>7.6372857142857145</v>
      </c>
      <c r="EQ62" s="680">
        <v>2.7100000000000004</v>
      </c>
      <c r="ER62" s="681">
        <v>6.0968228571428575</v>
      </c>
      <c r="ES62" s="682"/>
      <c r="EU62" s="679">
        <v>51</v>
      </c>
      <c r="EV62" s="680">
        <v>0.25</v>
      </c>
      <c r="EW62" s="680">
        <v>0.25</v>
      </c>
      <c r="EX62" s="681">
        <v>0.25</v>
      </c>
      <c r="EY62" s="682"/>
    </row>
    <row r="63" spans="13:155">
      <c r="M63" s="679">
        <v>52</v>
      </c>
      <c r="N63" s="680">
        <v>52.813264107142849</v>
      </c>
      <c r="O63" s="680">
        <v>144.67696273809523</v>
      </c>
      <c r="P63" s="681">
        <v>141.06442434523808</v>
      </c>
      <c r="Q63" s="682"/>
      <c r="S63" s="679">
        <v>52</v>
      </c>
      <c r="T63" s="680">
        <v>6.6136904761904765</v>
      </c>
      <c r="U63" s="680">
        <v>9.9327380952380935</v>
      </c>
      <c r="V63" s="681">
        <v>9.2511904761904766</v>
      </c>
      <c r="W63" s="682"/>
      <c r="Y63" s="679">
        <v>52</v>
      </c>
      <c r="Z63" s="680">
        <v>21.275355000000001</v>
      </c>
      <c r="AA63" s="680">
        <v>42.778020745341614</v>
      </c>
      <c r="AB63" s="681">
        <v>46.466699708029196</v>
      </c>
      <c r="AC63" s="682"/>
      <c r="AE63" s="679">
        <v>52</v>
      </c>
      <c r="AF63" s="680">
        <v>21.356917916666664</v>
      </c>
      <c r="AG63" s="680">
        <v>75.720686071428574</v>
      </c>
      <c r="AH63" s="681">
        <v>51.125195059523811</v>
      </c>
      <c r="AI63" s="682"/>
      <c r="AK63" s="679">
        <v>52</v>
      </c>
      <c r="AL63" s="680">
        <v>65.301208333333335</v>
      </c>
      <c r="AM63" s="680">
        <v>161.75291666666666</v>
      </c>
      <c r="AN63" s="681">
        <v>102.05110714285713</v>
      </c>
      <c r="AO63" s="682"/>
      <c r="AQ63" s="679">
        <v>52</v>
      </c>
      <c r="AR63" s="680">
        <v>13.057755952380951</v>
      </c>
      <c r="AS63" s="680">
        <v>148.92409523809525</v>
      </c>
      <c r="AT63" s="681">
        <v>18.812565476190475</v>
      </c>
      <c r="AU63" s="682"/>
      <c r="AW63" s="679">
        <v>52</v>
      </c>
      <c r="AX63" s="680">
        <v>1.4207142857142858</v>
      </c>
      <c r="AY63" s="680">
        <v>1.468</v>
      </c>
      <c r="AZ63" s="681">
        <v>1.5554285714285716</v>
      </c>
      <c r="BA63" s="682"/>
      <c r="BC63" s="679">
        <v>52</v>
      </c>
      <c r="BD63" s="680">
        <v>12.067857142857141</v>
      </c>
      <c r="BE63" s="680">
        <v>18.49702380952381</v>
      </c>
      <c r="BF63" s="681">
        <v>18.613691428571428</v>
      </c>
      <c r="BG63" s="682"/>
      <c r="BI63" s="679">
        <v>52</v>
      </c>
      <c r="BJ63" s="680">
        <v>71.636904761904759</v>
      </c>
      <c r="BK63" s="680">
        <v>110.85714285714285</v>
      </c>
      <c r="BL63" s="681">
        <v>104.0595238095238</v>
      </c>
      <c r="BM63" s="682"/>
      <c r="BO63" s="679">
        <v>52</v>
      </c>
      <c r="BP63" s="680">
        <v>8.0494047619047624</v>
      </c>
      <c r="BQ63" s="680">
        <v>25.705952380952379</v>
      </c>
      <c r="BR63" s="681">
        <v>18.554761904761904</v>
      </c>
      <c r="BS63" s="682"/>
      <c r="BU63" s="679">
        <v>52</v>
      </c>
      <c r="BV63" s="680">
        <v>13.556547619047619</v>
      </c>
      <c r="BW63" s="680">
        <v>30.078392857142855</v>
      </c>
      <c r="BX63" s="681">
        <v>26.866309523809523</v>
      </c>
      <c r="BY63" s="682"/>
      <c r="CA63" s="679">
        <v>52</v>
      </c>
      <c r="CB63" s="680">
        <v>77.750225714285719</v>
      </c>
      <c r="CC63" s="680">
        <v>147.17396714285715</v>
      </c>
      <c r="CD63" s="681">
        <v>358.33094</v>
      </c>
      <c r="CE63" s="682"/>
      <c r="CG63" s="679">
        <v>52</v>
      </c>
      <c r="CH63" s="680">
        <v>49.959285714285713</v>
      </c>
      <c r="CI63" s="680">
        <v>111.9782634730539</v>
      </c>
      <c r="CJ63" s="681">
        <v>135.13261904761904</v>
      </c>
      <c r="CK63" s="682"/>
      <c r="CM63" s="679">
        <v>52</v>
      </c>
      <c r="CN63" s="680">
        <v>56.190232142857141</v>
      </c>
      <c r="CO63" s="680">
        <v>200.74617857142857</v>
      </c>
      <c r="CP63" s="681">
        <v>147.41092499999999</v>
      </c>
      <c r="CQ63" s="682"/>
      <c r="CS63" s="679">
        <v>52</v>
      </c>
      <c r="CT63" s="680">
        <v>23.658928571428572</v>
      </c>
      <c r="CU63" s="680">
        <v>36.545833333333334</v>
      </c>
      <c r="CV63" s="681">
        <v>41.962499999999999</v>
      </c>
      <c r="CW63" s="682"/>
      <c r="CY63" s="679">
        <v>52</v>
      </c>
      <c r="CZ63" s="680">
        <v>0</v>
      </c>
      <c r="DA63" s="680">
        <v>0</v>
      </c>
      <c r="DB63" s="681">
        <v>0</v>
      </c>
      <c r="DC63" s="682">
        <v>0.308</v>
      </c>
      <c r="DE63" s="679"/>
      <c r="DF63" s="679">
        <v>52</v>
      </c>
      <c r="DG63" s="680">
        <v>0</v>
      </c>
      <c r="DH63" s="681">
        <v>0</v>
      </c>
      <c r="DI63" s="682">
        <v>0</v>
      </c>
      <c r="DK63" s="679">
        <v>52</v>
      </c>
      <c r="DL63" s="680">
        <v>0.80700000000000005</v>
      </c>
      <c r="DM63" s="680">
        <v>1.907</v>
      </c>
      <c r="DN63" s="681">
        <v>0.63</v>
      </c>
      <c r="DO63" s="682"/>
      <c r="DQ63" s="679">
        <v>52</v>
      </c>
      <c r="DR63" s="680">
        <v>13.134583333333333</v>
      </c>
      <c r="DS63" s="680">
        <v>10.897440476190475</v>
      </c>
      <c r="DT63" s="681">
        <v>12.679583333333333</v>
      </c>
      <c r="DU63" s="682"/>
      <c r="DW63" s="679">
        <v>52</v>
      </c>
      <c r="DX63" s="680">
        <v>0.81333928571428582</v>
      </c>
      <c r="DY63" s="680">
        <v>1.3852916666666668</v>
      </c>
      <c r="DZ63" s="681">
        <v>1.4059285714285714</v>
      </c>
      <c r="EA63" s="682"/>
      <c r="EC63" s="679">
        <v>52</v>
      </c>
      <c r="ED63" s="680">
        <v>4.0186363636363636</v>
      </c>
      <c r="EE63" s="680">
        <v>0.99</v>
      </c>
      <c r="EF63" s="681">
        <v>6.0862499999999997</v>
      </c>
      <c r="EG63" s="682"/>
      <c r="EI63" s="679">
        <v>52</v>
      </c>
      <c r="EJ63" s="680">
        <v>0.378</v>
      </c>
      <c r="EK63" s="680">
        <v>0.24</v>
      </c>
      <c r="EL63" s="681">
        <v>0.372</v>
      </c>
      <c r="EM63" s="682"/>
      <c r="EO63" s="679">
        <v>52</v>
      </c>
      <c r="EP63" s="680">
        <v>6.0967142857142864</v>
      </c>
      <c r="EQ63" s="680">
        <v>1.5585714285714287</v>
      </c>
      <c r="ER63" s="681">
        <v>6.0872857142857146</v>
      </c>
      <c r="ES63" s="682"/>
      <c r="EU63" s="679">
        <v>52</v>
      </c>
      <c r="EV63" s="680">
        <v>0.25</v>
      </c>
      <c r="EW63" s="680">
        <v>0.48428571428571432</v>
      </c>
      <c r="EX63" s="681">
        <v>0.25</v>
      </c>
      <c r="EY63" s="682"/>
    </row>
    <row r="64" spans="13:155">
      <c r="M64" s="679">
        <v>53</v>
      </c>
      <c r="N64" s="680"/>
      <c r="O64" s="680"/>
      <c r="P64" s="681">
        <v>102.40394190476189</v>
      </c>
      <c r="S64" s="679">
        <v>53</v>
      </c>
      <c r="T64" s="680"/>
      <c r="U64" s="680"/>
      <c r="V64" s="681">
        <v>9.2720238095238088</v>
      </c>
      <c r="Y64" s="679">
        <v>53</v>
      </c>
      <c r="Z64" s="680"/>
      <c r="AA64" s="680"/>
      <c r="AB64" s="681">
        <v>42.405718484848485</v>
      </c>
      <c r="AE64" s="679">
        <v>53</v>
      </c>
      <c r="AF64" s="680"/>
      <c r="AG64" s="680"/>
      <c r="AH64" s="681">
        <v>43.548742976190482</v>
      </c>
      <c r="AK64" s="679">
        <v>53</v>
      </c>
      <c r="AL64" s="680"/>
      <c r="AM64" s="680"/>
      <c r="AN64" s="681">
        <v>138.97197023809522</v>
      </c>
      <c r="AQ64" s="679">
        <v>53</v>
      </c>
      <c r="AR64" s="680"/>
      <c r="AS64" s="680"/>
      <c r="AT64" s="681">
        <v>96.839315476190464</v>
      </c>
      <c r="AW64" s="679">
        <v>53</v>
      </c>
      <c r="AX64" s="680"/>
      <c r="AY64" s="680"/>
      <c r="AZ64" s="681">
        <v>1.4633</v>
      </c>
      <c r="BC64" s="679">
        <v>53</v>
      </c>
      <c r="BD64" s="680"/>
      <c r="BE64" s="680"/>
      <c r="BF64" s="681">
        <v>22.339185714285712</v>
      </c>
      <c r="BI64" s="679">
        <v>53</v>
      </c>
      <c r="BJ64" s="680"/>
      <c r="BK64" s="680"/>
      <c r="BL64" s="681">
        <v>90.422619047619051</v>
      </c>
      <c r="BO64" s="679">
        <v>53</v>
      </c>
      <c r="BP64" s="680"/>
      <c r="BQ64" s="680"/>
      <c r="BR64" s="681">
        <v>17.764285714285716</v>
      </c>
      <c r="BU64" s="679">
        <v>53</v>
      </c>
      <c r="BV64" s="680"/>
      <c r="BW64" s="680"/>
      <c r="BX64" s="681">
        <v>21.950119047619047</v>
      </c>
      <c r="CA64" s="679">
        <v>53</v>
      </c>
      <c r="CB64" s="680"/>
      <c r="CC64" s="680"/>
      <c r="CD64" s="681">
        <v>276.19184571428571</v>
      </c>
      <c r="CG64" s="679">
        <v>53</v>
      </c>
      <c r="CH64" s="680"/>
      <c r="CI64" s="680"/>
      <c r="CJ64" s="681">
        <v>82.645178571428573</v>
      </c>
      <c r="CM64" s="679">
        <v>53</v>
      </c>
      <c r="CN64" s="680"/>
      <c r="CO64" s="680"/>
      <c r="CP64" s="681">
        <v>117.17616732142857</v>
      </c>
      <c r="CS64" s="679">
        <v>53</v>
      </c>
      <c r="CT64" s="680"/>
      <c r="CU64" s="680"/>
      <c r="CV64" s="681">
        <v>66.112499999999997</v>
      </c>
      <c r="CY64" s="679">
        <v>53</v>
      </c>
      <c r="CZ64" s="680"/>
      <c r="DA64" s="680"/>
      <c r="DB64" s="681"/>
      <c r="DC64" s="675">
        <v>0.308</v>
      </c>
      <c r="DE64" s="679"/>
      <c r="DF64" s="679">
        <v>53</v>
      </c>
      <c r="DG64" s="680"/>
      <c r="DH64" s="681"/>
      <c r="DI64" s="675">
        <v>0</v>
      </c>
      <c r="DK64" s="679">
        <v>53</v>
      </c>
      <c r="DL64" s="680"/>
      <c r="DM64" s="680"/>
      <c r="DN64" s="681">
        <v>0.63</v>
      </c>
      <c r="DQ64" s="679">
        <v>53</v>
      </c>
      <c r="DR64" s="680"/>
      <c r="DS64" s="680"/>
      <c r="DT64" s="681">
        <v>11.83327380952381</v>
      </c>
      <c r="DW64" s="679">
        <v>53</v>
      </c>
      <c r="DX64" s="680"/>
      <c r="DY64" s="680"/>
      <c r="DZ64" s="681">
        <v>1.4142261904761904</v>
      </c>
      <c r="EC64" s="679">
        <v>53</v>
      </c>
      <c r="ED64" s="680"/>
      <c r="EE64" s="680"/>
      <c r="EF64" s="681">
        <v>4.4348989898989899</v>
      </c>
      <c r="EI64" s="679">
        <v>53</v>
      </c>
      <c r="EJ64" s="680"/>
      <c r="EK64" s="680"/>
      <c r="EL64" s="681">
        <v>0.372</v>
      </c>
      <c r="EO64" s="679">
        <v>53</v>
      </c>
      <c r="EP64" s="680"/>
      <c r="EQ64" s="680"/>
      <c r="ER64" s="681">
        <v>9.6088571428571417</v>
      </c>
      <c r="EU64" s="679">
        <v>53</v>
      </c>
      <c r="EV64" s="680"/>
      <c r="EW64" s="680"/>
      <c r="EX64" s="681">
        <v>0.25</v>
      </c>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  Informe de la Operación Mensual - mayo 2025
INF-SGI-MES-05-2025
11/06/2025
Versión: 01</oddHeader>
    <oddFooter>&amp;LCOES, 2025&amp;RDirección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X59"/>
  <sheetViews>
    <sheetView showGridLines="0" view="pageBreakPreview" zoomScale="115" zoomScaleNormal="145" zoomScaleSheetLayoutView="115" zoomScalePageLayoutView="120" workbookViewId="0">
      <selection activeCell="D22" sqref="D22"/>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29"/>
    <col min="13" max="16" width="20.42578125" style="425" customWidth="1"/>
    <col min="17" max="18" width="9.28515625" style="237"/>
    <col min="19" max="22" width="9.28515625" style="529"/>
    <col min="23" max="24" width="9.28515625" style="447"/>
  </cols>
  <sheetData>
    <row r="1" spans="1:18" ht="11.25" customHeight="1"/>
    <row r="2" spans="1:18" ht="11.25" customHeight="1">
      <c r="A2" s="872" t="s">
        <v>287</v>
      </c>
      <c r="B2" s="873"/>
      <c r="C2" s="873"/>
      <c r="D2" s="873"/>
      <c r="E2" s="873"/>
      <c r="F2" s="873"/>
      <c r="G2" s="873"/>
      <c r="H2" s="873"/>
      <c r="I2" s="741"/>
      <c r="J2" s="741"/>
      <c r="K2" s="741"/>
    </row>
    <row r="3" spans="1:18" ht="11.25" customHeight="1">
      <c r="A3" s="742"/>
      <c r="B3" s="764"/>
      <c r="C3" s="14"/>
      <c r="D3" s="14"/>
      <c r="E3" s="14"/>
      <c r="F3" s="14"/>
      <c r="G3" s="14"/>
      <c r="H3" s="14"/>
      <c r="I3" s="14"/>
      <c r="J3" s="416"/>
      <c r="K3" s="416"/>
      <c r="L3" s="530"/>
    </row>
    <row r="4" spans="1:18" ht="11.25" customHeight="1">
      <c r="B4" s="742"/>
      <c r="I4" s="151"/>
      <c r="J4" s="417"/>
      <c r="L4" s="530"/>
    </row>
    <row r="5" spans="1:18" ht="7.5" customHeight="1">
      <c r="A5" s="152"/>
      <c r="B5" s="152"/>
      <c r="C5" s="152"/>
      <c r="D5" s="152"/>
      <c r="E5" s="152"/>
      <c r="F5" s="152"/>
      <c r="G5" s="152"/>
      <c r="H5" s="152"/>
      <c r="I5" s="152"/>
      <c r="J5" s="418"/>
      <c r="L5" s="562"/>
    </row>
    <row r="6" spans="1:18" ht="11.25" customHeight="1">
      <c r="A6" s="152"/>
      <c r="B6" s="156" t="s">
        <v>288</v>
      </c>
      <c r="C6" s="152"/>
      <c r="D6" s="152"/>
      <c r="E6" s="152"/>
      <c r="F6" s="152"/>
      <c r="G6" s="152"/>
      <c r="H6" s="152"/>
      <c r="I6" s="152"/>
      <c r="J6" s="418"/>
      <c r="L6" s="563"/>
    </row>
    <row r="7" spans="1:18" ht="7.5" customHeight="1">
      <c r="A7" s="152"/>
      <c r="B7" s="153"/>
      <c r="C7" s="152"/>
      <c r="D7" s="152"/>
      <c r="E7" s="152"/>
      <c r="F7" s="152"/>
      <c r="G7" s="152"/>
      <c r="H7" s="152"/>
      <c r="I7" s="152"/>
      <c r="J7" s="418"/>
      <c r="L7" s="564"/>
    </row>
    <row r="8" spans="1:18" ht="21" customHeight="1">
      <c r="A8" s="152"/>
      <c r="B8" s="313" t="s">
        <v>113</v>
      </c>
      <c r="C8" s="314" t="s">
        <v>114</v>
      </c>
      <c r="D8" s="314" t="s">
        <v>115</v>
      </c>
      <c r="E8" s="314" t="s">
        <v>117</v>
      </c>
      <c r="F8" s="314" t="s">
        <v>116</v>
      </c>
      <c r="G8" s="315" t="s">
        <v>118</v>
      </c>
      <c r="H8" s="150"/>
      <c r="I8" s="150"/>
      <c r="J8" s="419"/>
      <c r="L8" s="565"/>
      <c r="M8" s="426" t="s">
        <v>114</v>
      </c>
      <c r="N8" s="744">
        <f>+C9</f>
        <v>37.787208971422594</v>
      </c>
      <c r="O8" s="426" t="str">
        <f>M8&amp;"
("&amp;ROUND(HLOOKUP(M8,$C$8:$G$9,2,0),2)&amp;" USD/MWh)"</f>
        <v>PIURA OESTE 220
(37,79 USD/MWh)</v>
      </c>
      <c r="P8" s="426" t="str">
        <f>+M8&amp;"
"&amp;"(   )"</f>
        <v>PIURA OESTE 220
(   )</v>
      </c>
      <c r="Q8" s="448" t="str">
        <f>+IF(N8=0,P8,O8)</f>
        <v>PIURA OESTE 220
(37,79 USD/MWh)</v>
      </c>
    </row>
    <row r="9" spans="1:18" ht="18" customHeight="1">
      <c r="A9" s="152"/>
      <c r="B9" s="316" t="s">
        <v>119</v>
      </c>
      <c r="C9" s="227">
        <v>37.787208971422594</v>
      </c>
      <c r="D9" s="227">
        <v>30.26591777927533</v>
      </c>
      <c r="E9" s="227">
        <v>29.747820173539562</v>
      </c>
      <c r="F9" s="227">
        <v>29.395338503457069</v>
      </c>
      <c r="G9" s="227">
        <v>29.452258650518498</v>
      </c>
      <c r="H9" s="150"/>
      <c r="I9" s="150"/>
      <c r="J9" s="419"/>
      <c r="K9" s="419"/>
      <c r="L9" s="565"/>
      <c r="M9" s="426" t="s">
        <v>115</v>
      </c>
      <c r="N9" s="744">
        <f>+D9</f>
        <v>30.26591777927533</v>
      </c>
      <c r="O9" s="426" t="str">
        <f>M9&amp;"
("&amp;ROUND(HLOOKUP(M9,$C$8:$G$9,2,0),2)&amp;" USD/MWh)"</f>
        <v>CHICLAYO 220
(30,27 USD/MWh)</v>
      </c>
      <c r="P9" s="426" t="str">
        <f>+M9&amp;"
"&amp;"(   )"</f>
        <v>CHICLAYO 220
(   )</v>
      </c>
      <c r="Q9" s="448" t="str">
        <f t="shared" ref="Q9:Q20" si="0">+IF(N9=0,P9,O9)</f>
        <v>CHICLAYO 220
(30,27 USD/MWh)</v>
      </c>
    </row>
    <row r="10" spans="1:18" ht="14.25" customHeight="1">
      <c r="A10" s="152"/>
      <c r="B10" s="870" t="str">
        <f>"Cuadro N°13: Valor de los costos marginales medios registrados en las principales barras del área norte durante el mes de "&amp;'1. Resumen'!Q4</f>
        <v>Cuadro N°13: Valor de los costos marginales medios registrados en las principales barras del área norte durante el mes de mayo</v>
      </c>
      <c r="C10" s="870"/>
      <c r="D10" s="870"/>
      <c r="E10" s="870"/>
      <c r="F10" s="870"/>
      <c r="G10" s="870"/>
      <c r="H10" s="870"/>
      <c r="I10" s="870"/>
      <c r="J10" s="419"/>
      <c r="K10" s="419"/>
      <c r="L10" s="565"/>
      <c r="M10" s="426" t="s">
        <v>117</v>
      </c>
      <c r="N10" s="744">
        <f>+E9</f>
        <v>29.747820173539562</v>
      </c>
      <c r="O10" s="426" t="str">
        <f>M10&amp;"
("&amp;ROUND(HLOOKUP(M10,$C$8:$G$9,2,0),2)&amp;" USD/MWh)"</f>
        <v>TRUJILLO 220
(29,75 USD/MWh)</v>
      </c>
      <c r="P10" s="426" t="str">
        <f>+M10&amp;"
"&amp;"(   )"</f>
        <v>TRUJILLO 220
(   )</v>
      </c>
      <c r="Q10" s="448" t="str">
        <f t="shared" si="0"/>
        <v>TRUJILLO 220
(29,75 USD/MWh)</v>
      </c>
    </row>
    <row r="11" spans="1:18" ht="11.25" customHeight="1">
      <c r="A11" s="152"/>
      <c r="B11" s="159"/>
      <c r="C11" s="150"/>
      <c r="D11" s="150"/>
      <c r="E11" s="150"/>
      <c r="F11" s="150"/>
      <c r="G11" s="150"/>
      <c r="H11" s="150"/>
      <c r="I11" s="150"/>
      <c r="J11" s="419"/>
      <c r="K11" s="419"/>
      <c r="L11" s="565"/>
      <c r="M11" s="426" t="s">
        <v>116</v>
      </c>
      <c r="N11" s="744">
        <f>++F9</f>
        <v>29.395338503457069</v>
      </c>
      <c r="O11" s="426" t="str">
        <f>M11&amp;"
("&amp;ROUND(HLOOKUP(M11,$C$8:$G$9,2,0),2)&amp;" USD/MWh)"</f>
        <v>CHIMBOTE1 138
(29,4 USD/MWh)</v>
      </c>
      <c r="P11" s="426" t="str">
        <f>+M11&amp;"
"&amp;"(   )"</f>
        <v>CHIMBOTE1 138
(   )</v>
      </c>
      <c r="Q11" s="448" t="str">
        <f t="shared" si="0"/>
        <v>CHIMBOTE1 138
(29,4 USD/MWh)</v>
      </c>
    </row>
    <row r="12" spans="1:18" ht="11.25" customHeight="1">
      <c r="A12" s="152"/>
      <c r="B12" s="150"/>
      <c r="C12" s="150"/>
      <c r="D12" s="150"/>
      <c r="E12" s="150"/>
      <c r="F12" s="150"/>
      <c r="G12" s="150"/>
      <c r="H12" s="150"/>
      <c r="I12" s="150"/>
      <c r="J12" s="419"/>
      <c r="K12" s="419"/>
      <c r="L12" s="566"/>
      <c r="M12" s="426" t="s">
        <v>118</v>
      </c>
      <c r="N12" s="744">
        <f>+G9</f>
        <v>29.452258650518498</v>
      </c>
      <c r="O12" s="426" t="str">
        <f>M12&amp;"
("&amp;ROUND(HLOOKUP(M12,$C$8:$G$9,2,0),2)&amp;" USD/MWh)"</f>
        <v>CAJAMARCA 220
(29,45 USD/MWh)</v>
      </c>
      <c r="P12" s="426" t="str">
        <f>+M12&amp;"
"&amp;"(   )"</f>
        <v>CAJAMARCA 220
(   )</v>
      </c>
      <c r="Q12" s="448" t="str">
        <f t="shared" si="0"/>
        <v>CAJAMARCA 220
(29,45 USD/MWh)</v>
      </c>
    </row>
    <row r="13" spans="1:18" ht="11.25" customHeight="1">
      <c r="A13" s="152"/>
      <c r="B13" s="150"/>
      <c r="C13" s="150"/>
      <c r="D13" s="150"/>
      <c r="E13" s="150"/>
      <c r="F13" s="150"/>
      <c r="G13" s="150"/>
      <c r="H13" s="150"/>
      <c r="I13" s="150"/>
      <c r="J13" s="419"/>
      <c r="K13" s="419"/>
      <c r="L13" s="565"/>
      <c r="M13" s="426"/>
      <c r="N13" s="426"/>
      <c r="O13" s="426"/>
      <c r="P13" s="426"/>
      <c r="Q13" s="448"/>
      <c r="R13" s="426"/>
    </row>
    <row r="14" spans="1:18" ht="11.25" customHeight="1">
      <c r="A14" s="152"/>
      <c r="B14" s="150"/>
      <c r="C14" s="150"/>
      <c r="D14" s="150"/>
      <c r="E14" s="150"/>
      <c r="F14" s="150"/>
      <c r="G14" s="150"/>
      <c r="H14" s="150"/>
      <c r="I14" s="150"/>
      <c r="J14" s="419"/>
      <c r="K14" s="419"/>
      <c r="L14" s="565"/>
      <c r="M14" s="426" t="s">
        <v>329</v>
      </c>
      <c r="N14" s="744">
        <f>+C27</f>
        <v>23.888079006501439</v>
      </c>
      <c r="O14" s="426" t="str">
        <f>M14&amp;"
("&amp;ROUND(HLOOKUP(M14,$C$26:$I$27,2,0),2)&amp;" USD/MWh)"</f>
        <v>CHAVARRIA 220
(23,89 USD/MWh)</v>
      </c>
      <c r="P14" s="426" t="str">
        <f t="shared" ref="P14:P20" si="1">+M14&amp;"
"&amp;"(   )"</f>
        <v>CHAVARRIA 220
(   )</v>
      </c>
      <c r="Q14" s="448" t="str">
        <f t="shared" si="0"/>
        <v>CHAVARRIA 220
(23,89 USD/MWh)</v>
      </c>
    </row>
    <row r="15" spans="1:18" ht="11.25" customHeight="1">
      <c r="A15" s="152"/>
      <c r="B15" s="150"/>
      <c r="C15" s="150"/>
      <c r="D15" s="150"/>
      <c r="E15" s="150"/>
      <c r="F15" s="150"/>
      <c r="G15" s="150"/>
      <c r="H15" s="150"/>
      <c r="I15" s="150"/>
      <c r="J15" s="419"/>
      <c r="K15" s="419"/>
      <c r="L15" s="565"/>
      <c r="M15" s="426" t="s">
        <v>122</v>
      </c>
      <c r="N15" s="744">
        <f>+G27</f>
        <v>24.233826271793252</v>
      </c>
      <c r="O15" s="426" t="str">
        <f t="shared" ref="O15:O20" si="2">M15&amp;"
("&amp;ROUND(HLOOKUP(M15,$C$26:$I$27,2,0),2)&amp;" USD/MWh)"</f>
        <v>INDEPENDENCIA 220
(24,23 USD/MWh)</v>
      </c>
      <c r="P15" s="426" t="str">
        <f t="shared" si="1"/>
        <v>INDEPENDENCIA 220
(   )</v>
      </c>
      <c r="Q15" s="448" t="str">
        <f t="shared" si="0"/>
        <v>INDEPENDENCIA 220
(24,23 USD/MWh)</v>
      </c>
    </row>
    <row r="16" spans="1:18" ht="11.25" customHeight="1">
      <c r="A16" s="152"/>
      <c r="B16" s="150"/>
      <c r="C16" s="150"/>
      <c r="D16" s="150"/>
      <c r="E16" s="150"/>
      <c r="F16" s="150"/>
      <c r="G16" s="150"/>
      <c r="H16" s="150"/>
      <c r="I16" s="150"/>
      <c r="J16" s="419"/>
      <c r="K16" s="419"/>
      <c r="L16" s="565"/>
      <c r="M16" s="426" t="s">
        <v>123</v>
      </c>
      <c r="N16" s="744">
        <f>+E27</f>
        <v>23.762432512412122</v>
      </c>
      <c r="O16" s="426" t="str">
        <f t="shared" si="2"/>
        <v>CARABAYLLO 220
(23,76 USD/MWh)</v>
      </c>
      <c r="P16" s="426" t="str">
        <f t="shared" si="1"/>
        <v>CARABAYLLO 220
(   )</v>
      </c>
      <c r="Q16" s="448" t="str">
        <f t="shared" si="0"/>
        <v>CARABAYLLO 220
(23,76 USD/MWh)</v>
      </c>
    </row>
    <row r="17" spans="1:17" ht="11.25" customHeight="1">
      <c r="A17" s="152"/>
      <c r="B17" s="150"/>
      <c r="C17" s="150"/>
      <c r="D17" s="150"/>
      <c r="E17" s="150"/>
      <c r="F17" s="150"/>
      <c r="G17" s="150"/>
      <c r="H17" s="150"/>
      <c r="I17" s="150"/>
      <c r="J17" s="419"/>
      <c r="K17" s="419"/>
      <c r="L17" s="565"/>
      <c r="M17" s="426" t="s">
        <v>120</v>
      </c>
      <c r="N17" s="744">
        <f>+D27</f>
        <v>23.897339015723389</v>
      </c>
      <c r="O17" s="426" t="str">
        <f t="shared" si="2"/>
        <v>SANTA ROSA 220
(23,9 USD/MWh)</v>
      </c>
      <c r="P17" s="426" t="str">
        <f t="shared" si="1"/>
        <v>SANTA ROSA 220
(   )</v>
      </c>
      <c r="Q17" s="448" t="str">
        <f t="shared" si="0"/>
        <v>SANTA ROSA 220
(23,9 USD/MWh)</v>
      </c>
    </row>
    <row r="18" spans="1:17" ht="11.25" customHeight="1">
      <c r="A18" s="152"/>
      <c r="B18" s="150"/>
      <c r="C18" s="150"/>
      <c r="D18" s="150"/>
      <c r="E18" s="150"/>
      <c r="F18" s="150"/>
      <c r="G18" s="150"/>
      <c r="H18" s="150"/>
      <c r="I18" s="150"/>
      <c r="J18" s="419"/>
      <c r="K18" s="419"/>
      <c r="L18" s="565"/>
      <c r="M18" s="426" t="s">
        <v>121</v>
      </c>
      <c r="N18" s="744">
        <f>+F27</f>
        <v>23.807918408205492</v>
      </c>
      <c r="O18" s="426" t="str">
        <f t="shared" si="2"/>
        <v>SAN JUAN 220
(23,81 USD/MWh)</v>
      </c>
      <c r="P18" s="426" t="str">
        <f t="shared" si="1"/>
        <v>SAN JUAN 220
(   )</v>
      </c>
      <c r="Q18" s="448" t="str">
        <f t="shared" si="0"/>
        <v>SAN JUAN 220
(23,81 USD/MWh)</v>
      </c>
    </row>
    <row r="19" spans="1:17" ht="11.25" customHeight="1">
      <c r="A19" s="152"/>
      <c r="B19" s="150"/>
      <c r="C19" s="150"/>
      <c r="D19" s="150"/>
      <c r="E19" s="150"/>
      <c r="F19" s="150"/>
      <c r="G19" s="150"/>
      <c r="H19" s="150"/>
      <c r="I19" s="150"/>
      <c r="J19" s="419"/>
      <c r="K19" s="419"/>
      <c r="L19" s="567"/>
      <c r="M19" s="426" t="s">
        <v>124</v>
      </c>
      <c r="N19" s="744">
        <f>+H27</f>
        <v>23.652675757103157</v>
      </c>
      <c r="O19" s="426" t="str">
        <f t="shared" si="2"/>
        <v>POMACOCHA 220
(23,65 USD/MWh)</v>
      </c>
      <c r="P19" s="426" t="str">
        <f t="shared" si="1"/>
        <v>POMACOCHA 220
(   )</v>
      </c>
      <c r="Q19" s="448" t="str">
        <f t="shared" si="0"/>
        <v>POMACOCHA 220
(23,65 USD/MWh)</v>
      </c>
    </row>
    <row r="20" spans="1:17" ht="11.25" customHeight="1">
      <c r="A20" s="152"/>
      <c r="B20" s="158"/>
      <c r="C20" s="158"/>
      <c r="D20" s="158"/>
      <c r="E20" s="158"/>
      <c r="F20" s="158"/>
      <c r="G20" s="150"/>
      <c r="H20" s="150"/>
      <c r="I20" s="150"/>
      <c r="J20" s="419"/>
      <c r="K20" s="419"/>
      <c r="L20" s="565"/>
      <c r="M20" s="426" t="s">
        <v>125</v>
      </c>
      <c r="N20" s="744">
        <f>+I27</f>
        <v>23.507252488705522</v>
      </c>
      <c r="O20" s="426" t="str">
        <f t="shared" si="2"/>
        <v>OROYA NUEVA 50
(23,51 USD/MWh)</v>
      </c>
      <c r="P20" s="426" t="str">
        <f t="shared" si="1"/>
        <v>OROYA NUEVA 50
(   )</v>
      </c>
      <c r="Q20" s="448" t="str">
        <f t="shared" si="0"/>
        <v>OROYA NUEVA 50
(23,51 USD/MWh)</v>
      </c>
    </row>
    <row r="21" spans="1:17" ht="11.25" customHeight="1">
      <c r="A21" s="152"/>
      <c r="B21" s="871" t="str">
        <f>"Gráfico N°20: Costos marginales medios registrados en las principales barras del área norte durante el mes de "&amp;'1. Resumen'!Q4</f>
        <v>Gráfico N°20: Costos marginales medios registrados en las principales barras del área norte durante el mes de mayo</v>
      </c>
      <c r="C21" s="871"/>
      <c r="D21" s="871"/>
      <c r="E21" s="871"/>
      <c r="F21" s="871"/>
      <c r="G21" s="871"/>
      <c r="H21" s="871"/>
      <c r="I21" s="871"/>
      <c r="J21" s="419"/>
      <c r="K21" s="419"/>
      <c r="L21" s="565"/>
      <c r="M21" s="426"/>
      <c r="N21" s="426"/>
      <c r="O21" s="426"/>
      <c r="P21" s="426"/>
      <c r="Q21" s="448"/>
    </row>
    <row r="22" spans="1:17" ht="7.5" customHeight="1">
      <c r="A22" s="152"/>
      <c r="B22" s="154"/>
      <c r="C22" s="154"/>
      <c r="D22" s="154"/>
      <c r="E22" s="154"/>
      <c r="F22" s="154"/>
      <c r="G22" s="152"/>
      <c r="H22" s="152"/>
      <c r="I22" s="152"/>
      <c r="J22" s="418"/>
      <c r="K22" s="418"/>
      <c r="L22" s="563"/>
      <c r="M22" s="426"/>
      <c r="N22" s="426"/>
      <c r="O22" s="426"/>
      <c r="P22" s="426"/>
      <c r="Q22" s="448"/>
    </row>
    <row r="23" spans="1:17" ht="11.25" customHeight="1">
      <c r="A23" s="152"/>
      <c r="B23" s="154"/>
      <c r="C23" s="154"/>
      <c r="D23" s="154"/>
      <c r="E23" s="154"/>
      <c r="F23" s="154"/>
      <c r="G23" s="152"/>
      <c r="H23" s="152"/>
      <c r="I23" s="152"/>
      <c r="J23" s="418"/>
      <c r="K23" s="418"/>
      <c r="L23" s="568"/>
      <c r="M23" s="426" t="s">
        <v>126</v>
      </c>
      <c r="N23" s="744">
        <f>+C46</f>
        <v>25.416150964785025</v>
      </c>
      <c r="O23" s="426" t="str">
        <f>M23&amp;"
("&amp;ROUND(HLOOKUP(M23,$C$45:$I$46,2,0),2)&amp;" USD/MWh)"</f>
        <v>TINTAYA NUEVA 220
(25,42 USD/MWh)</v>
      </c>
      <c r="P23" s="426" t="str">
        <f t="shared" ref="P23:P29" si="3">+M23&amp;"
"&amp;"(   )"</f>
        <v>TINTAYA NUEVA 220
(   )</v>
      </c>
      <c r="Q23" s="448" t="str">
        <f t="shared" ref="Q23:Q29" si="4">+IF(N23=0,P23,O23)</f>
        <v>TINTAYA NUEVA 220
(25,42 USD/MWh)</v>
      </c>
    </row>
    <row r="24" spans="1:17" ht="11.25" customHeight="1">
      <c r="A24" s="152"/>
      <c r="B24" s="157" t="s">
        <v>289</v>
      </c>
      <c r="C24" s="154"/>
      <c r="D24" s="154"/>
      <c r="E24" s="154"/>
      <c r="F24" s="154"/>
      <c r="G24" s="152"/>
      <c r="H24" s="152"/>
      <c r="I24" s="152"/>
      <c r="J24" s="418"/>
      <c r="K24" s="418"/>
      <c r="L24" s="563"/>
      <c r="M24" s="426" t="s">
        <v>127</v>
      </c>
      <c r="N24" s="744">
        <f>+F46</f>
        <v>24.999054993453516</v>
      </c>
      <c r="O24" s="426" t="str">
        <f t="shared" ref="O24:O29" si="5">M24&amp;"
("&amp;ROUND(HLOOKUP(M24,$C$45:$I$46,2,0),2)&amp;" USD/MWh)"</f>
        <v>PUNO 138
(25 USD/MWh)</v>
      </c>
      <c r="P24" s="426" t="str">
        <f t="shared" si="3"/>
        <v>PUNO 138
(   )</v>
      </c>
      <c r="Q24" s="448" t="str">
        <f t="shared" si="4"/>
        <v>PUNO 138
(25 USD/MWh)</v>
      </c>
    </row>
    <row r="25" spans="1:17" ht="6.75" customHeight="1">
      <c r="A25" s="152"/>
      <c r="B25" s="154"/>
      <c r="C25" s="154"/>
      <c r="D25" s="154"/>
      <c r="E25" s="154"/>
      <c r="F25" s="154"/>
      <c r="G25" s="152"/>
      <c r="H25" s="152"/>
      <c r="I25" s="152"/>
      <c r="J25" s="418"/>
      <c r="K25" s="418"/>
      <c r="L25" s="563"/>
      <c r="M25" s="426" t="s">
        <v>128</v>
      </c>
      <c r="N25" s="744">
        <f>+D46</f>
        <v>24.799721681214095</v>
      </c>
      <c r="O25" s="426" t="str">
        <f t="shared" si="5"/>
        <v>SOCABAYA 220
(24,8 USD/MWh)</v>
      </c>
      <c r="P25" s="426" t="str">
        <f t="shared" si="3"/>
        <v>SOCABAYA 220
(   )</v>
      </c>
      <c r="Q25" s="448" t="str">
        <f t="shared" si="4"/>
        <v>SOCABAYA 220
(24,8 USD/MWh)</v>
      </c>
    </row>
    <row r="26" spans="1:17" ht="25.5" customHeight="1">
      <c r="A26" s="152"/>
      <c r="B26" s="317" t="s">
        <v>113</v>
      </c>
      <c r="C26" s="314" t="s">
        <v>329</v>
      </c>
      <c r="D26" s="314" t="s">
        <v>120</v>
      </c>
      <c r="E26" s="314" t="s">
        <v>123</v>
      </c>
      <c r="F26" s="314" t="s">
        <v>121</v>
      </c>
      <c r="G26" s="314" t="s">
        <v>122</v>
      </c>
      <c r="H26" s="314" t="s">
        <v>124</v>
      </c>
      <c r="I26" s="315" t="s">
        <v>125</v>
      </c>
      <c r="J26" s="421"/>
      <c r="K26" s="419"/>
      <c r="L26" s="565"/>
      <c r="M26" s="426" t="s">
        <v>129</v>
      </c>
      <c r="N26" s="744">
        <f>+E46</f>
        <v>24.896347676881305</v>
      </c>
      <c r="O26" s="426" t="str">
        <f t="shared" si="5"/>
        <v>MOQUEGUA 138
(24,9 USD/MWh)</v>
      </c>
      <c r="P26" s="426" t="str">
        <f t="shared" si="3"/>
        <v>MOQUEGUA 138
(   )</v>
      </c>
      <c r="Q26" s="448" t="str">
        <f t="shared" si="4"/>
        <v>MOQUEGUA 138
(24,9 USD/MWh)</v>
      </c>
    </row>
    <row r="27" spans="1:17" ht="18" customHeight="1">
      <c r="A27" s="152"/>
      <c r="B27" s="318" t="s">
        <v>119</v>
      </c>
      <c r="C27" s="227">
        <v>23.888079006501439</v>
      </c>
      <c r="D27" s="227">
        <v>23.897339015723389</v>
      </c>
      <c r="E27" s="227">
        <v>23.762432512412122</v>
      </c>
      <c r="F27" s="227">
        <v>23.807918408205492</v>
      </c>
      <c r="G27" s="227">
        <v>24.233826271793252</v>
      </c>
      <c r="H27" s="227">
        <v>23.652675757103157</v>
      </c>
      <c r="I27" s="227">
        <v>23.507252488705522</v>
      </c>
      <c r="J27" s="422"/>
      <c r="K27" s="419"/>
      <c r="L27" s="565"/>
      <c r="M27" s="426" t="s">
        <v>130</v>
      </c>
      <c r="N27" s="744">
        <f>+G46</f>
        <v>24.035957466819667</v>
      </c>
      <c r="O27" s="426" t="str">
        <f t="shared" si="5"/>
        <v>DOLORESPATA 138
(24,04 USD/MWh)</v>
      </c>
      <c r="P27" s="426" t="str">
        <f t="shared" si="3"/>
        <v>DOLORESPATA 138
(   )</v>
      </c>
      <c r="Q27" s="448" t="str">
        <f t="shared" si="4"/>
        <v>DOLORESPATA 138
(24,04 USD/MWh)</v>
      </c>
    </row>
    <row r="28" spans="1:17" ht="19.5" customHeight="1">
      <c r="A28" s="152"/>
      <c r="B28" s="874" t="str">
        <f>"Cuadro N°14: Valor de los costos marginales medios registrados en las principales barras del área centro durante el mes de "&amp;'1. Resumen'!Q4</f>
        <v>Cuadro N°14: Valor de los costos marginales medios registrados en las principales barras del área centro durante el mes de mayo</v>
      </c>
      <c r="C28" s="874"/>
      <c r="D28" s="874"/>
      <c r="E28" s="874"/>
      <c r="F28" s="874"/>
      <c r="G28" s="874"/>
      <c r="H28" s="874"/>
      <c r="I28" s="874"/>
      <c r="J28" s="419"/>
      <c r="K28" s="419"/>
      <c r="L28" s="565"/>
      <c r="M28" s="426" t="s">
        <v>131</v>
      </c>
      <c r="N28" s="744">
        <f>+H46</f>
        <v>23.864047663521841</v>
      </c>
      <c r="O28" s="426" t="str">
        <f t="shared" si="5"/>
        <v>COTARUSE 220
(23,86 USD/MWh)</v>
      </c>
      <c r="P28" s="426" t="str">
        <f t="shared" si="3"/>
        <v>COTARUSE 220
(   )</v>
      </c>
      <c r="Q28" s="448" t="str">
        <f t="shared" si="4"/>
        <v>COTARUSE 220
(23,86 USD/MWh)</v>
      </c>
    </row>
    <row r="29" spans="1:17" ht="11.25" customHeight="1">
      <c r="A29" s="152"/>
      <c r="B29" s="158"/>
      <c r="C29" s="158"/>
      <c r="D29" s="158"/>
      <c r="E29" s="158"/>
      <c r="F29" s="158"/>
      <c r="G29" s="158"/>
      <c r="H29" s="158"/>
      <c r="I29" s="158"/>
      <c r="J29" s="423"/>
      <c r="K29" s="423"/>
      <c r="L29" s="565"/>
      <c r="M29" s="426" t="s">
        <v>132</v>
      </c>
      <c r="N29" s="744">
        <f>+I46</f>
        <v>22.458811426063519</v>
      </c>
      <c r="O29" s="426" t="str">
        <f t="shared" si="5"/>
        <v>SAN GABAN 138
(22,46 USD/MWh)</v>
      </c>
      <c r="P29" s="426" t="str">
        <f t="shared" si="3"/>
        <v>SAN GABAN 138
(   )</v>
      </c>
      <c r="Q29" s="448" t="str">
        <f t="shared" si="4"/>
        <v>SAN GABAN 138
(22,46 USD/MWh)</v>
      </c>
    </row>
    <row r="30" spans="1:17" ht="11.25" customHeight="1">
      <c r="A30" s="152"/>
      <c r="B30" s="158"/>
      <c r="C30" s="158"/>
      <c r="D30" s="158"/>
      <c r="E30" s="158"/>
      <c r="F30" s="158"/>
      <c r="G30" s="158"/>
      <c r="H30" s="158"/>
      <c r="I30" s="158"/>
      <c r="J30" s="423"/>
      <c r="K30" s="423"/>
      <c r="L30" s="565"/>
      <c r="M30" s="426"/>
      <c r="N30" s="426"/>
      <c r="O30" s="426"/>
      <c r="P30" s="426"/>
      <c r="Q30" s="449"/>
    </row>
    <row r="31" spans="1:17" ht="11.25" customHeight="1">
      <c r="A31" s="152"/>
      <c r="B31" s="158"/>
      <c r="C31" s="158"/>
      <c r="D31" s="158"/>
      <c r="E31" s="158"/>
      <c r="F31" s="158"/>
      <c r="G31" s="158"/>
      <c r="H31" s="158"/>
      <c r="I31" s="158"/>
      <c r="J31" s="423"/>
      <c r="K31" s="423"/>
      <c r="L31" s="565"/>
      <c r="M31" s="426"/>
      <c r="N31" s="426"/>
      <c r="O31" s="426"/>
      <c r="P31" s="426"/>
      <c r="Q31" s="449"/>
    </row>
    <row r="32" spans="1:17" ht="11.25" customHeight="1">
      <c r="A32" s="152"/>
      <c r="B32" s="158"/>
      <c r="C32" s="158"/>
      <c r="D32" s="158"/>
      <c r="E32" s="158"/>
      <c r="F32" s="158"/>
      <c r="G32" s="158"/>
      <c r="H32" s="158"/>
      <c r="I32" s="158"/>
      <c r="J32" s="423"/>
      <c r="K32" s="423"/>
      <c r="L32" s="565"/>
      <c r="M32" s="426"/>
      <c r="N32" s="426"/>
      <c r="O32" s="426"/>
      <c r="P32" s="426"/>
    </row>
    <row r="33" spans="1:12" ht="11.25" customHeight="1">
      <c r="A33" s="152"/>
      <c r="B33" s="158"/>
      <c r="C33" s="158"/>
      <c r="D33" s="158"/>
      <c r="E33" s="158"/>
      <c r="F33" s="158"/>
      <c r="G33" s="158"/>
      <c r="H33" s="158"/>
      <c r="I33" s="158"/>
      <c r="J33" s="423"/>
      <c r="K33" s="423"/>
      <c r="L33" s="565"/>
    </row>
    <row r="34" spans="1:12" ht="11.25" customHeight="1">
      <c r="A34" s="152"/>
      <c r="B34" s="158"/>
      <c r="C34" s="158"/>
      <c r="D34" s="158"/>
      <c r="E34" s="158"/>
      <c r="F34" s="158"/>
      <c r="G34" s="158"/>
      <c r="H34" s="158"/>
      <c r="I34" s="158"/>
      <c r="J34" s="423"/>
      <c r="K34" s="423"/>
      <c r="L34" s="565"/>
    </row>
    <row r="35" spans="1:12" ht="11.25" customHeight="1">
      <c r="A35" s="152"/>
      <c r="B35" s="158"/>
      <c r="C35" s="158"/>
      <c r="D35" s="158"/>
      <c r="E35" s="158"/>
      <c r="F35" s="158"/>
      <c r="G35" s="158"/>
      <c r="H35" s="158"/>
      <c r="I35" s="158"/>
      <c r="J35" s="423"/>
      <c r="K35" s="423"/>
      <c r="L35" s="561"/>
    </row>
    <row r="36" spans="1:12" ht="11.25" customHeight="1">
      <c r="A36" s="152"/>
      <c r="B36" s="158"/>
      <c r="C36" s="158"/>
      <c r="D36" s="158"/>
      <c r="E36" s="158"/>
      <c r="F36" s="158"/>
      <c r="G36" s="158"/>
      <c r="H36" s="158"/>
      <c r="I36" s="158"/>
      <c r="J36" s="423"/>
      <c r="K36" s="423"/>
      <c r="L36" s="565"/>
    </row>
    <row r="37" spans="1:12" ht="11.25" customHeight="1">
      <c r="A37" s="152"/>
      <c r="B37" s="158"/>
      <c r="C37" s="158"/>
      <c r="D37" s="158"/>
      <c r="E37" s="158"/>
      <c r="F37" s="158"/>
      <c r="G37" s="158"/>
      <c r="H37" s="158"/>
      <c r="I37" s="158"/>
      <c r="J37" s="423"/>
      <c r="K37" s="423"/>
      <c r="L37" s="565"/>
    </row>
    <row r="38" spans="1:12" ht="11.25" customHeight="1">
      <c r="A38" s="152"/>
      <c r="B38" s="158"/>
      <c r="C38" s="158"/>
      <c r="D38" s="158"/>
      <c r="E38" s="158"/>
      <c r="F38" s="158"/>
      <c r="G38" s="158"/>
      <c r="H38" s="158"/>
      <c r="I38" s="158"/>
      <c r="J38" s="423"/>
      <c r="K38" s="423"/>
      <c r="L38" s="565"/>
    </row>
    <row r="39" spans="1:12" ht="11.25" customHeight="1">
      <c r="A39" s="152"/>
      <c r="B39" s="158"/>
      <c r="C39" s="158"/>
      <c r="D39" s="158"/>
      <c r="E39" s="158"/>
      <c r="F39" s="158"/>
      <c r="G39" s="158"/>
      <c r="H39" s="158"/>
      <c r="I39" s="158"/>
      <c r="J39" s="423"/>
      <c r="K39" s="423"/>
      <c r="L39" s="565"/>
    </row>
    <row r="40" spans="1:12" ht="13.5" customHeight="1">
      <c r="A40" s="152"/>
      <c r="B40" s="870" t="str">
        <f>"Gráfico N°21: Costos marginales medios registrados en las principales barras del área centro durante el mes de "&amp;'1. Resumen'!Q4</f>
        <v>Gráfico N°21: Costos marginales medios registrados en las principales barras del área centro durante el mes de mayo</v>
      </c>
      <c r="C40" s="870"/>
      <c r="D40" s="870"/>
      <c r="E40" s="870"/>
      <c r="F40" s="870"/>
      <c r="G40" s="870"/>
      <c r="H40" s="870"/>
      <c r="I40" s="870"/>
      <c r="J40" s="423"/>
      <c r="K40" s="423"/>
      <c r="L40" s="565"/>
    </row>
    <row r="41" spans="1:12" ht="6.75" customHeight="1">
      <c r="A41" s="152"/>
      <c r="B41" s="158"/>
      <c r="C41" s="158"/>
      <c r="D41" s="158"/>
      <c r="E41" s="158"/>
      <c r="F41" s="158"/>
      <c r="G41" s="158"/>
      <c r="H41" s="158"/>
      <c r="I41" s="158"/>
      <c r="J41" s="423"/>
      <c r="K41" s="423"/>
      <c r="L41" s="565"/>
    </row>
    <row r="42" spans="1:12" ht="8.25" customHeight="1">
      <c r="A42" s="152"/>
      <c r="B42" s="154"/>
      <c r="C42" s="154"/>
      <c r="D42" s="154"/>
      <c r="E42" s="154"/>
      <c r="F42" s="154"/>
      <c r="G42" s="154"/>
      <c r="H42" s="154"/>
      <c r="I42" s="154"/>
      <c r="J42" s="424"/>
      <c r="K42" s="424"/>
      <c r="L42" s="569"/>
    </row>
    <row r="43" spans="1:12" ht="11.25" customHeight="1">
      <c r="A43" s="152"/>
      <c r="B43" s="157" t="s">
        <v>290</v>
      </c>
      <c r="C43" s="154"/>
      <c r="D43" s="154"/>
      <c r="E43" s="154"/>
      <c r="F43" s="154"/>
      <c r="G43" s="154"/>
      <c r="H43" s="154"/>
      <c r="I43" s="154"/>
      <c r="J43" s="424"/>
      <c r="K43" s="424"/>
      <c r="L43" s="569"/>
    </row>
    <row r="44" spans="1:12" ht="6.75" customHeight="1">
      <c r="A44" s="152"/>
      <c r="B44" s="154"/>
      <c r="C44" s="154"/>
      <c r="D44" s="154"/>
      <c r="E44" s="154"/>
      <c r="F44" s="154"/>
      <c r="G44" s="154"/>
      <c r="H44" s="154"/>
      <c r="I44" s="154"/>
      <c r="J44" s="424"/>
      <c r="K44" s="424"/>
      <c r="L44" s="569"/>
    </row>
    <row r="45" spans="1:12" ht="27" customHeight="1">
      <c r="A45" s="152"/>
      <c r="B45" s="317" t="s">
        <v>113</v>
      </c>
      <c r="C45" s="314" t="s">
        <v>126</v>
      </c>
      <c r="D45" s="314" t="s">
        <v>128</v>
      </c>
      <c r="E45" s="314" t="s">
        <v>129</v>
      </c>
      <c r="F45" s="314" t="s">
        <v>127</v>
      </c>
      <c r="G45" s="314" t="s">
        <v>130</v>
      </c>
      <c r="H45" s="314" t="s">
        <v>131</v>
      </c>
      <c r="I45" s="315" t="s">
        <v>132</v>
      </c>
      <c r="J45" s="421"/>
      <c r="K45" s="423"/>
    </row>
    <row r="46" spans="1:12" ht="18.75" customHeight="1">
      <c r="A46" s="152"/>
      <c r="B46" s="318" t="s">
        <v>119</v>
      </c>
      <c r="C46" s="227">
        <v>25.416150964785025</v>
      </c>
      <c r="D46" s="227">
        <v>24.799721681214095</v>
      </c>
      <c r="E46" s="227">
        <v>24.896347676881305</v>
      </c>
      <c r="F46" s="227">
        <v>24.999054993453516</v>
      </c>
      <c r="G46" s="227">
        <v>24.035957466819667</v>
      </c>
      <c r="H46" s="227">
        <v>23.864047663521841</v>
      </c>
      <c r="I46" s="227">
        <v>22.458811426063519</v>
      </c>
      <c r="J46" s="422"/>
      <c r="K46" s="423"/>
    </row>
    <row r="47" spans="1:12" ht="18" customHeight="1">
      <c r="A47" s="152"/>
      <c r="B47" s="874" t="str">
        <f>"Cuadro N°15: Valor de los costos marginales medios registrados en las principales barras del área sur durante el mes de "&amp;'1. Resumen'!Q4</f>
        <v>Cuadro N°15: Valor de los costos marginales medios registrados en las principales barras del área sur durante el mes de mayo</v>
      </c>
      <c r="C47" s="874"/>
      <c r="D47" s="874"/>
      <c r="E47" s="874"/>
      <c r="F47" s="874"/>
      <c r="G47" s="874"/>
      <c r="H47" s="874"/>
      <c r="I47" s="874"/>
      <c r="J47" s="422"/>
      <c r="K47" s="423"/>
    </row>
    <row r="48" spans="1:12" ht="13.2">
      <c r="A48" s="152"/>
      <c r="B48" s="158"/>
      <c r="C48" s="158"/>
      <c r="D48" s="158"/>
      <c r="E48" s="158"/>
      <c r="F48" s="158"/>
      <c r="G48" s="150"/>
      <c r="H48" s="150"/>
      <c r="I48" s="150"/>
      <c r="J48" s="419"/>
      <c r="K48" s="423"/>
    </row>
    <row r="49" spans="1:11" ht="13.2">
      <c r="A49" s="152"/>
      <c r="B49" s="150"/>
      <c r="C49" s="150"/>
      <c r="D49" s="150"/>
      <c r="E49" s="150"/>
      <c r="F49" s="150"/>
      <c r="G49" s="150"/>
      <c r="H49" s="150"/>
      <c r="I49" s="150"/>
      <c r="J49" s="419"/>
      <c r="K49" s="423"/>
    </row>
    <row r="50" spans="1:11" ht="13.2">
      <c r="A50" s="152"/>
      <c r="B50" s="100"/>
      <c r="C50" s="100"/>
      <c r="D50" s="100"/>
      <c r="E50" s="100"/>
      <c r="F50" s="100"/>
      <c r="G50" s="100"/>
      <c r="H50" s="100"/>
      <c r="I50" s="100"/>
      <c r="J50" s="39"/>
      <c r="K50" s="423"/>
    </row>
    <row r="51" spans="1:11" ht="13.2">
      <c r="A51" s="152"/>
      <c r="B51" s="100"/>
      <c r="C51" s="100"/>
      <c r="D51" s="100"/>
      <c r="E51" s="100"/>
      <c r="F51" s="100"/>
      <c r="G51" s="100"/>
      <c r="H51" s="100"/>
      <c r="I51" s="100"/>
      <c r="J51" s="39"/>
      <c r="K51" s="423"/>
    </row>
    <row r="52" spans="1:11" ht="13.2">
      <c r="A52" s="152"/>
      <c r="B52" s="100"/>
      <c r="C52" s="100"/>
      <c r="D52" s="100"/>
      <c r="E52" s="100"/>
      <c r="F52" s="100"/>
      <c r="G52" s="100"/>
      <c r="H52" s="100"/>
      <c r="I52" s="100"/>
      <c r="J52" s="39"/>
      <c r="K52" s="423"/>
    </row>
    <row r="53" spans="1:11" ht="13.2">
      <c r="A53" s="152"/>
      <c r="B53" s="100"/>
      <c r="C53" s="100"/>
      <c r="D53" s="100"/>
      <c r="E53" s="100"/>
      <c r="F53" s="100"/>
      <c r="G53" s="100"/>
      <c r="H53" s="100"/>
      <c r="I53" s="100"/>
      <c r="J53" s="39"/>
      <c r="K53" s="423"/>
    </row>
    <row r="54" spans="1:11" ht="13.2">
      <c r="A54" s="152"/>
      <c r="B54" s="100"/>
      <c r="C54" s="100"/>
      <c r="D54" s="100"/>
      <c r="E54" s="100"/>
      <c r="F54" s="100"/>
      <c r="G54" s="100"/>
      <c r="H54" s="100"/>
      <c r="I54" s="100"/>
      <c r="J54" s="39"/>
      <c r="K54" s="423"/>
    </row>
    <row r="55" spans="1:11" ht="13.2">
      <c r="A55" s="152"/>
      <c r="B55" s="100"/>
      <c r="C55" s="100"/>
      <c r="D55" s="100"/>
      <c r="E55" s="100"/>
      <c r="F55" s="100"/>
      <c r="G55" s="100"/>
      <c r="H55" s="100"/>
      <c r="I55" s="100"/>
      <c r="J55" s="39"/>
      <c r="K55" s="423"/>
    </row>
    <row r="56" spans="1:11" ht="13.2">
      <c r="A56" s="152"/>
      <c r="B56" s="150"/>
      <c r="C56" s="150"/>
      <c r="D56" s="150"/>
      <c r="E56" s="150"/>
      <c r="F56" s="150"/>
      <c r="G56" s="150"/>
      <c r="H56" s="150"/>
      <c r="I56" s="150"/>
      <c r="J56" s="419"/>
      <c r="K56" s="423"/>
    </row>
    <row r="57" spans="1:11" ht="13.2">
      <c r="A57" s="152"/>
      <c r="B57" s="150"/>
      <c r="C57" s="150"/>
      <c r="D57" s="150"/>
      <c r="E57" s="150"/>
      <c r="F57" s="150"/>
      <c r="G57" s="150"/>
      <c r="H57" s="150"/>
      <c r="I57" s="150"/>
      <c r="J57" s="419"/>
      <c r="K57" s="423"/>
    </row>
    <row r="58" spans="1:11" ht="13.2">
      <c r="A58" s="152"/>
      <c r="B58" s="870" t="str">
        <f>"Gráfico N°22: Costos marginales medios registrados en las principales barras del área sur durante el mes de "&amp;'1. Resumen'!Q4</f>
        <v>Gráfico N°22: Costos marginales medios registrados en las principales barras del área sur durante el mes de mayo</v>
      </c>
      <c r="C58" s="870"/>
      <c r="D58" s="870"/>
      <c r="E58" s="870"/>
      <c r="F58" s="870"/>
      <c r="G58" s="870"/>
      <c r="H58" s="870"/>
      <c r="I58" s="870"/>
      <c r="J58" s="419"/>
      <c r="K58" s="423"/>
    </row>
    <row r="59" spans="1:11" ht="13.2">
      <c r="A59" s="67"/>
      <c r="B59" s="124"/>
      <c r="C59" s="124"/>
      <c r="D59" s="124"/>
      <c r="E59" s="124"/>
      <c r="F59" s="124"/>
      <c r="G59" s="124"/>
      <c r="H59" s="150"/>
      <c r="I59" s="150"/>
      <c r="J59" s="419"/>
      <c r="K59" s="423"/>
    </row>
  </sheetData>
  <mergeCells count="7">
    <mergeCell ref="B58:I58"/>
    <mergeCell ref="B21:I21"/>
    <mergeCell ref="B10:I10"/>
    <mergeCell ref="A2:H2"/>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L71"/>
  <sheetViews>
    <sheetView showGridLines="0" view="pageBreakPreview" zoomScale="115" zoomScaleNormal="100" zoomScaleSheetLayoutView="115" zoomScalePageLayoutView="115" workbookViewId="0">
      <selection activeCell="D22" sqref="D22"/>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c r="A1" s="836" t="s">
        <v>292</v>
      </c>
      <c r="B1" s="836"/>
      <c r="C1" s="836"/>
      <c r="D1" s="836"/>
      <c r="E1" s="836"/>
      <c r="F1" s="836"/>
      <c r="G1" s="836"/>
      <c r="H1" s="836"/>
      <c r="I1" s="836"/>
      <c r="J1" s="836"/>
      <c r="K1" s="836"/>
      <c r="L1" s="836"/>
    </row>
    <row r="2" spans="1:12" ht="13.2" customHeight="1">
      <c r="A2" s="764"/>
    </row>
    <row r="3" spans="1:12" ht="11.25" customHeight="1">
      <c r="A3" s="152"/>
      <c r="B3" s="152"/>
      <c r="C3" s="152"/>
      <c r="D3" s="152"/>
      <c r="E3" s="152"/>
      <c r="F3" s="152"/>
      <c r="G3" s="152"/>
      <c r="H3" s="152"/>
      <c r="I3" s="152"/>
      <c r="J3" s="152"/>
      <c r="K3" s="152"/>
      <c r="L3" s="160"/>
    </row>
    <row r="4" spans="1:12" ht="11.25" customHeight="1">
      <c r="A4" s="152"/>
      <c r="B4" s="743"/>
      <c r="C4" s="152"/>
      <c r="D4" s="152"/>
      <c r="E4" s="152"/>
      <c r="F4" s="152"/>
      <c r="G4" s="152"/>
      <c r="H4" s="152"/>
      <c r="I4" s="152"/>
      <c r="J4" s="152"/>
      <c r="K4" s="152"/>
      <c r="L4" s="13"/>
    </row>
    <row r="5" spans="1:12" ht="11.25" customHeight="1">
      <c r="A5" s="152"/>
      <c r="B5" s="152"/>
      <c r="C5" s="152"/>
      <c r="D5" s="152"/>
      <c r="E5" s="152"/>
      <c r="F5" s="152"/>
      <c r="G5" s="152"/>
      <c r="H5" s="152"/>
      <c r="I5" s="152"/>
      <c r="J5" s="152"/>
      <c r="K5" s="152"/>
      <c r="L5" s="13"/>
    </row>
    <row r="6" spans="1:12" ht="11.25" customHeight="1">
      <c r="A6" s="152"/>
      <c r="B6" s="152"/>
      <c r="C6" s="152"/>
      <c r="D6" s="152"/>
      <c r="E6" s="152"/>
      <c r="F6" s="152"/>
      <c r="G6" s="152"/>
      <c r="H6" s="152"/>
      <c r="I6" s="152"/>
      <c r="J6" s="152"/>
      <c r="K6" s="152"/>
      <c r="L6" s="13"/>
    </row>
    <row r="7" spans="1:12" ht="11.25" customHeight="1">
      <c r="A7" s="152"/>
      <c r="B7" s="153"/>
      <c r="C7" s="152"/>
      <c r="D7" s="152"/>
      <c r="E7" s="152"/>
      <c r="F7" s="152"/>
      <c r="G7" s="152"/>
      <c r="H7" s="152"/>
      <c r="I7" s="152"/>
      <c r="J7" s="152"/>
      <c r="K7" s="152"/>
      <c r="L7" s="13"/>
    </row>
    <row r="8" spans="1:12" ht="11.25" customHeight="1">
      <c r="A8" s="152"/>
      <c r="B8" s="153"/>
      <c r="C8" s="152"/>
      <c r="D8" s="152"/>
      <c r="E8" s="152"/>
      <c r="F8" s="152"/>
      <c r="G8" s="152"/>
      <c r="H8" s="152"/>
      <c r="I8" s="152"/>
      <c r="J8" s="152"/>
      <c r="K8" s="152"/>
      <c r="L8" s="13"/>
    </row>
    <row r="9" spans="1:12" ht="11.25" customHeight="1">
      <c r="A9" s="152"/>
      <c r="B9" s="153"/>
      <c r="C9" s="152"/>
      <c r="D9" s="152"/>
      <c r="E9" s="152"/>
      <c r="F9" s="152"/>
      <c r="G9" s="152"/>
      <c r="H9" s="152"/>
      <c r="I9" s="152"/>
      <c r="J9" s="152"/>
      <c r="K9" s="152"/>
      <c r="L9" s="13"/>
    </row>
    <row r="10" spans="1:12" ht="11.25" customHeight="1">
      <c r="A10" s="152"/>
      <c r="B10" s="152"/>
      <c r="C10" s="152"/>
      <c r="D10" s="152"/>
      <c r="E10" s="152"/>
      <c r="F10" s="152"/>
      <c r="G10" s="152"/>
      <c r="H10" s="152"/>
      <c r="I10" s="152"/>
      <c r="J10" s="152"/>
      <c r="K10" s="152"/>
      <c r="L10" s="13"/>
    </row>
    <row r="11" spans="1:12" ht="11.25" customHeight="1">
      <c r="A11" s="152"/>
      <c r="B11" s="152"/>
      <c r="C11" s="152"/>
      <c r="D11" s="152"/>
      <c r="E11" s="152"/>
      <c r="F11" s="152"/>
      <c r="G11" s="152"/>
      <c r="H11" s="152"/>
      <c r="I11" s="152"/>
      <c r="J11" s="152"/>
      <c r="K11" s="152"/>
      <c r="L11" s="13"/>
    </row>
    <row r="12" spans="1:12" ht="11.25" customHeight="1">
      <c r="A12" s="152"/>
      <c r="B12" s="152"/>
      <c r="C12" s="152"/>
      <c r="D12" s="152"/>
      <c r="E12" s="152"/>
      <c r="F12" s="152"/>
      <c r="G12" s="152"/>
      <c r="H12" s="152"/>
      <c r="I12" s="152"/>
      <c r="J12" s="152"/>
      <c r="K12" s="152"/>
      <c r="L12" s="13"/>
    </row>
    <row r="13" spans="1:12" ht="11.25" customHeight="1">
      <c r="A13" s="152"/>
      <c r="B13" s="152"/>
      <c r="C13" s="152"/>
      <c r="D13" s="152"/>
      <c r="E13" s="152"/>
      <c r="F13" s="152"/>
      <c r="G13" s="152"/>
      <c r="H13" s="152"/>
      <c r="I13" s="152"/>
      <c r="J13" s="152"/>
      <c r="K13" s="152"/>
      <c r="L13" s="13"/>
    </row>
    <row r="14" spans="1:12" ht="11.25" customHeight="1">
      <c r="A14" s="152"/>
      <c r="B14" s="152"/>
      <c r="C14" s="152"/>
      <c r="D14" s="152"/>
      <c r="E14" s="152"/>
      <c r="F14" s="152"/>
      <c r="G14" s="152"/>
      <c r="H14" s="152"/>
      <c r="I14" s="152"/>
      <c r="J14" s="152"/>
      <c r="K14" s="152"/>
      <c r="L14" s="13"/>
    </row>
    <row r="15" spans="1:12" ht="11.25" customHeight="1">
      <c r="A15" s="152"/>
      <c r="B15" s="152"/>
      <c r="C15" s="152"/>
      <c r="D15" s="152"/>
      <c r="E15" s="152"/>
      <c r="F15" s="152"/>
      <c r="G15" s="152"/>
      <c r="H15" s="152"/>
      <c r="I15" s="152"/>
      <c r="J15" s="152"/>
      <c r="K15" s="152"/>
      <c r="L15" s="13"/>
    </row>
    <row r="16" spans="1:12" ht="11.25" customHeight="1">
      <c r="A16" s="152"/>
      <c r="B16" s="152"/>
      <c r="C16" s="152"/>
      <c r="D16" s="152"/>
      <c r="E16" s="152"/>
      <c r="F16" s="152"/>
      <c r="G16" s="152"/>
      <c r="H16" s="152"/>
      <c r="I16" s="152"/>
      <c r="J16" s="152"/>
      <c r="K16" s="152"/>
      <c r="L16" s="13"/>
    </row>
    <row r="17" spans="1:12" ht="11.25" customHeight="1">
      <c r="A17" s="152"/>
      <c r="B17" s="152"/>
      <c r="C17" s="152"/>
      <c r="D17" s="152"/>
      <c r="E17" s="152"/>
      <c r="F17" s="152"/>
      <c r="G17" s="152"/>
      <c r="H17" s="152"/>
      <c r="I17" s="152"/>
      <c r="J17" s="152"/>
      <c r="K17" s="152"/>
      <c r="L17" s="13"/>
    </row>
    <row r="18" spans="1:12" ht="11.25" customHeight="1">
      <c r="A18" s="152"/>
      <c r="B18" s="152"/>
      <c r="C18" s="152"/>
      <c r="D18" s="152"/>
      <c r="E18" s="152"/>
      <c r="F18" s="152"/>
      <c r="G18" s="152"/>
      <c r="H18" s="152"/>
      <c r="I18" s="152"/>
      <c r="J18" s="152"/>
      <c r="K18" s="152"/>
      <c r="L18" s="160"/>
    </row>
    <row r="19" spans="1:12" ht="11.25" customHeight="1">
      <c r="A19" s="152"/>
      <c r="B19" s="152"/>
      <c r="C19" s="152"/>
      <c r="D19" s="152"/>
      <c r="E19" s="152"/>
      <c r="F19" s="152"/>
      <c r="G19" s="152"/>
      <c r="H19" s="152"/>
      <c r="I19" s="152"/>
      <c r="J19" s="152"/>
      <c r="K19" s="152"/>
      <c r="L19" s="160"/>
    </row>
    <row r="20" spans="1:12" ht="11.25" customHeight="1">
      <c r="A20" s="152"/>
      <c r="B20" s="152"/>
      <c r="C20" s="152"/>
      <c r="D20" s="152"/>
      <c r="E20" s="152"/>
      <c r="F20" s="152"/>
      <c r="G20" s="152"/>
      <c r="H20" s="152"/>
      <c r="I20" s="152"/>
      <c r="J20" s="152"/>
      <c r="K20" s="152"/>
      <c r="L20" s="160"/>
    </row>
    <row r="21" spans="1:12" ht="11.25" customHeight="1">
      <c r="A21" s="152"/>
      <c r="B21" s="152"/>
      <c r="C21" s="152"/>
      <c r="D21" s="152"/>
      <c r="E21" s="152"/>
      <c r="F21" s="152"/>
      <c r="G21" s="152"/>
      <c r="H21" s="152"/>
      <c r="I21" s="152"/>
      <c r="J21" s="152"/>
      <c r="K21" s="152"/>
      <c r="L21" s="160"/>
    </row>
    <row r="22" spans="1:12" ht="11.25" customHeight="1">
      <c r="A22" s="152"/>
      <c r="B22" s="152"/>
      <c r="C22" s="152"/>
      <c r="D22" s="152"/>
      <c r="E22" s="152"/>
      <c r="F22" s="152"/>
      <c r="G22" s="152"/>
      <c r="H22" s="152"/>
      <c r="I22" s="152"/>
      <c r="J22" s="152"/>
      <c r="K22" s="152"/>
      <c r="L22" s="160"/>
    </row>
    <row r="23" spans="1:12" ht="11.25" customHeight="1">
      <c r="A23" s="152"/>
      <c r="B23" s="152"/>
      <c r="C23" s="152"/>
      <c r="D23" s="152"/>
      <c r="E23" s="152"/>
      <c r="F23" s="152"/>
      <c r="G23" s="152"/>
      <c r="H23" s="152"/>
      <c r="I23" s="152"/>
      <c r="J23" s="152"/>
      <c r="K23" s="152"/>
      <c r="L23" s="160"/>
    </row>
    <row r="24" spans="1:12" ht="11.25" customHeight="1">
      <c r="A24" s="152"/>
      <c r="B24" s="152"/>
      <c r="C24" s="152"/>
      <c r="D24" s="152"/>
      <c r="E24" s="152"/>
      <c r="F24" s="152"/>
      <c r="G24" s="152"/>
      <c r="H24" s="152"/>
      <c r="I24" s="152"/>
      <c r="J24" s="152"/>
      <c r="K24" s="152"/>
      <c r="L24" s="160"/>
    </row>
    <row r="25" spans="1:12" ht="11.25" customHeight="1">
      <c r="A25" s="152"/>
      <c r="B25" s="152"/>
      <c r="C25" s="152"/>
      <c r="D25" s="152"/>
      <c r="E25" s="152"/>
      <c r="F25" s="152"/>
      <c r="G25" s="152"/>
      <c r="H25" s="152"/>
      <c r="I25" s="152"/>
      <c r="J25" s="152"/>
      <c r="K25" s="152"/>
      <c r="L25" s="160"/>
    </row>
    <row r="26" spans="1:12" ht="11.25" customHeight="1">
      <c r="A26" s="152"/>
      <c r="B26" s="152"/>
      <c r="C26" s="152"/>
      <c r="D26" s="152"/>
      <c r="E26" s="152"/>
      <c r="F26" s="152"/>
      <c r="G26" s="152"/>
      <c r="H26" s="152"/>
      <c r="I26" s="152"/>
      <c r="J26" s="152"/>
      <c r="K26" s="152"/>
      <c r="L26" s="160"/>
    </row>
    <row r="27" spans="1:12" ht="11.25" customHeight="1">
      <c r="A27" s="152"/>
      <c r="B27" s="152"/>
      <c r="C27" s="152"/>
      <c r="D27" s="152"/>
      <c r="E27" s="152"/>
      <c r="F27" s="152"/>
      <c r="G27" s="152"/>
      <c r="H27" s="152"/>
      <c r="I27" s="152"/>
      <c r="J27" s="152"/>
      <c r="K27" s="152"/>
      <c r="L27" s="160"/>
    </row>
    <row r="28" spans="1:12" ht="11.25" customHeight="1">
      <c r="A28" s="152"/>
      <c r="B28" s="152"/>
      <c r="C28" s="152"/>
      <c r="D28" s="152"/>
      <c r="E28" s="152"/>
      <c r="F28" s="152"/>
      <c r="G28" s="152"/>
      <c r="H28" s="152"/>
      <c r="I28" s="152"/>
      <c r="J28" s="152"/>
      <c r="K28" s="152"/>
      <c r="L28" s="160"/>
    </row>
    <row r="29" spans="1:12" ht="11.25" customHeight="1">
      <c r="A29" s="152"/>
      <c r="B29" s="152"/>
      <c r="C29" s="152"/>
      <c r="D29" s="152"/>
      <c r="E29" s="152"/>
      <c r="F29" s="152"/>
      <c r="G29" s="152"/>
      <c r="H29" s="152"/>
      <c r="I29" s="152"/>
      <c r="J29" s="152"/>
      <c r="K29" s="152"/>
      <c r="L29" s="160"/>
    </row>
    <row r="30" spans="1:12" ht="11.25" customHeight="1">
      <c r="A30" s="152"/>
      <c r="B30" s="152"/>
      <c r="C30" s="152"/>
      <c r="D30" s="152"/>
      <c r="E30" s="152"/>
      <c r="F30" s="152"/>
      <c r="G30" s="152"/>
      <c r="H30" s="152"/>
      <c r="I30" s="152"/>
      <c r="J30" s="152"/>
      <c r="K30" s="152"/>
      <c r="L30" s="160"/>
    </row>
    <row r="31" spans="1:12" ht="11.25" customHeight="1">
      <c r="A31" s="152"/>
      <c r="B31" s="152"/>
      <c r="C31" s="152"/>
      <c r="D31" s="152"/>
      <c r="E31" s="152"/>
      <c r="F31" s="152"/>
      <c r="G31" s="152"/>
      <c r="H31" s="152"/>
      <c r="I31" s="152"/>
      <c r="J31" s="152"/>
      <c r="K31" s="152"/>
      <c r="L31" s="160"/>
    </row>
    <row r="32" spans="1:12" ht="11.25" customHeight="1">
      <c r="A32" s="152"/>
      <c r="B32" s="152"/>
      <c r="C32" s="152"/>
      <c r="D32" s="152"/>
      <c r="E32" s="152"/>
      <c r="F32" s="152"/>
      <c r="G32" s="152"/>
      <c r="H32" s="152"/>
      <c r="I32" s="152"/>
      <c r="J32" s="152"/>
      <c r="K32" s="152"/>
      <c r="L32" s="66"/>
    </row>
    <row r="33" spans="1:12" ht="11.25" customHeight="1">
      <c r="A33" s="152"/>
      <c r="B33" s="152"/>
      <c r="C33" s="152"/>
      <c r="D33" s="152"/>
      <c r="E33" s="152"/>
      <c r="F33" s="152"/>
      <c r="G33" s="152"/>
      <c r="H33" s="152"/>
      <c r="I33" s="152"/>
      <c r="J33" s="152"/>
      <c r="K33" s="152"/>
      <c r="L33" s="66"/>
    </row>
    <row r="34" spans="1:12" ht="11.25" customHeight="1">
      <c r="A34" s="152"/>
      <c r="B34" s="152"/>
      <c r="C34" s="152"/>
      <c r="D34" s="152"/>
      <c r="E34" s="152"/>
      <c r="F34" s="152"/>
      <c r="G34" s="152"/>
      <c r="H34" s="152"/>
      <c r="I34" s="152"/>
      <c r="J34" s="152"/>
      <c r="K34" s="152"/>
      <c r="L34" s="66"/>
    </row>
    <row r="35" spans="1:12" ht="11.25" customHeight="1">
      <c r="A35" s="152"/>
      <c r="B35" s="152"/>
      <c r="C35" s="152"/>
      <c r="D35" s="152"/>
      <c r="E35" s="152"/>
      <c r="F35" s="152"/>
      <c r="G35" s="152"/>
      <c r="H35" s="152"/>
      <c r="I35" s="152"/>
      <c r="J35" s="152"/>
      <c r="K35" s="152"/>
      <c r="L35" s="66"/>
    </row>
    <row r="36" spans="1:12" ht="11.25" customHeight="1">
      <c r="A36" s="152"/>
      <c r="B36" s="152"/>
      <c r="C36" s="152"/>
      <c r="D36" s="152"/>
      <c r="E36" s="152"/>
      <c r="F36" s="152"/>
      <c r="G36" s="152"/>
      <c r="H36" s="152"/>
      <c r="I36" s="152"/>
      <c r="J36" s="152"/>
      <c r="K36" s="152"/>
      <c r="L36" s="66"/>
    </row>
    <row r="37" spans="1:12" ht="11.25" customHeight="1">
      <c r="A37" s="152"/>
      <c r="B37" s="152"/>
      <c r="C37" s="152"/>
      <c r="D37" s="152"/>
      <c r="E37" s="152"/>
      <c r="F37" s="152"/>
      <c r="G37" s="152"/>
      <c r="H37" s="152"/>
      <c r="I37" s="152"/>
      <c r="J37" s="152"/>
      <c r="K37" s="152"/>
      <c r="L37" s="66"/>
    </row>
    <row r="38" spans="1:12" ht="11.25" customHeight="1">
      <c r="A38" s="152"/>
      <c r="B38" s="152"/>
      <c r="C38" s="152"/>
      <c r="D38" s="152"/>
      <c r="E38" s="152"/>
      <c r="F38" s="152"/>
      <c r="G38" s="152"/>
      <c r="H38" s="152"/>
      <c r="I38" s="152"/>
      <c r="J38" s="152"/>
      <c r="K38" s="152"/>
      <c r="L38" s="66"/>
    </row>
    <row r="39" spans="1:12" ht="11.25" customHeight="1">
      <c r="A39" s="152"/>
      <c r="B39" s="152"/>
      <c r="C39" s="152"/>
      <c r="D39" s="152"/>
      <c r="E39" s="152"/>
      <c r="F39" s="152"/>
      <c r="G39" s="152"/>
      <c r="H39" s="152"/>
      <c r="I39" s="152"/>
      <c r="J39" s="152"/>
      <c r="K39" s="152"/>
      <c r="L39" s="66"/>
    </row>
    <row r="40" spans="1:12" ht="11.25" customHeight="1">
      <c r="A40" s="152"/>
      <c r="B40" s="152"/>
      <c r="C40" s="152"/>
      <c r="D40" s="152"/>
      <c r="E40" s="152"/>
      <c r="F40" s="152"/>
      <c r="G40" s="152"/>
      <c r="H40" s="152"/>
      <c r="I40" s="152"/>
      <c r="J40" s="152"/>
      <c r="K40" s="152"/>
      <c r="L40" s="66"/>
    </row>
    <row r="41" spans="1:12" ht="11.25" customHeight="1">
      <c r="A41" s="152"/>
      <c r="B41" s="152"/>
      <c r="C41" s="152"/>
      <c r="D41" s="152"/>
      <c r="E41" s="152"/>
      <c r="F41" s="152"/>
      <c r="G41" s="152"/>
      <c r="H41" s="152"/>
      <c r="I41" s="152"/>
      <c r="J41" s="152"/>
      <c r="K41" s="152"/>
      <c r="L41" s="66"/>
    </row>
    <row r="42" spans="1:12" ht="11.25" customHeight="1">
      <c r="A42" s="152"/>
      <c r="B42" s="152"/>
      <c r="C42" s="152"/>
      <c r="D42" s="152"/>
      <c r="E42" s="152"/>
      <c r="F42" s="152"/>
      <c r="G42" s="152"/>
      <c r="H42" s="152"/>
      <c r="I42" s="152"/>
      <c r="J42" s="152"/>
      <c r="K42" s="152"/>
      <c r="L42" s="66"/>
    </row>
    <row r="43" spans="1:12" ht="11.25" customHeight="1">
      <c r="A43" s="152"/>
      <c r="B43" s="152"/>
      <c r="C43" s="152"/>
      <c r="D43" s="152"/>
      <c r="E43" s="152"/>
      <c r="F43" s="152"/>
      <c r="G43" s="152"/>
      <c r="H43" s="152"/>
      <c r="I43" s="152"/>
      <c r="J43" s="152"/>
      <c r="K43" s="152"/>
      <c r="L43" s="66"/>
    </row>
    <row r="44" spans="1:12" ht="11.25" customHeight="1">
      <c r="A44" s="67"/>
      <c r="B44" s="67"/>
      <c r="C44" s="67"/>
      <c r="D44" s="67"/>
      <c r="E44" s="67"/>
      <c r="F44" s="67"/>
      <c r="G44" s="67"/>
      <c r="H44" s="67"/>
      <c r="I44" s="67"/>
      <c r="J44" s="67"/>
      <c r="K44" s="152"/>
      <c r="L44" s="66"/>
    </row>
    <row r="45" spans="1:12" ht="11.25" customHeight="1">
      <c r="A45" s="67"/>
      <c r="B45" s="67"/>
      <c r="C45" s="67"/>
      <c r="D45" s="67"/>
      <c r="E45" s="67"/>
      <c r="F45" s="67"/>
      <c r="G45" s="67"/>
      <c r="H45" s="67"/>
      <c r="I45" s="67"/>
      <c r="J45" s="67"/>
      <c r="K45" s="152"/>
      <c r="L45" s="66"/>
    </row>
    <row r="46" spans="1:12" ht="11.25" customHeight="1">
      <c r="A46" s="67"/>
      <c r="B46" s="67"/>
      <c r="C46" s="67"/>
      <c r="D46" s="67"/>
      <c r="E46" s="67"/>
      <c r="F46" s="67"/>
      <c r="G46" s="67"/>
      <c r="H46" s="67"/>
      <c r="I46" s="67"/>
      <c r="J46" s="67"/>
      <c r="K46" s="152"/>
      <c r="L46" s="66"/>
    </row>
    <row r="47" spans="1:12" ht="11.25" customHeight="1">
      <c r="A47" s="67"/>
      <c r="B47" s="67"/>
      <c r="C47" s="67"/>
      <c r="D47" s="67"/>
      <c r="E47" s="67"/>
      <c r="F47" s="67"/>
      <c r="G47" s="67"/>
      <c r="H47" s="67"/>
      <c r="I47" s="67"/>
      <c r="J47" s="67"/>
      <c r="K47" s="152"/>
      <c r="L47" s="66"/>
    </row>
    <row r="48" spans="1:12" ht="11.25" customHeight="1">
      <c r="A48" s="67"/>
      <c r="B48" s="67"/>
      <c r="C48" s="67"/>
      <c r="D48" s="67"/>
      <c r="E48" s="67"/>
      <c r="F48" s="67"/>
      <c r="G48" s="67"/>
      <c r="H48" s="67"/>
      <c r="I48" s="67"/>
      <c r="J48" s="67"/>
      <c r="K48" s="152"/>
      <c r="L48" s="66"/>
    </row>
    <row r="49" spans="1:12" ht="11.25" customHeight="1">
      <c r="A49" s="67"/>
      <c r="B49" s="67"/>
      <c r="C49" s="67"/>
      <c r="D49" s="67"/>
      <c r="E49" s="67"/>
      <c r="F49" s="67"/>
      <c r="G49" s="67"/>
      <c r="H49" s="67"/>
      <c r="I49" s="67"/>
      <c r="J49" s="67"/>
      <c r="K49" s="152"/>
      <c r="L49" s="66"/>
    </row>
    <row r="50" spans="1:12" ht="13.2">
      <c r="A50" s="67"/>
      <c r="B50" s="67"/>
      <c r="C50" s="67"/>
      <c r="D50" s="67"/>
      <c r="E50" s="67"/>
      <c r="F50" s="67"/>
      <c r="G50" s="67"/>
      <c r="H50" s="67"/>
      <c r="I50" s="67"/>
      <c r="J50" s="67"/>
      <c r="K50" s="152"/>
      <c r="L50" s="66"/>
    </row>
    <row r="51" spans="1:12" ht="13.2">
      <c r="A51" s="67"/>
      <c r="B51" s="67"/>
      <c r="C51" s="67"/>
      <c r="D51" s="67"/>
      <c r="E51" s="67"/>
      <c r="F51" s="67"/>
      <c r="G51" s="67"/>
      <c r="H51" s="67"/>
      <c r="I51" s="67"/>
      <c r="J51" s="67"/>
      <c r="K51" s="152"/>
      <c r="L51" s="66"/>
    </row>
    <row r="52" spans="1:12" ht="13.2">
      <c r="A52" s="67"/>
      <c r="B52" s="67"/>
      <c r="C52" s="67"/>
      <c r="D52" s="67"/>
      <c r="E52" s="67"/>
      <c r="F52" s="67"/>
      <c r="G52" s="67"/>
      <c r="H52" s="67"/>
      <c r="I52" s="67"/>
      <c r="J52" s="67"/>
      <c r="K52" s="152"/>
      <c r="L52" s="66"/>
    </row>
    <row r="53" spans="1:12" ht="13.2">
      <c r="A53" s="67"/>
      <c r="B53" s="67"/>
      <c r="C53" s="67"/>
      <c r="D53" s="67"/>
      <c r="E53" s="67"/>
      <c r="F53" s="67"/>
      <c r="G53" s="67"/>
      <c r="H53" s="67"/>
      <c r="I53" s="67"/>
      <c r="J53" s="67"/>
      <c r="K53" s="152"/>
      <c r="L53" s="66"/>
    </row>
    <row r="54" spans="1:12" ht="13.2">
      <c r="A54" s="67"/>
      <c r="B54" s="67"/>
      <c r="C54" s="67"/>
      <c r="D54" s="67"/>
      <c r="E54" s="67"/>
      <c r="F54" s="67"/>
      <c r="G54" s="67"/>
      <c r="H54" s="67"/>
      <c r="I54" s="67"/>
      <c r="J54" s="67"/>
      <c r="K54" s="152"/>
      <c r="L54" s="66"/>
    </row>
    <row r="55" spans="1:12" ht="13.2">
      <c r="A55" s="67"/>
      <c r="B55" s="67"/>
      <c r="C55" s="67"/>
      <c r="D55" s="67"/>
      <c r="E55" s="67"/>
      <c r="F55" s="67"/>
      <c r="G55" s="67"/>
      <c r="H55" s="67"/>
      <c r="I55" s="67"/>
      <c r="J55" s="67"/>
      <c r="K55" s="152"/>
      <c r="L55" s="66"/>
    </row>
    <row r="56" spans="1:12" ht="13.2">
      <c r="A56" s="67"/>
      <c r="B56" s="67"/>
      <c r="C56" s="67"/>
      <c r="D56" s="67"/>
      <c r="E56" s="67"/>
      <c r="F56" s="67"/>
      <c r="G56" s="67"/>
      <c r="H56" s="67"/>
      <c r="I56" s="67"/>
      <c r="J56" s="67"/>
      <c r="K56" s="152"/>
      <c r="L56" s="66"/>
    </row>
    <row r="57" spans="1:12" ht="13.2">
      <c r="A57" s="67"/>
      <c r="B57" s="67"/>
      <c r="C57" s="67"/>
      <c r="D57" s="67"/>
      <c r="E57" s="67"/>
      <c r="F57" s="67"/>
      <c r="G57" s="67"/>
      <c r="H57" s="67"/>
      <c r="I57" s="67"/>
      <c r="J57" s="67"/>
      <c r="K57" s="152"/>
      <c r="L57" s="66"/>
    </row>
    <row r="58" spans="1:12" ht="13.2">
      <c r="A58" s="67"/>
      <c r="B58" s="67"/>
      <c r="C58" s="67"/>
      <c r="D58" s="67"/>
      <c r="E58" s="67"/>
      <c r="F58" s="67"/>
      <c r="G58" s="67"/>
      <c r="H58" s="67"/>
      <c r="I58" s="67"/>
      <c r="J58" s="67"/>
      <c r="K58" s="152"/>
      <c r="L58" s="66"/>
    </row>
    <row r="59" spans="1:12" ht="13.2">
      <c r="A59" s="67"/>
      <c r="B59" s="67"/>
      <c r="C59" s="67"/>
      <c r="D59" s="67"/>
      <c r="E59" s="67"/>
      <c r="F59" s="67"/>
      <c r="G59" s="67"/>
      <c r="H59" s="67"/>
      <c r="I59" s="67"/>
      <c r="J59" s="67"/>
      <c r="K59" s="152"/>
      <c r="L59" s="66"/>
    </row>
    <row r="60" spans="1:12" ht="13.2">
      <c r="A60" s="67"/>
      <c r="B60" s="67"/>
      <c r="C60" s="67"/>
      <c r="D60" s="67"/>
      <c r="E60" s="67"/>
      <c r="F60" s="67"/>
      <c r="G60" s="67"/>
      <c r="H60" s="67"/>
      <c r="I60" s="67"/>
      <c r="J60" s="67"/>
      <c r="K60" s="152"/>
      <c r="L60" s="66"/>
    </row>
    <row r="61" spans="1:12" ht="13.2">
      <c r="A61" s="67"/>
      <c r="B61" s="67"/>
      <c r="C61" s="67"/>
      <c r="D61" s="67"/>
      <c r="E61" s="67"/>
      <c r="F61" s="67"/>
      <c r="G61" s="67"/>
      <c r="H61" s="67"/>
      <c r="I61" s="67"/>
      <c r="J61" s="67"/>
      <c r="K61" s="152"/>
      <c r="L61" s="66"/>
    </row>
    <row r="62" spans="1:12" ht="13.2">
      <c r="A62" s="67"/>
      <c r="B62" s="67"/>
      <c r="C62" s="67"/>
      <c r="D62" s="67"/>
      <c r="E62" s="67"/>
      <c r="F62" s="67"/>
      <c r="G62" s="67"/>
      <c r="H62" s="67"/>
      <c r="I62" s="67"/>
      <c r="J62" s="67"/>
      <c r="K62" s="152"/>
      <c r="L62" s="66"/>
    </row>
    <row r="63" spans="1:12" ht="13.2">
      <c r="A63" s="67"/>
      <c r="B63" s="67"/>
      <c r="C63" s="67"/>
      <c r="D63" s="67"/>
      <c r="E63" s="67"/>
      <c r="F63" s="67"/>
      <c r="G63" s="67"/>
      <c r="H63" s="67"/>
      <c r="I63" s="67"/>
      <c r="J63" s="67"/>
      <c r="K63" s="152"/>
      <c r="L63" s="66"/>
    </row>
    <row r="64" spans="1:12" ht="13.2">
      <c r="A64" s="67"/>
      <c r="B64" s="67"/>
      <c r="C64" s="67"/>
      <c r="D64" s="67"/>
      <c r="E64" s="67"/>
      <c r="F64" s="67"/>
      <c r="G64" s="67"/>
      <c r="H64" s="67"/>
      <c r="I64" s="67"/>
      <c r="J64" s="67"/>
      <c r="K64" s="152"/>
      <c r="L64" s="66"/>
    </row>
    <row r="65" spans="1:12" ht="13.2">
      <c r="A65" s="67"/>
      <c r="B65" s="67"/>
      <c r="C65" s="67"/>
      <c r="D65" s="67"/>
      <c r="E65" s="67"/>
      <c r="F65" s="67"/>
      <c r="G65" s="67"/>
      <c r="H65" s="67"/>
      <c r="I65" s="67"/>
      <c r="J65" s="67"/>
      <c r="K65" s="152"/>
      <c r="L65" s="66"/>
    </row>
    <row r="66" spans="1:12" ht="13.2">
      <c r="A66" s="67"/>
      <c r="B66" s="67"/>
      <c r="C66" s="67"/>
      <c r="D66" s="67"/>
      <c r="E66" s="67"/>
      <c r="F66" s="67"/>
      <c r="G66" s="67"/>
      <c r="H66" s="67"/>
      <c r="I66" s="67"/>
      <c r="J66" s="67"/>
      <c r="K66" s="152"/>
      <c r="L66" s="66"/>
    </row>
    <row r="67" spans="1:12" ht="13.2">
      <c r="A67" s="67"/>
      <c r="B67" s="67"/>
      <c r="C67" s="67"/>
      <c r="D67" s="67"/>
      <c r="E67" s="67"/>
      <c r="F67" s="67"/>
      <c r="G67" s="67"/>
      <c r="H67" s="67"/>
      <c r="I67" s="67"/>
      <c r="J67" s="67"/>
      <c r="K67" s="152"/>
      <c r="L67" s="66"/>
    </row>
    <row r="68" spans="1:12" ht="13.2">
      <c r="A68" s="67"/>
      <c r="B68" s="67"/>
      <c r="C68" s="67"/>
      <c r="D68" s="67"/>
      <c r="E68" s="67"/>
      <c r="F68" s="67"/>
      <c r="G68" s="67"/>
      <c r="H68" s="67"/>
      <c r="I68" s="67"/>
      <c r="J68" s="67"/>
      <c r="K68" s="152"/>
      <c r="L68" s="66"/>
    </row>
    <row r="69" spans="1:12" ht="13.2">
      <c r="A69" s="67"/>
      <c r="B69" s="67"/>
      <c r="C69" s="67"/>
      <c r="D69" s="67"/>
      <c r="E69" s="67"/>
      <c r="F69" s="67"/>
      <c r="G69" s="67"/>
      <c r="H69" s="67"/>
      <c r="I69" s="67"/>
      <c r="J69" s="67"/>
      <c r="K69" s="152"/>
      <c r="L69" s="66"/>
    </row>
    <row r="70" spans="1:12" ht="13.2">
      <c r="A70" s="161"/>
      <c r="B70" s="161"/>
      <c r="C70" s="161"/>
      <c r="D70" s="161"/>
      <c r="E70" s="161"/>
      <c r="F70" s="161"/>
      <c r="G70" s="161"/>
      <c r="H70" s="161"/>
      <c r="I70" s="161"/>
      <c r="J70" s="161"/>
      <c r="K70" s="152"/>
      <c r="L70" s="66"/>
    </row>
    <row r="71" spans="1:12" ht="13.2">
      <c r="A71" s="67"/>
      <c r="B71" s="66"/>
      <c r="C71" s="66"/>
      <c r="D71" s="66"/>
      <c r="E71" s="66"/>
      <c r="F71" s="66"/>
      <c r="G71" s="66"/>
      <c r="H71" s="66"/>
      <c r="I71" s="66"/>
      <c r="J71" s="66"/>
      <c r="K71" s="152"/>
      <c r="L71" s="66"/>
    </row>
  </sheetData>
  <mergeCells count="1">
    <mergeCell ref="A1:L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L56"/>
  <sheetViews>
    <sheetView showGridLines="0" view="pageBreakPreview" topLeftCell="A5" zoomScale="115" zoomScaleNormal="100" zoomScaleSheetLayoutView="115" zoomScalePageLayoutView="115" workbookViewId="0">
      <selection activeCell="D22" sqref="D22"/>
    </sheetView>
  </sheetViews>
  <sheetFormatPr baseColWidth="10" defaultColWidth="9.28515625" defaultRowHeight="10.199999999999999"/>
  <cols>
    <col min="1" max="1" width="12.85546875" style="39" customWidth="1"/>
    <col min="2" max="2" width="19.28515625" style="39" customWidth="1"/>
    <col min="3" max="3" width="29"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24" customHeight="1">
      <c r="A2" s="876" t="s">
        <v>291</v>
      </c>
      <c r="B2" s="876"/>
      <c r="C2" s="876"/>
      <c r="D2" s="876"/>
      <c r="E2" s="876"/>
      <c r="F2" s="876"/>
      <c r="G2" s="876"/>
      <c r="H2" s="876"/>
      <c r="I2" s="168"/>
      <c r="J2" s="168"/>
      <c r="K2" s="168"/>
    </row>
    <row r="3" spans="1:12" ht="3" customHeight="1">
      <c r="A3" s="69"/>
      <c r="B3" s="69"/>
      <c r="C3" s="69"/>
      <c r="D3" s="69"/>
      <c r="E3" s="69"/>
      <c r="F3" s="69"/>
      <c r="G3" s="69"/>
      <c r="H3" s="69"/>
      <c r="I3" s="169"/>
      <c r="J3" s="169"/>
      <c r="K3" s="169"/>
      <c r="L3" s="30"/>
    </row>
    <row r="4" spans="1:12" ht="15" customHeight="1">
      <c r="A4" s="875" t="s">
        <v>326</v>
      </c>
      <c r="B4" s="875"/>
      <c r="C4" s="875"/>
      <c r="D4" s="875"/>
      <c r="E4" s="875"/>
      <c r="F4" s="875"/>
      <c r="G4" s="875"/>
      <c r="H4" s="875"/>
      <c r="I4" s="163"/>
      <c r="J4" s="163"/>
      <c r="K4" s="163"/>
      <c r="L4" s="30"/>
    </row>
    <row r="5" spans="1:12" ht="11.25" customHeight="1">
      <c r="A5" s="69"/>
      <c r="B5" s="146"/>
      <c r="C5" s="70"/>
      <c r="D5" s="71"/>
      <c r="E5" s="71"/>
      <c r="F5" s="72"/>
      <c r="G5" s="68"/>
      <c r="H5" s="68"/>
      <c r="I5" s="164"/>
      <c r="J5" s="164"/>
      <c r="K5" s="164"/>
      <c r="L5" s="170"/>
    </row>
    <row r="6" spans="1:12" ht="30.75" customHeight="1">
      <c r="A6" s="339" t="s">
        <v>133</v>
      </c>
      <c r="B6" s="337" t="s">
        <v>134</v>
      </c>
      <c r="C6" s="337" t="s">
        <v>135</v>
      </c>
      <c r="D6" s="336" t="str">
        <f>UPPER('1. Resumen'!Q4)&amp;"
 "&amp;'1. Resumen'!Q5</f>
        <v>MAYO
 2025</v>
      </c>
      <c r="E6" s="336" t="str">
        <f>UPPER('1. Resumen'!Q4)&amp;"
 "&amp;'1. Resumen'!Q5-1</f>
        <v>MAYO
 2024</v>
      </c>
      <c r="F6" s="336" t="str">
        <f>UPPER('1. Resumen'!Q4)&amp;"
 "&amp;'1. Resumen'!Q5-2</f>
        <v>MAYO
 2023</v>
      </c>
      <c r="G6" s="337" t="s">
        <v>583</v>
      </c>
      <c r="H6" s="338" t="s">
        <v>379</v>
      </c>
      <c r="I6" s="164"/>
      <c r="J6" s="164"/>
      <c r="K6" s="164"/>
      <c r="L6" s="147"/>
    </row>
    <row r="7" spans="1:12" ht="14.4" customHeight="1">
      <c r="A7" s="769" t="s">
        <v>649</v>
      </c>
      <c r="B7" s="729" t="s">
        <v>567</v>
      </c>
      <c r="C7" s="477" t="s">
        <v>568</v>
      </c>
      <c r="D7" s="478">
        <v>7.3666666666666698</v>
      </c>
      <c r="E7" s="478"/>
      <c r="F7" s="478">
        <v>3.25</v>
      </c>
      <c r="G7" s="583"/>
      <c r="H7" s="583"/>
      <c r="I7" s="164"/>
      <c r="J7" s="164"/>
      <c r="K7" s="164"/>
      <c r="L7" s="51"/>
    </row>
    <row r="8" spans="1:12" ht="17.399999999999999" customHeight="1">
      <c r="A8" s="596"/>
      <c r="B8" s="596" t="s">
        <v>636</v>
      </c>
      <c r="C8" s="477" t="s">
        <v>637</v>
      </c>
      <c r="D8" s="478">
        <v>30.733333333333299</v>
      </c>
      <c r="E8" s="478">
        <v>13.6</v>
      </c>
      <c r="F8" s="478"/>
      <c r="G8" s="583">
        <v>1.259803921568625</v>
      </c>
      <c r="H8" s="583"/>
      <c r="I8" s="164"/>
      <c r="J8" s="164"/>
      <c r="K8" s="164"/>
      <c r="L8" s="51"/>
    </row>
    <row r="9" spans="1:12" ht="14.4" customHeight="1">
      <c r="A9" s="770"/>
      <c r="B9" s="596" t="s">
        <v>638</v>
      </c>
      <c r="C9" s="477" t="s">
        <v>639</v>
      </c>
      <c r="D9" s="478"/>
      <c r="E9" s="478"/>
      <c r="F9" s="478">
        <v>9.18333333333333</v>
      </c>
      <c r="G9" s="583"/>
      <c r="H9" s="583"/>
      <c r="I9" s="164"/>
      <c r="J9" s="164"/>
      <c r="K9" s="164"/>
      <c r="L9" s="51"/>
    </row>
    <row r="10" spans="1:12" ht="14.4" customHeight="1">
      <c r="A10" s="770"/>
      <c r="B10" s="596" t="s">
        <v>640</v>
      </c>
      <c r="C10" s="477" t="s">
        <v>641</v>
      </c>
      <c r="D10" s="478">
        <v>22.4</v>
      </c>
      <c r="E10" s="478"/>
      <c r="F10" s="478"/>
      <c r="G10" s="583"/>
      <c r="H10" s="583"/>
      <c r="I10" s="164"/>
      <c r="J10" s="164"/>
      <c r="K10" s="164"/>
      <c r="L10" s="51"/>
    </row>
    <row r="11" spans="1:12" ht="13.2" customHeight="1">
      <c r="A11" s="770"/>
      <c r="B11" s="596" t="s">
        <v>569</v>
      </c>
      <c r="C11" s="477" t="s">
        <v>570</v>
      </c>
      <c r="D11" s="478">
        <v>73.3</v>
      </c>
      <c r="E11" s="478"/>
      <c r="F11" s="478"/>
      <c r="G11" s="583"/>
      <c r="H11" s="583"/>
      <c r="I11" s="164"/>
      <c r="J11" s="164"/>
      <c r="K11" s="164"/>
      <c r="L11" s="51"/>
    </row>
    <row r="12" spans="1:12" ht="13.2" customHeight="1">
      <c r="A12" s="770"/>
      <c r="B12" s="596" t="s">
        <v>642</v>
      </c>
      <c r="C12" s="477" t="s">
        <v>643</v>
      </c>
      <c r="D12" s="478">
        <v>12.55</v>
      </c>
      <c r="E12" s="478"/>
      <c r="F12" s="478"/>
      <c r="G12" s="583"/>
      <c r="H12" s="583"/>
      <c r="I12" s="164"/>
      <c r="J12" s="164"/>
      <c r="K12" s="164"/>
      <c r="L12" s="51"/>
    </row>
    <row r="13" spans="1:12" ht="13.2" customHeight="1">
      <c r="A13" s="770"/>
      <c r="B13" s="596" t="s">
        <v>644</v>
      </c>
      <c r="C13" s="477" t="s">
        <v>645</v>
      </c>
      <c r="D13" s="478">
        <v>7.55</v>
      </c>
      <c r="E13" s="478"/>
      <c r="F13" s="478"/>
      <c r="G13" s="583"/>
      <c r="H13" s="583"/>
      <c r="I13" s="164"/>
      <c r="J13" s="164"/>
      <c r="K13" s="164"/>
      <c r="L13" s="51"/>
    </row>
    <row r="14" spans="1:12" ht="13.2" customHeight="1">
      <c r="A14" s="770" t="s">
        <v>136</v>
      </c>
      <c r="B14" s="596" t="s">
        <v>606</v>
      </c>
      <c r="C14" s="477" t="s">
        <v>607</v>
      </c>
      <c r="D14" s="478"/>
      <c r="E14" s="478">
        <v>7.6166666666666698</v>
      </c>
      <c r="F14" s="478"/>
      <c r="G14" s="583"/>
      <c r="H14" s="583"/>
      <c r="I14" s="164"/>
      <c r="J14" s="164"/>
      <c r="K14" s="164"/>
      <c r="L14" s="51"/>
    </row>
    <row r="15" spans="1:12" ht="13.2" customHeight="1">
      <c r="A15" s="770"/>
      <c r="B15" s="596" t="s">
        <v>608</v>
      </c>
      <c r="C15" s="477" t="s">
        <v>609</v>
      </c>
      <c r="D15" s="478"/>
      <c r="E15" s="478">
        <v>30.866666666666699</v>
      </c>
      <c r="F15" s="478">
        <v>1.35</v>
      </c>
      <c r="G15" s="583"/>
      <c r="H15" s="583">
        <v>21.864197530864221</v>
      </c>
      <c r="I15" s="164"/>
      <c r="J15" s="164"/>
      <c r="K15" s="164"/>
      <c r="L15" s="51"/>
    </row>
    <row r="16" spans="1:12" ht="13.2" customHeight="1">
      <c r="A16" s="770"/>
      <c r="B16" s="596" t="s">
        <v>610</v>
      </c>
      <c r="C16" s="477" t="s">
        <v>611</v>
      </c>
      <c r="D16" s="478"/>
      <c r="E16" s="478">
        <v>30.866666666666699</v>
      </c>
      <c r="F16" s="478">
        <v>4.8</v>
      </c>
      <c r="G16" s="583"/>
      <c r="H16" s="583">
        <v>5.4305555555555625</v>
      </c>
      <c r="I16" s="164"/>
      <c r="J16" s="164"/>
      <c r="K16" s="164"/>
      <c r="L16" s="51"/>
    </row>
    <row r="17" spans="1:12" ht="13.2" customHeight="1">
      <c r="A17" s="770"/>
      <c r="B17" s="596" t="s">
        <v>646</v>
      </c>
      <c r="C17" s="477" t="s">
        <v>647</v>
      </c>
      <c r="D17" s="478"/>
      <c r="E17" s="478"/>
      <c r="F17" s="478">
        <v>1.5</v>
      </c>
      <c r="G17" s="583"/>
      <c r="H17" s="583"/>
      <c r="I17" s="164"/>
      <c r="J17" s="164"/>
      <c r="K17" s="164"/>
      <c r="L17" s="51"/>
    </row>
    <row r="18" spans="1:12" ht="13.2" customHeight="1">
      <c r="A18" s="770"/>
      <c r="B18" s="596" t="s">
        <v>612</v>
      </c>
      <c r="C18" s="477" t="s">
        <v>613</v>
      </c>
      <c r="D18" s="478"/>
      <c r="E18" s="478">
        <v>30.866666666666699</v>
      </c>
      <c r="F18" s="478">
        <v>1.35</v>
      </c>
      <c r="G18" s="583"/>
      <c r="H18" s="583">
        <v>21.864197530864221</v>
      </c>
      <c r="I18" s="164"/>
      <c r="J18" s="164"/>
      <c r="K18" s="164"/>
      <c r="L18" s="51"/>
    </row>
    <row r="19" spans="1:12" ht="13.2" customHeight="1">
      <c r="A19" s="770"/>
      <c r="B19" s="596" t="s">
        <v>571</v>
      </c>
      <c r="C19" s="477" t="s">
        <v>572</v>
      </c>
      <c r="D19" s="478">
        <v>9.6</v>
      </c>
      <c r="E19" s="478"/>
      <c r="F19" s="478"/>
      <c r="G19" s="583"/>
      <c r="H19" s="583"/>
      <c r="I19" s="164"/>
      <c r="J19" s="164"/>
      <c r="K19" s="164"/>
      <c r="L19" s="51"/>
    </row>
    <row r="20" spans="1:12" ht="13.2" customHeight="1">
      <c r="A20" s="770"/>
      <c r="B20" s="596" t="s">
        <v>622</v>
      </c>
      <c r="C20" s="477" t="s">
        <v>623</v>
      </c>
      <c r="D20" s="478"/>
      <c r="E20" s="478"/>
      <c r="F20" s="478">
        <v>4.8833333333333302</v>
      </c>
      <c r="G20" s="583"/>
      <c r="H20" s="583"/>
      <c r="I20" s="164"/>
      <c r="J20" s="164"/>
      <c r="K20" s="164"/>
      <c r="L20" s="51"/>
    </row>
    <row r="21" spans="1:12" ht="13.2" customHeight="1">
      <c r="A21" s="770"/>
      <c r="B21" s="596" t="s">
        <v>614</v>
      </c>
      <c r="C21" s="477" t="s">
        <v>542</v>
      </c>
      <c r="D21" s="478">
        <v>5.9666666666666703</v>
      </c>
      <c r="E21" s="478">
        <v>0.31666666666666698</v>
      </c>
      <c r="F21" s="478"/>
      <c r="G21" s="583">
        <v>17.842105263157883</v>
      </c>
      <c r="H21" s="583"/>
      <c r="I21" s="164"/>
      <c r="J21" s="164"/>
      <c r="K21" s="164"/>
      <c r="L21" s="51"/>
    </row>
    <row r="22" spans="1:12" ht="13.8" customHeight="1">
      <c r="A22" s="770"/>
      <c r="B22" s="596" t="s">
        <v>648</v>
      </c>
      <c r="C22" s="477" t="s">
        <v>615</v>
      </c>
      <c r="D22" s="478"/>
      <c r="E22" s="478"/>
      <c r="F22" s="478">
        <v>17.8333333333333</v>
      </c>
      <c r="G22" s="583"/>
      <c r="H22" s="583"/>
      <c r="I22" s="164"/>
      <c r="J22" s="164"/>
      <c r="K22" s="164"/>
      <c r="L22" s="51"/>
    </row>
    <row r="23" spans="1:12" ht="18.75" customHeight="1">
      <c r="A23" s="330" t="s">
        <v>137</v>
      </c>
      <c r="B23" s="331"/>
      <c r="C23" s="332"/>
      <c r="D23" s="333">
        <f>SUM(D7:D22)</f>
        <v>169.46666666666664</v>
      </c>
      <c r="E23" s="333">
        <f>SUM(E7:E22)</f>
        <v>114.13333333333344</v>
      </c>
      <c r="F23" s="333">
        <f>SUM(F7:F22)</f>
        <v>44.149999999999963</v>
      </c>
      <c r="G23" s="446"/>
      <c r="H23" s="446"/>
      <c r="I23" s="164"/>
      <c r="J23" s="164"/>
      <c r="K23" s="165"/>
      <c r="L23" s="171"/>
    </row>
    <row r="24" spans="1:12" ht="11.25" customHeight="1">
      <c r="A24" s="226" t="str">
        <f>"Cuadro N° 14: Horas de operación de los principales equipos de congestión en "&amp;'1. Resumen'!Q4</f>
        <v>Cuadro N° 14: Horas de operación de los principales equipos de congestión en mayo</v>
      </c>
      <c r="B24" s="173"/>
      <c r="C24" s="174"/>
      <c r="D24" s="175"/>
      <c r="E24" s="175"/>
      <c r="F24" s="176"/>
      <c r="G24" s="68"/>
      <c r="H24" s="73"/>
      <c r="I24" s="164"/>
      <c r="J24" s="164"/>
      <c r="K24" s="165"/>
      <c r="L24" s="171"/>
    </row>
    <row r="25" spans="1:12" ht="11.25" customHeight="1">
      <c r="A25" s="125"/>
      <c r="B25" s="173"/>
      <c r="C25" s="174"/>
      <c r="D25" s="175"/>
      <c r="E25" s="175"/>
      <c r="F25" s="176"/>
      <c r="G25" s="68"/>
      <c r="H25" s="68"/>
      <c r="I25" s="164"/>
      <c r="J25" s="164"/>
      <c r="K25" s="165"/>
      <c r="L25" s="171"/>
    </row>
    <row r="26" spans="1:12" ht="11.25" customHeight="1">
      <c r="A26" s="125"/>
      <c r="B26" s="173"/>
      <c r="C26" s="174"/>
      <c r="D26" s="175"/>
      <c r="E26" s="175"/>
      <c r="F26" s="176"/>
      <c r="G26" s="68"/>
      <c r="H26" s="68"/>
      <c r="I26" s="164"/>
      <c r="J26" s="164"/>
      <c r="K26" s="165"/>
      <c r="L26" s="171"/>
    </row>
    <row r="27" spans="1:12" ht="11.25" customHeight="1">
      <c r="A27" s="69"/>
      <c r="B27" s="146"/>
      <c r="C27" s="70"/>
      <c r="D27" s="71"/>
      <c r="E27" s="71"/>
      <c r="F27" s="72"/>
      <c r="G27" s="68"/>
      <c r="H27" s="68"/>
      <c r="I27" s="164"/>
      <c r="J27" s="164"/>
      <c r="K27" s="165"/>
      <c r="L27" s="171"/>
    </row>
    <row r="28" spans="1:12" ht="11.25" customHeight="1">
      <c r="A28" s="69"/>
      <c r="B28" s="146"/>
      <c r="C28" s="70"/>
      <c r="D28" s="71"/>
      <c r="E28" s="71"/>
      <c r="F28" s="72"/>
      <c r="G28" s="68"/>
      <c r="H28" s="68"/>
      <c r="I28" s="164"/>
      <c r="J28" s="164"/>
      <c r="K28" s="165"/>
      <c r="L28" s="171"/>
    </row>
    <row r="29" spans="1:12" ht="11.25" customHeight="1">
      <c r="A29" s="69"/>
      <c r="B29" s="146"/>
      <c r="C29" s="70"/>
      <c r="D29" s="71"/>
      <c r="E29" s="71"/>
      <c r="F29" s="72"/>
      <c r="G29" s="68"/>
      <c r="H29" s="68"/>
      <c r="I29" s="164"/>
      <c r="J29" s="164"/>
      <c r="K29" s="165"/>
      <c r="L29" s="172"/>
    </row>
    <row r="30" spans="1:12" ht="11.25" customHeight="1">
      <c r="A30" s="69"/>
      <c r="B30" s="146"/>
      <c r="C30" s="70"/>
      <c r="D30" s="71"/>
      <c r="E30" s="71"/>
      <c r="F30" s="72"/>
      <c r="G30" s="68"/>
      <c r="H30" s="68"/>
      <c r="I30" s="164"/>
      <c r="J30" s="164"/>
      <c r="K30" s="165"/>
      <c r="L30" s="171"/>
    </row>
    <row r="31" spans="1:12" ht="11.25" customHeight="1">
      <c r="A31" s="69"/>
      <c r="B31" s="146"/>
      <c r="C31" s="70"/>
      <c r="D31" s="71"/>
      <c r="E31" s="71"/>
      <c r="F31" s="72"/>
      <c r="G31" s="68"/>
      <c r="H31" s="68"/>
      <c r="I31" s="164"/>
      <c r="J31" s="164"/>
      <c r="K31" s="165"/>
      <c r="L31" s="171"/>
    </row>
    <row r="32" spans="1:12" ht="11.25" customHeight="1">
      <c r="A32" s="69"/>
      <c r="B32" s="146"/>
      <c r="C32" s="70"/>
      <c r="D32" s="71"/>
      <c r="E32" s="71"/>
      <c r="F32" s="72"/>
      <c r="G32" s="68"/>
      <c r="H32" s="68"/>
      <c r="I32" s="164"/>
      <c r="J32" s="164"/>
      <c r="K32" s="164"/>
      <c r="L32" s="51"/>
    </row>
    <row r="33" spans="1:12" ht="11.25" customHeight="1">
      <c r="A33" s="69"/>
      <c r="B33" s="146"/>
      <c r="C33" s="70"/>
      <c r="D33" s="71"/>
      <c r="E33" s="71"/>
      <c r="F33" s="72"/>
      <c r="G33" s="68"/>
      <c r="H33" s="68"/>
      <c r="I33" s="164"/>
      <c r="J33" s="164"/>
      <c r="K33" s="165"/>
      <c r="L33" s="171"/>
    </row>
    <row r="34" spans="1:12" ht="11.25" customHeight="1">
      <c r="A34" s="69"/>
      <c r="B34" s="146"/>
      <c r="C34" s="70"/>
      <c r="D34" s="71"/>
      <c r="E34" s="71"/>
      <c r="F34" s="72"/>
      <c r="G34" s="68"/>
      <c r="H34" s="68"/>
      <c r="I34" s="164"/>
      <c r="J34" s="164"/>
      <c r="K34" s="166"/>
      <c r="L34" s="171"/>
    </row>
    <row r="35" spans="1:12" ht="11.25" customHeight="1">
      <c r="A35" s="69"/>
      <c r="B35" s="146"/>
      <c r="C35" s="70"/>
      <c r="D35" s="71"/>
      <c r="E35" s="71"/>
      <c r="F35" s="72"/>
      <c r="G35" s="68"/>
      <c r="H35" s="68"/>
      <c r="I35" s="164"/>
      <c r="J35" s="164"/>
      <c r="K35" s="166"/>
      <c r="L35" s="171"/>
    </row>
    <row r="36" spans="1:12" ht="11.25" customHeight="1">
      <c r="A36" s="69"/>
      <c r="B36" s="69"/>
      <c r="C36" s="69"/>
      <c r="D36" s="69"/>
      <c r="E36" s="69"/>
      <c r="F36" s="69"/>
      <c r="G36" s="69"/>
      <c r="H36" s="69"/>
      <c r="I36" s="164"/>
      <c r="J36" s="164"/>
      <c r="K36" s="166"/>
      <c r="L36" s="171"/>
    </row>
    <row r="37" spans="1:12" ht="11.25" customHeight="1">
      <c r="A37" s="69"/>
      <c r="B37" s="69"/>
      <c r="C37" s="69"/>
      <c r="D37" s="69"/>
      <c r="E37" s="69"/>
      <c r="F37" s="69"/>
      <c r="G37" s="69"/>
      <c r="H37" s="69"/>
      <c r="I37" s="164"/>
      <c r="J37" s="164"/>
      <c r="K37" s="166"/>
      <c r="L37" s="171"/>
    </row>
    <row r="38" spans="1:12" ht="11.25" customHeight="1">
      <c r="A38" s="69"/>
      <c r="B38" s="69"/>
      <c r="C38" s="69"/>
      <c r="D38" s="69"/>
      <c r="E38" s="69"/>
      <c r="F38" s="69"/>
      <c r="G38" s="69"/>
      <c r="H38" s="69"/>
      <c r="I38" s="164"/>
      <c r="J38" s="164"/>
      <c r="K38" s="166"/>
      <c r="L38" s="171"/>
    </row>
    <row r="39" spans="1:12" ht="11.25" customHeight="1">
      <c r="A39" s="69"/>
      <c r="B39" s="69"/>
      <c r="C39" s="69"/>
      <c r="D39" s="69"/>
      <c r="E39" s="69"/>
      <c r="F39" s="69"/>
      <c r="G39" s="69"/>
      <c r="H39" s="69"/>
      <c r="I39" s="164"/>
      <c r="J39" s="164"/>
      <c r="K39" s="166"/>
      <c r="L39" s="171"/>
    </row>
    <row r="40" spans="1:12" ht="11.25" customHeight="1">
      <c r="A40" s="69"/>
      <c r="B40" s="69"/>
      <c r="C40" s="69"/>
      <c r="D40" s="69"/>
      <c r="E40" s="69"/>
      <c r="F40" s="69"/>
      <c r="G40" s="69"/>
      <c r="H40" s="69"/>
      <c r="I40" s="164"/>
      <c r="J40" s="164"/>
      <c r="K40" s="166"/>
      <c r="L40" s="171"/>
    </row>
    <row r="41" spans="1:12" ht="11.25" customHeight="1">
      <c r="A41" s="69"/>
      <c r="B41" s="69"/>
      <c r="C41" s="69"/>
      <c r="D41" s="69"/>
      <c r="E41" s="69"/>
      <c r="F41" s="69"/>
      <c r="G41" s="69"/>
      <c r="H41" s="69"/>
      <c r="I41" s="164"/>
      <c r="J41" s="164"/>
      <c r="K41" s="166"/>
      <c r="L41" s="171"/>
    </row>
    <row r="42" spans="1:12" ht="11.25" customHeight="1">
      <c r="A42" s="69"/>
      <c r="B42" s="69"/>
      <c r="C42" s="69"/>
      <c r="D42" s="69"/>
      <c r="E42" s="69"/>
      <c r="F42" s="69"/>
      <c r="G42" s="69"/>
      <c r="H42" s="69"/>
      <c r="I42" s="164"/>
      <c r="J42" s="164"/>
      <c r="K42" s="166"/>
      <c r="L42" s="171"/>
    </row>
    <row r="43" spans="1:12" ht="11.25" customHeight="1">
      <c r="A43" s="69"/>
      <c r="B43" s="69"/>
      <c r="C43" s="69"/>
      <c r="D43" s="69"/>
      <c r="E43" s="69"/>
      <c r="F43" s="69"/>
      <c r="G43" s="69"/>
      <c r="H43" s="69"/>
      <c r="I43" s="164"/>
      <c r="J43" s="164"/>
      <c r="K43" s="166"/>
      <c r="L43" s="171"/>
    </row>
    <row r="44" spans="1:12" ht="11.25" customHeight="1">
      <c r="A44" s="69"/>
      <c r="B44" s="69"/>
      <c r="C44" s="69"/>
      <c r="D44" s="69"/>
      <c r="E44" s="69"/>
      <c r="F44" s="69"/>
      <c r="G44" s="69"/>
      <c r="H44" s="69"/>
      <c r="I44" s="164"/>
      <c r="J44" s="164"/>
      <c r="K44" s="167"/>
      <c r="L44" s="52"/>
    </row>
    <row r="45" spans="1:12" ht="11.25" customHeight="1">
      <c r="A45" s="69"/>
      <c r="B45" s="69"/>
      <c r="C45" s="69"/>
      <c r="D45" s="69"/>
      <c r="E45" s="69"/>
      <c r="F45" s="69"/>
      <c r="G45" s="69"/>
      <c r="H45" s="69"/>
      <c r="I45" s="164"/>
      <c r="J45" s="164"/>
      <c r="K45" s="167"/>
      <c r="L45" s="52"/>
    </row>
    <row r="46" spans="1:12" ht="11.25" customHeight="1">
      <c r="A46" s="69"/>
      <c r="B46" s="69"/>
      <c r="C46" s="69"/>
      <c r="D46" s="69"/>
      <c r="E46" s="69"/>
      <c r="F46" s="69"/>
      <c r="G46" s="69"/>
      <c r="H46" s="69"/>
      <c r="I46" s="164"/>
      <c r="J46" s="164"/>
      <c r="K46" s="167"/>
      <c r="L46" s="52"/>
    </row>
    <row r="47" spans="1:12" ht="11.25" customHeight="1">
      <c r="A47" s="69"/>
      <c r="B47" s="69"/>
      <c r="C47" s="69"/>
      <c r="D47" s="69"/>
      <c r="E47" s="69"/>
      <c r="F47" s="69"/>
      <c r="G47" s="69"/>
      <c r="H47" s="69"/>
      <c r="I47" s="164"/>
      <c r="J47" s="164"/>
      <c r="K47" s="167"/>
      <c r="L47" s="52"/>
    </row>
    <row r="48" spans="1:12" ht="11.25" customHeight="1">
      <c r="A48" s="69"/>
      <c r="B48" s="69"/>
      <c r="C48" s="69"/>
      <c r="D48" s="69"/>
      <c r="E48" s="69"/>
      <c r="F48" s="69"/>
      <c r="G48" s="69"/>
      <c r="H48" s="69"/>
      <c r="I48" s="164"/>
      <c r="J48" s="164"/>
      <c r="K48" s="167"/>
      <c r="L48" s="52"/>
    </row>
    <row r="49" spans="1:12" ht="11.25" customHeight="1">
      <c r="A49" s="69"/>
      <c r="B49" s="69"/>
      <c r="C49" s="69"/>
      <c r="D49" s="69"/>
      <c r="E49" s="69"/>
      <c r="F49" s="69"/>
      <c r="G49" s="69"/>
      <c r="H49" s="69"/>
      <c r="I49" s="164"/>
      <c r="J49" s="164"/>
      <c r="K49" s="167"/>
      <c r="L49" s="52"/>
    </row>
    <row r="50" spans="1:12" ht="11.25" customHeight="1">
      <c r="A50" s="69"/>
      <c r="B50" s="69"/>
      <c r="C50" s="69"/>
      <c r="D50" s="69"/>
      <c r="E50" s="69"/>
      <c r="F50" s="69"/>
      <c r="G50" s="69"/>
      <c r="H50" s="69"/>
      <c r="I50" s="164"/>
      <c r="J50" s="164"/>
      <c r="K50" s="167"/>
      <c r="L50" s="52"/>
    </row>
    <row r="51" spans="1:12">
      <c r="B51" s="26"/>
      <c r="C51" s="26"/>
      <c r="D51" s="26"/>
      <c r="E51" s="26"/>
      <c r="F51" s="26"/>
      <c r="G51" s="26"/>
      <c r="H51" s="165"/>
      <c r="I51" s="165"/>
      <c r="J51" s="165"/>
      <c r="K51" s="165"/>
    </row>
    <row r="56" spans="1:12">
      <c r="A56" s="226" t="str">
        <f>"Gráfico N° 23: Comparación de las horas de operación de los principales equipos de congestión en "&amp;'1. Resumen'!Q4&amp;"."</f>
        <v>Gráfico N° 23: Comparación de las horas de operación de los principales equipos de congestión en mayo.</v>
      </c>
    </row>
  </sheetData>
  <mergeCells count="2">
    <mergeCell ref="A4:H4"/>
    <mergeCell ref="A2:H2"/>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246"/>
  <sheetViews>
    <sheetView showGridLines="0" view="pageBreakPreview" zoomScale="130" zoomScaleNormal="160" zoomScaleSheetLayoutView="130" zoomScalePageLayoutView="110" workbookViewId="0">
      <selection activeCell="D22" sqref="D22"/>
    </sheetView>
  </sheetViews>
  <sheetFormatPr baseColWidth="10" defaultColWidth="9.28515625" defaultRowHeight="10.199999999999999"/>
  <cols>
    <col min="1" max="1" width="23.570312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1.7109375" customWidth="1"/>
    <col min="11" max="11" width="9.28515625" customWidth="1"/>
  </cols>
  <sheetData>
    <row r="1" spans="1:12" ht="11.25" customHeight="1"/>
    <row r="2" spans="1:12" ht="32.25" customHeight="1">
      <c r="A2" s="879" t="s">
        <v>314</v>
      </c>
      <c r="B2" s="879"/>
      <c r="C2" s="879"/>
      <c r="D2" s="879"/>
      <c r="E2" s="879"/>
      <c r="F2" s="879"/>
      <c r="G2" s="879"/>
      <c r="H2" s="879"/>
      <c r="I2" s="879"/>
      <c r="J2" s="879"/>
      <c r="K2" s="145"/>
    </row>
    <row r="3" spans="1:12" ht="6.75" customHeight="1">
      <c r="A3" s="13"/>
      <c r="B3" s="144"/>
      <c r="C3" s="177"/>
      <c r="D3" s="14"/>
      <c r="E3" s="14"/>
      <c r="F3" s="160"/>
      <c r="G3" s="59"/>
      <c r="H3" s="59"/>
      <c r="I3" s="64"/>
      <c r="J3" s="145"/>
      <c r="K3" s="145"/>
      <c r="L3" s="30"/>
    </row>
    <row r="4" spans="1:12" ht="15" customHeight="1">
      <c r="A4" s="880" t="s">
        <v>325</v>
      </c>
      <c r="B4" s="880"/>
      <c r="C4" s="880"/>
      <c r="D4" s="880"/>
      <c r="E4" s="880"/>
      <c r="F4" s="880"/>
      <c r="G4" s="880"/>
      <c r="H4" s="880"/>
      <c r="I4" s="880"/>
      <c r="J4" s="880"/>
      <c r="K4" s="145"/>
      <c r="L4" s="30"/>
    </row>
    <row r="5" spans="1:12" ht="38.25" customHeight="1">
      <c r="A5" s="877" t="s">
        <v>138</v>
      </c>
      <c r="B5" s="340" t="s">
        <v>139</v>
      </c>
      <c r="C5" s="341" t="s">
        <v>140</v>
      </c>
      <c r="D5" s="341" t="s">
        <v>141</v>
      </c>
      <c r="E5" s="341" t="s">
        <v>142</v>
      </c>
      <c r="F5" s="341" t="s">
        <v>143</v>
      </c>
      <c r="G5" s="341" t="s">
        <v>144</v>
      </c>
      <c r="H5" s="341" t="s">
        <v>145</v>
      </c>
      <c r="I5" s="342" t="s">
        <v>146</v>
      </c>
      <c r="J5" s="343" t="s">
        <v>147</v>
      </c>
      <c r="K5" s="119"/>
    </row>
    <row r="6" spans="1:12" ht="11.25" customHeight="1">
      <c r="A6" s="878"/>
      <c r="B6" s="432" t="s">
        <v>148</v>
      </c>
      <c r="C6" s="342" t="s">
        <v>149</v>
      </c>
      <c r="D6" s="342" t="s">
        <v>150</v>
      </c>
      <c r="E6" s="342" t="s">
        <v>151</v>
      </c>
      <c r="F6" s="342" t="s">
        <v>152</v>
      </c>
      <c r="G6" s="342" t="s">
        <v>153</v>
      </c>
      <c r="H6" s="342" t="s">
        <v>154</v>
      </c>
      <c r="I6" s="433"/>
      <c r="J6" s="434" t="s">
        <v>155</v>
      </c>
      <c r="K6" s="15"/>
    </row>
    <row r="7" spans="1:12" ht="10.8" customHeight="1">
      <c r="A7" s="438" t="s">
        <v>113</v>
      </c>
      <c r="B7" s="439"/>
      <c r="C7" s="439"/>
      <c r="D7" s="439"/>
      <c r="E7" s="439"/>
      <c r="F7" s="439">
        <v>1</v>
      </c>
      <c r="G7" s="439"/>
      <c r="H7" s="439"/>
      <c r="I7" s="440">
        <f>+SUM(B7:H7)</f>
        <v>1</v>
      </c>
      <c r="J7" s="441">
        <v>1.17</v>
      </c>
      <c r="K7" s="18"/>
    </row>
    <row r="8" spans="1:12" ht="10.8" customHeight="1">
      <c r="A8" s="438" t="s">
        <v>652</v>
      </c>
      <c r="B8" s="439"/>
      <c r="C8" s="439"/>
      <c r="D8" s="439"/>
      <c r="E8" s="439">
        <v>1</v>
      </c>
      <c r="F8" s="439"/>
      <c r="G8" s="439"/>
      <c r="H8" s="439"/>
      <c r="I8" s="440">
        <f t="shared" ref="I8:I9" si="0">+SUM(B8:H8)</f>
        <v>1</v>
      </c>
      <c r="J8" s="441">
        <v>1.5</v>
      </c>
      <c r="K8" s="18"/>
    </row>
    <row r="9" spans="1:12" ht="10.8" customHeight="1">
      <c r="A9" s="438" t="s">
        <v>559</v>
      </c>
      <c r="B9" s="439">
        <v>3</v>
      </c>
      <c r="C9" s="439">
        <v>10</v>
      </c>
      <c r="D9" s="439"/>
      <c r="E9" s="439">
        <v>5</v>
      </c>
      <c r="F9" s="439">
        <v>9</v>
      </c>
      <c r="G9" s="439"/>
      <c r="H9" s="439"/>
      <c r="I9" s="440">
        <f t="shared" si="0"/>
        <v>27</v>
      </c>
      <c r="J9" s="441">
        <v>862.19</v>
      </c>
      <c r="K9" s="18"/>
    </row>
    <row r="10" spans="1:12" ht="14.25" customHeight="1">
      <c r="A10" s="437" t="s">
        <v>146</v>
      </c>
      <c r="B10" s="435">
        <f t="shared" ref="B10:J10" si="1">+SUM(B7:B9)</f>
        <v>3</v>
      </c>
      <c r="C10" s="435">
        <f t="shared" si="1"/>
        <v>10</v>
      </c>
      <c r="D10" s="435">
        <f t="shared" si="1"/>
        <v>0</v>
      </c>
      <c r="E10" s="435">
        <f t="shared" si="1"/>
        <v>6</v>
      </c>
      <c r="F10" s="435">
        <f t="shared" si="1"/>
        <v>10</v>
      </c>
      <c r="G10" s="435">
        <f t="shared" si="1"/>
        <v>0</v>
      </c>
      <c r="H10" s="435">
        <f t="shared" si="1"/>
        <v>0</v>
      </c>
      <c r="I10" s="435">
        <f t="shared" si="1"/>
        <v>29</v>
      </c>
      <c r="J10" s="595">
        <f t="shared" si="1"/>
        <v>864.86</v>
      </c>
      <c r="K10" s="18"/>
    </row>
    <row r="11" spans="1:12" ht="11.25" customHeight="1">
      <c r="A11" s="88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mayo 2025</v>
      </c>
      <c r="B11" s="881"/>
      <c r="C11" s="881"/>
      <c r="D11" s="881"/>
      <c r="E11" s="881"/>
      <c r="F11" s="881"/>
      <c r="G11" s="881"/>
      <c r="H11" s="881"/>
      <c r="I11" s="881"/>
      <c r="J11" s="881"/>
      <c r="K11" s="18"/>
    </row>
    <row r="12" spans="1:12" ht="11.25" customHeight="1">
      <c r="K12" s="18"/>
    </row>
    <row r="13" spans="1:12" ht="11.25" customHeight="1">
      <c r="A13" s="13"/>
      <c r="B13" s="179"/>
      <c r="C13" s="178"/>
      <c r="D13" s="178"/>
      <c r="E13" s="178"/>
      <c r="F13" s="178"/>
      <c r="G13" s="149"/>
      <c r="H13" s="149"/>
      <c r="I13" s="126"/>
      <c r="J13" s="21"/>
      <c r="K13" s="21"/>
      <c r="L13" s="18"/>
    </row>
    <row r="14" spans="1:12" ht="11.25" customHeight="1">
      <c r="A14" s="884" t="str">
        <f>"FALLAS  POR TIPO DE CAUSA  -  "&amp;UPPER('1. Resumen'!Q4)&amp;" "&amp;'1. Resumen'!Q5</f>
        <v>FALLAS  POR TIPO DE CAUSA  -  MAYO 2025</v>
      </c>
      <c r="B14" s="884"/>
      <c r="C14" s="884"/>
      <c r="D14" s="884"/>
      <c r="E14" s="884" t="str">
        <f>"FALLAS  POR TIPO DE EQUIPO  -  "&amp;UPPER('1. Resumen'!Q4)&amp;" "&amp;'1. Resumen'!Q5</f>
        <v>FALLAS  POR TIPO DE EQUIPO  -  MAYO 2025</v>
      </c>
      <c r="F14" s="884"/>
      <c r="G14" s="884"/>
      <c r="H14" s="884"/>
      <c r="I14" s="884"/>
      <c r="J14" s="884"/>
      <c r="K14" s="21"/>
      <c r="L14" s="18"/>
    </row>
    <row r="15" spans="1:12" ht="11.25" customHeight="1">
      <c r="A15" s="13"/>
      <c r="E15" s="178"/>
      <c r="F15" s="178"/>
      <c r="G15" s="149"/>
      <c r="H15" s="149"/>
      <c r="I15" s="126"/>
      <c r="J15" s="100"/>
      <c r="K15" s="100"/>
      <c r="L15" s="18"/>
    </row>
    <row r="16" spans="1:12" ht="11.25" customHeight="1">
      <c r="A16" s="13"/>
      <c r="B16" s="179"/>
      <c r="C16" s="178"/>
      <c r="D16" s="178"/>
      <c r="E16" s="178"/>
      <c r="F16" s="178"/>
      <c r="G16" s="149"/>
      <c r="H16" s="149"/>
      <c r="I16" s="126"/>
      <c r="J16" s="100"/>
      <c r="K16" s="100"/>
      <c r="L16" s="25"/>
    </row>
    <row r="17" spans="1:12" ht="11.25" customHeight="1">
      <c r="A17" s="13"/>
      <c r="B17" s="179"/>
      <c r="C17" s="178"/>
      <c r="D17" s="178"/>
      <c r="E17" s="178"/>
      <c r="F17" s="178"/>
      <c r="G17" s="149"/>
      <c r="H17" s="149"/>
      <c r="I17" s="126"/>
      <c r="J17" s="100"/>
      <c r="K17" s="100"/>
      <c r="L17" s="18"/>
    </row>
    <row r="18" spans="1:12" ht="11.25" customHeight="1">
      <c r="A18" s="13"/>
      <c r="B18" s="179"/>
      <c r="C18" s="178"/>
      <c r="D18" s="178"/>
      <c r="E18" s="178"/>
      <c r="F18" s="178"/>
      <c r="G18" s="149"/>
      <c r="H18" s="149"/>
      <c r="I18" s="126"/>
      <c r="J18" s="100"/>
      <c r="K18" s="100"/>
      <c r="L18" s="18"/>
    </row>
    <row r="19" spans="1:12" ht="11.25" customHeight="1">
      <c r="A19" s="13"/>
      <c r="B19" s="179"/>
      <c r="C19" s="178"/>
      <c r="D19" s="178"/>
      <c r="E19" s="178"/>
      <c r="F19" s="178"/>
      <c r="G19" s="149"/>
      <c r="H19" s="149"/>
      <c r="I19" s="126"/>
      <c r="J19" s="100"/>
      <c r="K19" s="100"/>
      <c r="L19" s="18"/>
    </row>
    <row r="20" spans="1:12" ht="11.25" customHeight="1">
      <c r="A20" s="13"/>
      <c r="B20" s="179"/>
      <c r="C20" s="178"/>
      <c r="D20" s="178"/>
      <c r="E20" s="178"/>
      <c r="F20" s="178"/>
      <c r="G20" s="149"/>
      <c r="H20" s="149"/>
      <c r="I20" s="126"/>
      <c r="J20" s="100"/>
      <c r="K20" s="100"/>
      <c r="L20" s="25"/>
    </row>
    <row r="21" spans="1:12" ht="11.25" customHeight="1">
      <c r="A21" s="13"/>
      <c r="B21" s="179"/>
      <c r="C21" s="178"/>
      <c r="D21" s="178"/>
      <c r="E21" s="178"/>
      <c r="F21" s="178"/>
      <c r="G21" s="149"/>
      <c r="H21" s="149"/>
      <c r="I21" s="126"/>
      <c r="J21" s="100"/>
      <c r="K21" s="100"/>
      <c r="L21" s="18"/>
    </row>
    <row r="22" spans="1:12" ht="11.25" customHeight="1">
      <c r="A22" s="13"/>
      <c r="B22" s="179"/>
      <c r="C22" s="178"/>
      <c r="D22" s="178"/>
      <c r="E22" s="178"/>
      <c r="F22" s="178"/>
      <c r="G22" s="149"/>
      <c r="H22" s="149"/>
      <c r="I22" s="126"/>
      <c r="J22" s="100"/>
      <c r="K22" s="100"/>
      <c r="L22" s="18"/>
    </row>
    <row r="23" spans="1:12" ht="11.25" customHeight="1">
      <c r="A23" s="13"/>
      <c r="B23" s="179"/>
      <c r="C23" s="178"/>
      <c r="D23" s="178"/>
      <c r="E23" s="178"/>
      <c r="F23" s="178"/>
      <c r="G23" s="149"/>
      <c r="H23" s="149"/>
      <c r="I23" s="126"/>
      <c r="J23" s="100"/>
      <c r="K23" s="100"/>
      <c r="L23" s="18"/>
    </row>
    <row r="24" spans="1:12" ht="11.25" customHeight="1">
      <c r="A24" s="13"/>
      <c r="B24" s="179"/>
      <c r="C24" s="178"/>
      <c r="D24" s="178"/>
      <c r="E24" s="178"/>
      <c r="F24" s="178"/>
      <c r="G24" s="149"/>
      <c r="H24" s="149"/>
      <c r="I24" s="126"/>
      <c r="J24" s="100"/>
      <c r="K24" s="100"/>
      <c r="L24" s="18"/>
    </row>
    <row r="25" spans="1:12" ht="11.25" customHeight="1">
      <c r="A25" s="13"/>
      <c r="B25" s="179"/>
      <c r="C25" s="178"/>
      <c r="D25" s="178"/>
      <c r="E25" s="178"/>
      <c r="F25" s="178"/>
      <c r="G25" s="149"/>
      <c r="H25" s="149"/>
      <c r="I25" s="126"/>
      <c r="J25" s="100"/>
      <c r="K25" s="100"/>
      <c r="L25" s="18"/>
    </row>
    <row r="26" spans="1:12" ht="11.25" customHeight="1">
      <c r="A26" s="13"/>
      <c r="B26" s="179"/>
      <c r="C26" s="178"/>
      <c r="D26" s="178"/>
      <c r="E26" s="178"/>
      <c r="F26" s="178"/>
      <c r="G26" s="149"/>
      <c r="H26" s="149"/>
      <c r="I26" s="126"/>
      <c r="J26" s="100"/>
      <c r="K26" s="100"/>
      <c r="L26" s="18"/>
    </row>
    <row r="27" spans="1:12" ht="11.25" customHeight="1">
      <c r="A27" s="13"/>
      <c r="B27" s="179"/>
      <c r="C27" s="178"/>
      <c r="D27" s="178"/>
      <c r="E27" s="178"/>
      <c r="F27" s="178"/>
      <c r="G27" s="149"/>
      <c r="H27" s="149"/>
      <c r="I27" s="126"/>
      <c r="J27" s="100"/>
      <c r="K27" s="100"/>
      <c r="L27" s="18"/>
    </row>
    <row r="28" spans="1:12" ht="11.25" customHeight="1">
      <c r="A28" s="13"/>
      <c r="B28" s="179"/>
      <c r="C28" s="178"/>
      <c r="D28" s="178"/>
      <c r="E28" s="178"/>
      <c r="F28" s="178"/>
      <c r="G28" s="149"/>
      <c r="H28" s="149"/>
      <c r="I28" s="126"/>
      <c r="J28" s="100"/>
      <c r="K28" s="100"/>
      <c r="L28" s="18"/>
    </row>
    <row r="29" spans="1:12" ht="11.25" customHeight="1">
      <c r="A29" s="13"/>
      <c r="B29" s="179"/>
      <c r="C29" s="178"/>
      <c r="D29" s="178"/>
      <c r="E29" s="178"/>
      <c r="F29" s="178"/>
      <c r="G29" s="149"/>
      <c r="H29" s="149"/>
      <c r="I29" s="126"/>
      <c r="J29" s="100"/>
      <c r="K29" s="100"/>
      <c r="L29" s="18"/>
    </row>
    <row r="30" spans="1:12" ht="11.25" customHeight="1">
      <c r="A30" s="13"/>
      <c r="B30" s="179"/>
      <c r="C30" s="178"/>
      <c r="D30" s="178"/>
      <c r="E30" s="178"/>
      <c r="F30" s="178"/>
      <c r="G30" s="149"/>
      <c r="H30" s="149"/>
      <c r="I30" s="126"/>
      <c r="J30" s="100"/>
      <c r="K30" s="100"/>
      <c r="L30" s="18"/>
    </row>
    <row r="31" spans="1:12" ht="23.25" customHeight="1">
      <c r="A31" s="883" t="s">
        <v>305</v>
      </c>
      <c r="B31" s="883"/>
      <c r="C31" s="883"/>
      <c r="D31" s="228"/>
      <c r="E31" s="886" t="s">
        <v>306</v>
      </c>
      <c r="F31" s="886"/>
      <c r="G31" s="886"/>
      <c r="H31" s="886"/>
      <c r="I31" s="886"/>
      <c r="J31" s="886"/>
      <c r="K31" s="21"/>
      <c r="L31" s="18"/>
    </row>
    <row r="32" spans="1:12" ht="11.25" customHeight="1">
      <c r="A32" s="13"/>
      <c r="B32" s="120"/>
      <c r="C32" s="120"/>
      <c r="D32" s="120"/>
      <c r="E32" s="120"/>
      <c r="F32" s="120"/>
      <c r="G32" s="21"/>
      <c r="H32" s="21"/>
      <c r="I32" s="21"/>
      <c r="J32" s="21"/>
      <c r="K32" s="21"/>
      <c r="L32" s="18"/>
    </row>
    <row r="33" spans="1:12" ht="6.75" customHeight="1">
      <c r="A33" s="13"/>
      <c r="B33" s="120"/>
      <c r="C33" s="120"/>
      <c r="D33" s="120"/>
      <c r="E33" s="120"/>
      <c r="F33" s="120"/>
      <c r="G33" s="21"/>
      <c r="H33" s="21"/>
      <c r="I33" s="21"/>
      <c r="J33" s="21"/>
      <c r="K33" s="21"/>
      <c r="L33" s="180"/>
    </row>
    <row r="34" spans="1:12" ht="11.25" customHeight="1">
      <c r="A34" s="885" t="str">
        <f>"ENERGÍA INTERRUMPIDA APROXIMADA POR TIPO DE EQUIPO (MWh)  -  "&amp;UPPER('1. Resumen'!Q4)&amp;" "&amp;'1. Resumen'!Q5</f>
        <v>ENERGÍA INTERRUMPIDA APROXIMADA POR TIPO DE EQUIPO (MWh)  -  MAYO 2025</v>
      </c>
      <c r="B34" s="885"/>
      <c r="C34" s="885"/>
      <c r="D34" s="885"/>
      <c r="E34" s="885"/>
      <c r="F34" s="885"/>
      <c r="G34" s="885"/>
      <c r="H34" s="885"/>
      <c r="I34" s="885"/>
      <c r="J34" s="885"/>
      <c r="K34" s="21"/>
      <c r="L34" s="180"/>
    </row>
    <row r="35" spans="1:12" ht="11.25" customHeight="1">
      <c r="A35" s="13"/>
      <c r="B35" s="120"/>
      <c r="C35" s="120"/>
      <c r="D35" s="120"/>
      <c r="E35" s="120"/>
      <c r="F35" s="120"/>
      <c r="G35" s="21"/>
      <c r="H35" s="21"/>
      <c r="I35" s="21"/>
      <c r="J35" s="21"/>
      <c r="K35" s="21"/>
      <c r="L35" s="180"/>
    </row>
    <row r="36" spans="1:12" ht="11.25" customHeight="1">
      <c r="A36" s="13"/>
      <c r="B36" s="120"/>
      <c r="C36" s="21"/>
      <c r="D36" s="21"/>
      <c r="E36" s="21"/>
      <c r="F36" s="21"/>
      <c r="G36" s="21"/>
      <c r="H36" s="21"/>
      <c r="I36" s="21"/>
      <c r="J36" s="21"/>
      <c r="K36" s="21"/>
      <c r="L36" s="180"/>
    </row>
    <row r="37" spans="1:12" ht="11.25" customHeight="1">
      <c r="A37" s="13"/>
      <c r="B37" s="120"/>
      <c r="C37" s="21"/>
      <c r="D37" s="21"/>
      <c r="E37" s="21"/>
      <c r="F37" s="21"/>
      <c r="G37" s="21"/>
      <c r="H37" s="21"/>
    </row>
    <row r="38" spans="1:12" ht="13.2">
      <c r="A38" s="13"/>
      <c r="B38" s="120"/>
      <c r="J38" s="21"/>
      <c r="K38" s="21"/>
      <c r="L38" s="180"/>
    </row>
    <row r="39" spans="1:12" ht="13.2">
      <c r="A39" s="13"/>
      <c r="B39" s="120"/>
      <c r="J39" s="21"/>
      <c r="K39" s="21"/>
      <c r="L39" s="180"/>
    </row>
    <row r="40" spans="1:12" ht="13.2">
      <c r="A40" s="13"/>
      <c r="B40" s="120"/>
      <c r="J40" s="21"/>
      <c r="K40" s="21"/>
      <c r="L40" s="180"/>
    </row>
    <row r="41" spans="1:12" ht="13.2">
      <c r="A41" s="13"/>
      <c r="B41" s="120"/>
      <c r="J41" s="21"/>
      <c r="K41" s="21"/>
      <c r="L41" s="180"/>
    </row>
    <row r="42" spans="1:12" ht="13.2">
      <c r="A42" s="13"/>
      <c r="B42" s="120"/>
      <c r="C42" s="120"/>
      <c r="D42" s="120"/>
      <c r="E42" s="120"/>
      <c r="F42" s="120"/>
      <c r="G42" s="21"/>
      <c r="H42" s="21"/>
      <c r="I42" s="21"/>
      <c r="J42" s="21"/>
      <c r="K42" s="21"/>
      <c r="L42" s="180"/>
    </row>
    <row r="43" spans="1:12" ht="13.2">
      <c r="A43" s="145"/>
      <c r="B43" s="21"/>
      <c r="C43" s="21"/>
      <c r="D43" s="21"/>
      <c r="E43" s="21"/>
      <c r="F43" s="21"/>
      <c r="G43" s="21"/>
      <c r="H43" s="21"/>
      <c r="I43" s="21"/>
      <c r="J43" s="21"/>
      <c r="K43" s="21"/>
      <c r="L43" s="180"/>
    </row>
    <row r="44" spans="1:12" ht="13.2">
      <c r="A44" s="145"/>
      <c r="B44" s="21"/>
      <c r="C44" s="21"/>
      <c r="D44" s="21"/>
      <c r="E44" s="21"/>
      <c r="F44" s="21"/>
      <c r="G44" s="21"/>
      <c r="H44" s="21"/>
      <c r="I44" s="21"/>
      <c r="J44" s="21"/>
      <c r="K44" s="21"/>
      <c r="L44" s="180"/>
    </row>
    <row r="45" spans="1:12" ht="13.2">
      <c r="A45" s="145"/>
      <c r="B45" s="21"/>
      <c r="C45" s="21"/>
      <c r="D45" s="21"/>
      <c r="E45" s="21"/>
      <c r="F45" s="21"/>
      <c r="G45" s="21"/>
      <c r="H45" s="21"/>
      <c r="I45" s="21"/>
      <c r="J45" s="21"/>
      <c r="K45" s="21"/>
      <c r="L45" s="180"/>
    </row>
    <row r="46" spans="1:12" ht="13.2">
      <c r="A46" s="145"/>
      <c r="B46" s="21"/>
      <c r="C46" s="21"/>
      <c r="D46" s="21"/>
      <c r="E46" s="21"/>
      <c r="F46" s="21"/>
      <c r="G46" s="21"/>
      <c r="H46" s="21"/>
      <c r="I46" s="21"/>
      <c r="J46" s="21"/>
      <c r="K46" s="21"/>
      <c r="L46" s="180"/>
    </row>
    <row r="47" spans="1:12" ht="13.2">
      <c r="A47" s="145"/>
      <c r="B47" s="21"/>
      <c r="C47" s="21"/>
      <c r="D47" s="21"/>
      <c r="E47" s="21"/>
      <c r="F47" s="21"/>
      <c r="G47" s="21"/>
      <c r="H47" s="21"/>
      <c r="I47" s="21"/>
      <c r="J47" s="21"/>
      <c r="K47" s="21"/>
      <c r="L47" s="180"/>
    </row>
    <row r="48" spans="1:12" ht="9" customHeight="1">
      <c r="A48" s="145"/>
      <c r="B48" s="21"/>
      <c r="C48" s="21"/>
      <c r="D48" s="21"/>
      <c r="E48" s="21"/>
      <c r="F48" s="21"/>
      <c r="G48" s="21"/>
      <c r="H48" s="21"/>
      <c r="I48" s="21"/>
      <c r="J48" s="21"/>
      <c r="K48" s="21"/>
      <c r="L48" s="180"/>
    </row>
    <row r="49" spans="1:12" ht="22.2" customHeight="1">
      <c r="A49" s="228" t="str">
        <f>"Gráfico N°26: Comparación de la energía interrumpida aproximada por tipo de equipo en "&amp;'1. Resumen'!Q4&amp;" "&amp;'1. Resumen'!Q5</f>
        <v>Gráfico N°26: Comparación de la energía interrumpida aproximada por tipo de equipo en mayo 2025</v>
      </c>
      <c r="B49" s="21"/>
      <c r="C49" s="21"/>
      <c r="D49" s="21"/>
      <c r="E49" s="21"/>
      <c r="F49" s="21"/>
      <c r="G49" s="21"/>
      <c r="H49" s="21"/>
      <c r="I49" s="21"/>
      <c r="J49" s="21"/>
      <c r="K49" s="21"/>
      <c r="L49" s="180"/>
    </row>
    <row r="50" spans="1:12" ht="15" customHeight="1">
      <c r="B50" s="21"/>
      <c r="C50" s="21"/>
      <c r="D50" s="21"/>
      <c r="E50" s="21"/>
      <c r="F50" s="21"/>
      <c r="G50" s="21"/>
      <c r="H50" s="21"/>
      <c r="I50" s="21"/>
      <c r="J50" s="21"/>
      <c r="K50" s="21"/>
      <c r="L50" s="180"/>
    </row>
    <row r="51" spans="1:12" ht="24" customHeight="1">
      <c r="A51" s="882" t="s">
        <v>156</v>
      </c>
      <c r="B51" s="882"/>
      <c r="C51" s="882"/>
      <c r="D51" s="882"/>
      <c r="E51" s="882"/>
      <c r="F51" s="882"/>
      <c r="G51" s="882"/>
      <c r="H51" s="882"/>
      <c r="I51" s="882"/>
      <c r="J51" s="882"/>
      <c r="K51" s="21"/>
      <c r="L51" s="180"/>
    </row>
    <row r="52" spans="1:12" ht="11.25" customHeight="1">
      <c r="A52" s="848" t="s">
        <v>157</v>
      </c>
      <c r="B52" s="848"/>
      <c r="C52" s="848"/>
      <c r="D52" s="848"/>
      <c r="E52" s="848"/>
      <c r="F52" s="848"/>
      <c r="G52" s="848"/>
      <c r="H52" s="848"/>
      <c r="I52" s="848"/>
      <c r="J52" s="848"/>
      <c r="K52" s="21"/>
      <c r="L52" s="180"/>
    </row>
    <row r="53" spans="1:12" ht="13.2">
      <c r="A53" s="145"/>
      <c r="B53" s="21"/>
      <c r="C53" s="21"/>
      <c r="D53" s="21"/>
      <c r="E53" s="21"/>
      <c r="F53" s="21"/>
      <c r="G53" s="21"/>
      <c r="H53" s="21"/>
      <c r="I53" s="21"/>
      <c r="J53" s="21"/>
      <c r="K53" s="21"/>
      <c r="L53" s="180"/>
    </row>
    <row r="54" spans="1:12" ht="13.2">
      <c r="A54" s="145"/>
      <c r="B54" s="21"/>
      <c r="C54" s="21"/>
      <c r="D54" s="21"/>
      <c r="E54" s="21"/>
      <c r="F54" s="21"/>
      <c r="G54" s="21"/>
      <c r="H54" s="21"/>
      <c r="I54" s="21"/>
      <c r="J54" s="21"/>
      <c r="K54" s="21"/>
      <c r="L54" s="180"/>
    </row>
    <row r="55" spans="1:12" ht="13.2">
      <c r="A55" s="145"/>
      <c r="B55" s="21"/>
      <c r="C55" s="21"/>
      <c r="D55" s="21"/>
      <c r="E55" s="21"/>
      <c r="F55" s="21"/>
      <c r="G55" s="21"/>
      <c r="H55" s="21"/>
      <c r="I55" s="21"/>
      <c r="J55" s="21"/>
      <c r="K55" s="21"/>
      <c r="L55" s="180"/>
    </row>
    <row r="56" spans="1:12" ht="13.2">
      <c r="A56" s="145"/>
      <c r="B56" s="21"/>
      <c r="C56" s="21"/>
      <c r="D56" s="21"/>
      <c r="E56" s="21"/>
      <c r="F56" s="21"/>
      <c r="G56" s="21"/>
      <c r="H56" s="21"/>
      <c r="I56" s="21"/>
      <c r="J56" s="21"/>
      <c r="K56" s="21"/>
      <c r="L56" s="180"/>
    </row>
    <row r="57" spans="1:12" ht="13.2">
      <c r="A57" s="145"/>
      <c r="B57" s="21"/>
      <c r="C57" s="21"/>
      <c r="D57" s="21"/>
      <c r="E57" s="21"/>
      <c r="F57" s="21"/>
      <c r="G57" s="21"/>
      <c r="H57" s="21"/>
      <c r="I57" s="21"/>
      <c r="J57" s="21"/>
      <c r="K57" s="21"/>
      <c r="L57" s="180"/>
    </row>
    <row r="58" spans="1:12" ht="13.2">
      <c r="A58" s="145"/>
      <c r="B58" s="21"/>
      <c r="C58" s="21"/>
      <c r="D58" s="21"/>
      <c r="E58" s="21"/>
      <c r="F58" s="21"/>
      <c r="G58" s="21"/>
      <c r="H58" s="21"/>
      <c r="I58" s="21"/>
      <c r="J58" s="21"/>
      <c r="K58" s="21"/>
      <c r="L58" s="180"/>
    </row>
    <row r="59" spans="1:12" ht="13.2">
      <c r="A59" s="145"/>
      <c r="B59" s="21"/>
      <c r="C59" s="21"/>
      <c r="D59" s="21"/>
      <c r="E59" s="21"/>
      <c r="F59" s="21"/>
      <c r="G59" s="21"/>
      <c r="H59" s="21"/>
      <c r="I59" s="21"/>
      <c r="J59" s="21"/>
      <c r="K59" s="21"/>
      <c r="L59" s="180"/>
    </row>
    <row r="60" spans="1:12" ht="13.2">
      <c r="A60" s="145"/>
      <c r="B60" s="21"/>
      <c r="C60" s="21"/>
      <c r="D60" s="21"/>
      <c r="E60" s="21"/>
      <c r="F60" s="21"/>
      <c r="G60" s="21"/>
      <c r="H60" s="21"/>
      <c r="I60" s="21"/>
      <c r="J60" s="21"/>
      <c r="K60" s="21"/>
      <c r="L60" s="180"/>
    </row>
    <row r="61" spans="1:12" ht="13.2">
      <c r="A61" s="145"/>
      <c r="B61" s="21"/>
      <c r="C61" s="21"/>
      <c r="D61" s="21"/>
      <c r="E61" s="21"/>
      <c r="F61" s="21"/>
      <c r="G61" s="21"/>
      <c r="H61" s="21"/>
      <c r="I61" s="21"/>
      <c r="J61" s="21"/>
      <c r="K61" s="21"/>
      <c r="L61" s="180"/>
    </row>
    <row r="62" spans="1:12" ht="13.2">
      <c r="A62" s="145"/>
      <c r="B62" s="21"/>
      <c r="C62" s="21"/>
      <c r="D62" s="21"/>
      <c r="E62" s="21"/>
      <c r="F62" s="21"/>
      <c r="G62" s="21"/>
      <c r="H62" s="21"/>
      <c r="I62" s="21"/>
      <c r="J62" s="21"/>
      <c r="K62" s="21"/>
      <c r="L62" s="180"/>
    </row>
    <row r="63" spans="1:12" ht="13.2">
      <c r="A63" s="145"/>
      <c r="B63" s="21"/>
      <c r="J63" s="21"/>
      <c r="K63" s="21"/>
      <c r="L63" s="180"/>
    </row>
    <row r="64" spans="1:12" ht="13.2">
      <c r="A64" s="145"/>
      <c r="B64" s="21"/>
      <c r="J64" s="21"/>
      <c r="K64" s="21"/>
      <c r="L64" s="180"/>
    </row>
    <row r="65" spans="1:12" ht="13.2">
      <c r="A65" s="145"/>
      <c r="B65" s="21"/>
      <c r="J65" s="21"/>
      <c r="K65" s="21"/>
      <c r="L65" s="180"/>
    </row>
    <row r="66" spans="1:12" ht="13.2">
      <c r="A66" s="145"/>
      <c r="B66" s="21"/>
      <c r="J66" s="21"/>
      <c r="K66" s="21"/>
      <c r="L66" s="180"/>
    </row>
    <row r="67" spans="1:12">
      <c r="B67" s="180"/>
      <c r="C67" s="180"/>
      <c r="D67" s="180"/>
      <c r="E67" s="180"/>
      <c r="F67" s="180"/>
      <c r="G67" s="180"/>
      <c r="H67" s="180"/>
      <c r="I67" s="180"/>
      <c r="J67" s="180"/>
      <c r="K67" s="180"/>
      <c r="L67" s="180"/>
    </row>
    <row r="68" spans="1:12">
      <c r="B68" s="180"/>
      <c r="C68" s="180"/>
      <c r="D68" s="180"/>
      <c r="E68" s="180"/>
      <c r="F68" s="180"/>
      <c r="G68" s="180"/>
      <c r="H68" s="180"/>
      <c r="I68" s="180"/>
      <c r="J68" s="180"/>
      <c r="K68" s="180"/>
      <c r="L68" s="180"/>
    </row>
    <row r="69" spans="1:12">
      <c r="B69" s="180"/>
      <c r="C69" s="180"/>
      <c r="D69" s="180"/>
      <c r="E69" s="180"/>
      <c r="F69" s="180"/>
      <c r="G69" s="180"/>
      <c r="H69" s="180"/>
      <c r="I69" s="180"/>
      <c r="J69" s="180"/>
      <c r="K69" s="180"/>
      <c r="L69" s="180"/>
    </row>
    <row r="70" spans="1:12">
      <c r="B70" s="180"/>
      <c r="C70" s="180"/>
      <c r="D70" s="180"/>
      <c r="E70" s="180"/>
      <c r="F70" s="180"/>
      <c r="G70" s="180"/>
      <c r="H70" s="180"/>
      <c r="I70" s="180"/>
      <c r="J70" s="180"/>
      <c r="K70" s="180"/>
      <c r="L70" s="180"/>
    </row>
    <row r="71" spans="1:12">
      <c r="B71" s="180"/>
      <c r="C71" s="180"/>
      <c r="D71" s="180"/>
      <c r="E71" s="180"/>
      <c r="F71" s="180"/>
      <c r="G71" s="180"/>
      <c r="H71" s="180"/>
      <c r="I71" s="180"/>
      <c r="J71" s="180"/>
      <c r="K71" s="180"/>
      <c r="L71" s="180"/>
    </row>
    <row r="72" spans="1:12">
      <c r="B72" s="180"/>
      <c r="C72" s="180"/>
      <c r="D72" s="180"/>
      <c r="E72" s="180"/>
      <c r="F72" s="180"/>
      <c r="G72" s="180"/>
      <c r="H72" s="180"/>
      <c r="I72" s="180"/>
      <c r="J72" s="180"/>
      <c r="K72" s="180"/>
      <c r="L72" s="180"/>
    </row>
    <row r="73" spans="1:12">
      <c r="B73" s="180"/>
      <c r="C73" s="180"/>
      <c r="D73" s="180"/>
      <c r="E73" s="180"/>
      <c r="F73" s="180"/>
      <c r="G73" s="180"/>
      <c r="H73" s="180"/>
      <c r="I73" s="180"/>
      <c r="J73" s="180"/>
      <c r="K73" s="180"/>
      <c r="L73" s="180"/>
    </row>
    <row r="74" spans="1:12">
      <c r="B74" s="180"/>
      <c r="C74" s="180"/>
      <c r="D74" s="180"/>
      <c r="E74" s="180"/>
      <c r="F74" s="180"/>
      <c r="G74" s="180"/>
      <c r="H74" s="180"/>
      <c r="I74" s="180"/>
      <c r="J74" s="180"/>
      <c r="K74" s="180"/>
      <c r="L74" s="180"/>
    </row>
    <row r="75" spans="1:12">
      <c r="B75" s="180"/>
      <c r="C75" s="180"/>
      <c r="D75" s="180"/>
      <c r="E75" s="180"/>
      <c r="F75" s="180"/>
      <c r="G75" s="180"/>
      <c r="H75" s="180"/>
      <c r="I75" s="180"/>
      <c r="J75" s="180"/>
      <c r="K75" s="180"/>
      <c r="L75" s="180"/>
    </row>
    <row r="76" spans="1:12">
      <c r="B76" s="180"/>
      <c r="C76" s="180"/>
      <c r="D76" s="180"/>
      <c r="E76" s="180"/>
      <c r="F76" s="180"/>
      <c r="G76" s="180"/>
      <c r="H76" s="180"/>
      <c r="I76" s="180"/>
      <c r="J76" s="180"/>
      <c r="K76" s="180"/>
      <c r="L76" s="180"/>
    </row>
    <row r="77" spans="1:12">
      <c r="B77" s="180"/>
      <c r="C77" s="180"/>
      <c r="D77" s="180"/>
      <c r="E77" s="180"/>
      <c r="F77" s="180"/>
      <c r="G77" s="180"/>
      <c r="H77" s="180"/>
      <c r="I77" s="180"/>
      <c r="J77" s="180"/>
      <c r="K77" s="180"/>
      <c r="L77" s="180"/>
    </row>
    <row r="78" spans="1:12">
      <c r="B78" s="180"/>
      <c r="C78" s="180"/>
      <c r="D78" s="180"/>
      <c r="E78" s="180"/>
      <c r="F78" s="180"/>
      <c r="G78" s="180"/>
      <c r="H78" s="180"/>
      <c r="I78" s="180"/>
      <c r="J78" s="180"/>
      <c r="K78" s="180"/>
      <c r="L78" s="180"/>
    </row>
    <row r="79" spans="1:12">
      <c r="B79" s="180"/>
      <c r="C79" s="180"/>
      <c r="D79" s="180"/>
      <c r="E79" s="180"/>
      <c r="F79" s="180"/>
      <c r="G79" s="180"/>
      <c r="H79" s="180"/>
      <c r="I79" s="180"/>
      <c r="J79" s="180"/>
      <c r="K79" s="180"/>
      <c r="L79" s="180"/>
    </row>
    <row r="80" spans="1:12">
      <c r="B80" s="180"/>
      <c r="C80" s="180"/>
      <c r="D80" s="180"/>
      <c r="E80" s="180"/>
      <c r="F80" s="180"/>
      <c r="G80" s="180"/>
      <c r="H80" s="180"/>
      <c r="I80" s="180"/>
      <c r="J80" s="180"/>
      <c r="K80" s="180"/>
      <c r="L80" s="180"/>
    </row>
    <row r="81" spans="2:12">
      <c r="B81" s="180"/>
      <c r="C81" s="180"/>
      <c r="D81" s="180"/>
      <c r="E81" s="180"/>
      <c r="F81" s="180"/>
      <c r="G81" s="180"/>
      <c r="H81" s="180"/>
      <c r="I81" s="180"/>
      <c r="J81" s="180"/>
      <c r="K81" s="180"/>
      <c r="L81" s="180"/>
    </row>
    <row r="82" spans="2:12">
      <c r="B82" s="180"/>
      <c r="C82" s="180"/>
      <c r="D82" s="180"/>
      <c r="E82" s="180"/>
      <c r="F82" s="180"/>
      <c r="G82" s="180"/>
      <c r="H82" s="180"/>
      <c r="I82" s="180"/>
      <c r="J82" s="180"/>
      <c r="K82" s="180"/>
      <c r="L82" s="180"/>
    </row>
    <row r="83" spans="2:12">
      <c r="B83" s="180"/>
      <c r="C83" s="180"/>
      <c r="D83" s="180"/>
      <c r="E83" s="180"/>
      <c r="F83" s="180"/>
      <c r="G83" s="180"/>
      <c r="H83" s="180"/>
      <c r="I83" s="180"/>
      <c r="J83" s="180"/>
      <c r="K83" s="180"/>
      <c r="L83" s="180"/>
    </row>
    <row r="84" spans="2:12">
      <c r="B84" s="180"/>
      <c r="C84" s="180"/>
      <c r="D84" s="180"/>
      <c r="E84" s="180"/>
      <c r="F84" s="180"/>
      <c r="G84" s="180"/>
      <c r="H84" s="180"/>
      <c r="I84" s="180"/>
      <c r="J84" s="180"/>
      <c r="K84" s="180"/>
      <c r="L84" s="180"/>
    </row>
    <row r="85" spans="2:12">
      <c r="B85" s="180"/>
      <c r="C85" s="180"/>
      <c r="D85" s="180"/>
      <c r="E85" s="180"/>
      <c r="F85" s="180"/>
      <c r="G85" s="180"/>
      <c r="H85" s="180"/>
      <c r="I85" s="180"/>
      <c r="J85" s="180"/>
      <c r="K85" s="180"/>
      <c r="L85" s="180"/>
    </row>
    <row r="86" spans="2:12">
      <c r="B86" s="180"/>
      <c r="C86" s="180"/>
      <c r="D86" s="180"/>
      <c r="E86" s="180"/>
      <c r="F86" s="180"/>
      <c r="G86" s="180"/>
      <c r="H86" s="180"/>
      <c r="I86" s="180"/>
      <c r="J86" s="180"/>
      <c r="K86" s="180"/>
      <c r="L86" s="180"/>
    </row>
    <row r="87" spans="2:12">
      <c r="B87" s="180"/>
      <c r="C87" s="180"/>
      <c r="D87" s="180"/>
      <c r="E87" s="180"/>
      <c r="F87" s="180"/>
      <c r="G87" s="180"/>
      <c r="H87" s="180"/>
      <c r="I87" s="180"/>
      <c r="J87" s="180"/>
      <c r="K87" s="180"/>
      <c r="L87" s="180"/>
    </row>
    <row r="88" spans="2:12">
      <c r="B88" s="180"/>
      <c r="C88" s="180"/>
      <c r="D88" s="180"/>
      <c r="E88" s="180"/>
      <c r="F88" s="180"/>
      <c r="G88" s="180"/>
      <c r="H88" s="180"/>
      <c r="I88" s="180"/>
      <c r="J88" s="180"/>
      <c r="K88" s="180"/>
      <c r="L88" s="180"/>
    </row>
    <row r="89" spans="2:12">
      <c r="B89" s="180"/>
      <c r="C89" s="180"/>
      <c r="D89" s="180"/>
      <c r="E89" s="180"/>
      <c r="F89" s="180"/>
      <c r="G89" s="180"/>
      <c r="H89" s="180"/>
      <c r="I89" s="180"/>
      <c r="J89" s="180"/>
      <c r="K89" s="180"/>
      <c r="L89" s="180"/>
    </row>
    <row r="90" spans="2:12">
      <c r="B90" s="180"/>
      <c r="C90" s="180"/>
      <c r="D90" s="180"/>
      <c r="E90" s="180"/>
      <c r="F90" s="180"/>
      <c r="G90" s="180"/>
      <c r="H90" s="180"/>
      <c r="I90" s="180"/>
      <c r="J90" s="180"/>
      <c r="K90" s="180"/>
      <c r="L90" s="180"/>
    </row>
    <row r="91" spans="2:12">
      <c r="B91" s="180"/>
      <c r="C91" s="180"/>
      <c r="D91" s="180"/>
      <c r="E91" s="180"/>
      <c r="F91" s="180"/>
      <c r="G91" s="180"/>
      <c r="H91" s="180"/>
      <c r="I91" s="180"/>
      <c r="J91" s="180"/>
      <c r="K91" s="180"/>
      <c r="L91" s="180"/>
    </row>
    <row r="92" spans="2:12">
      <c r="B92" s="180"/>
      <c r="C92" s="180"/>
      <c r="D92" s="180"/>
      <c r="E92" s="180"/>
      <c r="F92" s="180"/>
      <c r="G92" s="180"/>
      <c r="H92" s="180"/>
      <c r="I92" s="180"/>
      <c r="J92" s="180"/>
      <c r="K92" s="180"/>
      <c r="L92" s="180"/>
    </row>
    <row r="93" spans="2:12">
      <c r="B93" s="180"/>
      <c r="C93" s="180"/>
      <c r="D93" s="180"/>
      <c r="E93" s="180"/>
      <c r="F93" s="180"/>
      <c r="G93" s="180"/>
      <c r="H93" s="180"/>
      <c r="I93" s="180"/>
      <c r="J93" s="180"/>
      <c r="K93" s="180"/>
      <c r="L93" s="180"/>
    </row>
    <row r="94" spans="2:12">
      <c r="B94" s="180"/>
      <c r="C94" s="180"/>
      <c r="D94" s="180"/>
      <c r="E94" s="180"/>
      <c r="F94" s="180"/>
      <c r="G94" s="180"/>
      <c r="H94" s="180"/>
      <c r="I94" s="180"/>
      <c r="J94" s="180"/>
      <c r="K94" s="180"/>
      <c r="L94" s="180"/>
    </row>
    <row r="95" spans="2:12">
      <c r="B95" s="180"/>
      <c r="C95" s="180"/>
      <c r="D95" s="180"/>
      <c r="E95" s="180"/>
      <c r="F95" s="180"/>
      <c r="G95" s="180"/>
      <c r="H95" s="180"/>
      <c r="I95" s="180"/>
      <c r="J95" s="180"/>
      <c r="K95" s="180"/>
      <c r="L95" s="180"/>
    </row>
    <row r="96" spans="2:12">
      <c r="B96" s="180"/>
      <c r="C96" s="180"/>
      <c r="D96" s="180"/>
      <c r="E96" s="180"/>
      <c r="F96" s="180"/>
      <c r="G96" s="180"/>
      <c r="H96" s="180"/>
      <c r="I96" s="180"/>
      <c r="J96" s="180"/>
      <c r="K96" s="180"/>
      <c r="L96" s="180"/>
    </row>
    <row r="97" spans="2:12">
      <c r="B97" s="180"/>
      <c r="C97" s="180"/>
      <c r="D97" s="180"/>
      <c r="E97" s="180"/>
      <c r="F97" s="180"/>
      <c r="G97" s="180"/>
      <c r="H97" s="180"/>
      <c r="I97" s="180"/>
      <c r="J97" s="180"/>
      <c r="K97" s="180"/>
      <c r="L97" s="180"/>
    </row>
    <row r="98" spans="2:12">
      <c r="B98" s="180"/>
      <c r="C98" s="180"/>
      <c r="D98" s="180"/>
      <c r="E98" s="180"/>
      <c r="F98" s="180"/>
      <c r="G98" s="180"/>
      <c r="H98" s="180"/>
      <c r="I98" s="180"/>
      <c r="J98" s="180"/>
      <c r="K98" s="180"/>
      <c r="L98" s="180"/>
    </row>
    <row r="99" spans="2:12">
      <c r="B99" s="180"/>
      <c r="C99" s="180"/>
      <c r="D99" s="180"/>
      <c r="E99" s="180"/>
      <c r="F99" s="180"/>
      <c r="G99" s="180"/>
      <c r="H99" s="180"/>
      <c r="I99" s="180"/>
      <c r="J99" s="180"/>
      <c r="K99" s="180"/>
      <c r="L99" s="180"/>
    </row>
    <row r="100" spans="2:12">
      <c r="B100" s="180"/>
      <c r="C100" s="180"/>
      <c r="D100" s="180"/>
      <c r="E100" s="180"/>
      <c r="F100" s="180"/>
      <c r="G100" s="180"/>
      <c r="H100" s="180"/>
      <c r="I100" s="180"/>
      <c r="J100" s="180"/>
      <c r="K100" s="180"/>
      <c r="L100" s="180"/>
    </row>
    <row r="101" spans="2:12">
      <c r="B101" s="180"/>
      <c r="C101" s="180"/>
      <c r="D101" s="180"/>
      <c r="E101" s="180"/>
      <c r="F101" s="180"/>
      <c r="G101" s="180"/>
      <c r="H101" s="180"/>
      <c r="I101" s="180"/>
      <c r="J101" s="180"/>
      <c r="K101" s="180"/>
      <c r="L101" s="180"/>
    </row>
    <row r="102" spans="2:12">
      <c r="B102" s="180"/>
      <c r="C102" s="180"/>
      <c r="D102" s="180"/>
      <c r="E102" s="180"/>
      <c r="F102" s="180"/>
      <c r="G102" s="180"/>
      <c r="H102" s="180"/>
      <c r="I102" s="180"/>
      <c r="J102" s="180"/>
      <c r="K102" s="180"/>
      <c r="L102" s="180"/>
    </row>
    <row r="103" spans="2:12">
      <c r="B103" s="180"/>
      <c r="C103" s="180"/>
      <c r="D103" s="180"/>
      <c r="E103" s="180"/>
      <c r="F103" s="180"/>
      <c r="G103" s="180"/>
      <c r="H103" s="180"/>
      <c r="I103" s="180"/>
      <c r="J103" s="180"/>
      <c r="K103" s="180"/>
      <c r="L103" s="180"/>
    </row>
    <row r="104" spans="2:12">
      <c r="B104" s="180"/>
      <c r="C104" s="180"/>
      <c r="D104" s="180"/>
      <c r="E104" s="180"/>
      <c r="F104" s="180"/>
      <c r="G104" s="180"/>
      <c r="H104" s="180"/>
      <c r="I104" s="180"/>
      <c r="J104" s="180"/>
      <c r="K104" s="180"/>
      <c r="L104" s="180"/>
    </row>
    <row r="105" spans="2:12">
      <c r="B105" s="180"/>
      <c r="C105" s="180"/>
      <c r="D105" s="180"/>
      <c r="E105" s="180"/>
      <c r="F105" s="180"/>
      <c r="G105" s="180"/>
      <c r="H105" s="180"/>
      <c r="I105" s="180"/>
      <c r="J105" s="180"/>
      <c r="K105" s="180"/>
      <c r="L105" s="180"/>
    </row>
    <row r="106" spans="2:12">
      <c r="B106" s="180"/>
      <c r="C106" s="180"/>
      <c r="D106" s="180"/>
      <c r="E106" s="180"/>
      <c r="F106" s="180"/>
      <c r="G106" s="180"/>
      <c r="H106" s="180"/>
      <c r="I106" s="180"/>
      <c r="J106" s="180"/>
      <c r="K106" s="180"/>
      <c r="L106" s="180"/>
    </row>
    <row r="107" spans="2:12">
      <c r="B107" s="180"/>
      <c r="C107" s="180"/>
      <c r="D107" s="180"/>
      <c r="E107" s="180"/>
      <c r="F107" s="180"/>
      <c r="G107" s="180"/>
      <c r="H107" s="180"/>
      <c r="I107" s="180"/>
      <c r="J107" s="180"/>
      <c r="K107" s="180"/>
      <c r="L107" s="180"/>
    </row>
    <row r="108" spans="2:12">
      <c r="B108" s="180"/>
      <c r="C108" s="180"/>
      <c r="D108" s="180"/>
      <c r="E108" s="180"/>
      <c r="F108" s="180"/>
      <c r="G108" s="180"/>
      <c r="H108" s="180"/>
      <c r="I108" s="180"/>
      <c r="J108" s="180"/>
      <c r="K108" s="180"/>
      <c r="L108" s="180"/>
    </row>
    <row r="109" spans="2:12">
      <c r="B109" s="180"/>
      <c r="C109" s="180"/>
      <c r="D109" s="180"/>
      <c r="E109" s="180"/>
      <c r="F109" s="180"/>
      <c r="G109" s="180"/>
      <c r="H109" s="180"/>
      <c r="I109" s="180"/>
      <c r="J109" s="180"/>
      <c r="K109" s="180"/>
      <c r="L109" s="180"/>
    </row>
    <row r="110" spans="2:12">
      <c r="B110" s="180"/>
      <c r="C110" s="180"/>
      <c r="D110" s="180"/>
      <c r="E110" s="180"/>
      <c r="F110" s="180"/>
      <c r="G110" s="180"/>
      <c r="H110" s="180"/>
      <c r="I110" s="180"/>
      <c r="J110" s="180"/>
      <c r="K110" s="180"/>
      <c r="L110" s="180"/>
    </row>
    <row r="111" spans="2:12">
      <c r="B111" s="180"/>
      <c r="C111" s="180"/>
      <c r="D111" s="180"/>
      <c r="E111" s="180"/>
      <c r="F111" s="180"/>
      <c r="G111" s="180"/>
      <c r="H111" s="180"/>
      <c r="I111" s="180"/>
      <c r="J111" s="180"/>
      <c r="K111" s="180"/>
      <c r="L111" s="180"/>
    </row>
    <row r="112" spans="2:12">
      <c r="B112" s="180"/>
      <c r="C112" s="180"/>
      <c r="D112" s="180"/>
      <c r="E112" s="180"/>
      <c r="F112" s="180"/>
      <c r="G112" s="180"/>
      <c r="H112" s="180"/>
      <c r="I112" s="180"/>
      <c r="J112" s="180"/>
      <c r="K112" s="180"/>
      <c r="L112" s="180"/>
    </row>
    <row r="113" spans="2:12">
      <c r="B113" s="180"/>
      <c r="C113" s="180"/>
      <c r="D113" s="180"/>
      <c r="E113" s="180"/>
      <c r="F113" s="180"/>
      <c r="G113" s="180"/>
      <c r="H113" s="180"/>
      <c r="I113" s="180"/>
      <c r="J113" s="180"/>
      <c r="K113" s="180"/>
      <c r="L113" s="180"/>
    </row>
    <row r="114" spans="2:12">
      <c r="B114" s="180"/>
      <c r="C114" s="180"/>
      <c r="D114" s="180"/>
      <c r="E114" s="180"/>
      <c r="F114" s="180"/>
      <c r="G114" s="180"/>
      <c r="H114" s="180"/>
      <c r="I114" s="180"/>
      <c r="J114" s="180"/>
      <c r="K114" s="180"/>
      <c r="L114" s="180"/>
    </row>
    <row r="115" spans="2:12">
      <c r="B115" s="180"/>
      <c r="C115" s="180"/>
      <c r="D115" s="180"/>
      <c r="E115" s="180"/>
      <c r="F115" s="180"/>
      <c r="G115" s="180"/>
      <c r="H115" s="180"/>
      <c r="I115" s="180"/>
      <c r="J115" s="180"/>
      <c r="K115" s="180"/>
      <c r="L115" s="180"/>
    </row>
    <row r="116" spans="2:12">
      <c r="B116" s="180"/>
      <c r="C116" s="180"/>
      <c r="D116" s="180"/>
      <c r="E116" s="180"/>
      <c r="F116" s="180"/>
      <c r="G116" s="180"/>
      <c r="H116" s="180"/>
      <c r="I116" s="180"/>
      <c r="J116" s="180"/>
      <c r="K116" s="180"/>
      <c r="L116" s="180"/>
    </row>
    <row r="117" spans="2:12">
      <c r="B117" s="180"/>
      <c r="C117" s="180"/>
      <c r="D117" s="180"/>
      <c r="E117" s="180"/>
      <c r="F117" s="180"/>
      <c r="G117" s="180"/>
      <c r="H117" s="180"/>
      <c r="I117" s="180"/>
      <c r="J117" s="180"/>
      <c r="K117" s="180"/>
      <c r="L117" s="180"/>
    </row>
    <row r="118" spans="2:12">
      <c r="B118" s="180"/>
      <c r="C118" s="180"/>
      <c r="D118" s="180"/>
      <c r="E118" s="180"/>
      <c r="F118" s="180"/>
      <c r="G118" s="180"/>
      <c r="H118" s="180"/>
      <c r="I118" s="180"/>
      <c r="J118" s="180"/>
      <c r="K118" s="180"/>
      <c r="L118" s="180"/>
    </row>
    <row r="119" spans="2:12">
      <c r="B119" s="180"/>
      <c r="C119" s="180"/>
      <c r="D119" s="180"/>
      <c r="E119" s="180"/>
      <c r="F119" s="180"/>
      <c r="G119" s="180"/>
      <c r="H119" s="180"/>
      <c r="I119" s="180"/>
      <c r="J119" s="180"/>
      <c r="K119" s="180"/>
      <c r="L119" s="180"/>
    </row>
    <row r="120" spans="2:12">
      <c r="B120" s="180"/>
      <c r="C120" s="180"/>
      <c r="D120" s="180"/>
      <c r="E120" s="180"/>
      <c r="F120" s="180"/>
      <c r="G120" s="180"/>
      <c r="H120" s="180"/>
      <c r="I120" s="180"/>
      <c r="J120" s="180"/>
      <c r="K120" s="180"/>
      <c r="L120" s="180"/>
    </row>
    <row r="121" spans="2:12">
      <c r="B121" s="180"/>
      <c r="C121" s="180"/>
      <c r="D121" s="180"/>
      <c r="E121" s="180"/>
      <c r="F121" s="180"/>
      <c r="G121" s="180"/>
      <c r="H121" s="180"/>
      <c r="I121" s="180"/>
      <c r="J121" s="180"/>
      <c r="K121" s="180"/>
      <c r="L121" s="180"/>
    </row>
    <row r="122" spans="2:12">
      <c r="B122" s="180"/>
      <c r="C122" s="180"/>
      <c r="D122" s="180"/>
      <c r="E122" s="180"/>
      <c r="F122" s="180"/>
      <c r="G122" s="180"/>
      <c r="H122" s="180"/>
      <c r="I122" s="180"/>
      <c r="J122" s="180"/>
      <c r="K122" s="180"/>
      <c r="L122" s="180"/>
    </row>
    <row r="123" spans="2:12">
      <c r="B123" s="180"/>
      <c r="C123" s="180"/>
      <c r="D123" s="180"/>
      <c r="E123" s="180"/>
      <c r="F123" s="180"/>
      <c r="G123" s="180"/>
      <c r="H123" s="180"/>
      <c r="I123" s="180"/>
      <c r="J123" s="180"/>
      <c r="K123" s="180"/>
      <c r="L123" s="180"/>
    </row>
    <row r="124" spans="2:12">
      <c r="B124" s="180"/>
      <c r="C124" s="180"/>
      <c r="D124" s="180"/>
      <c r="E124" s="180"/>
      <c r="F124" s="180"/>
      <c r="G124" s="180"/>
      <c r="H124" s="180"/>
      <c r="I124" s="180"/>
      <c r="J124" s="180"/>
      <c r="K124" s="180"/>
      <c r="L124" s="180"/>
    </row>
    <row r="125" spans="2:12">
      <c r="B125" s="180"/>
      <c r="C125" s="180"/>
      <c r="D125" s="180"/>
      <c r="E125" s="180"/>
      <c r="F125" s="180"/>
      <c r="G125" s="180"/>
      <c r="H125" s="180"/>
      <c r="I125" s="180"/>
      <c r="J125" s="180"/>
      <c r="K125" s="180"/>
      <c r="L125" s="180"/>
    </row>
    <row r="126" spans="2:12">
      <c r="B126" s="180"/>
      <c r="C126" s="180"/>
      <c r="D126" s="180"/>
      <c r="E126" s="180"/>
      <c r="F126" s="180"/>
      <c r="G126" s="180"/>
      <c r="H126" s="180"/>
      <c r="I126" s="180"/>
      <c r="J126" s="180"/>
      <c r="K126" s="180"/>
      <c r="L126" s="180"/>
    </row>
    <row r="127" spans="2:12">
      <c r="B127" s="180"/>
      <c r="C127" s="180"/>
      <c r="D127" s="180"/>
      <c r="E127" s="180"/>
      <c r="F127" s="180"/>
      <c r="G127" s="180"/>
      <c r="H127" s="180"/>
      <c r="I127" s="180"/>
      <c r="J127" s="180"/>
      <c r="K127" s="180"/>
      <c r="L127" s="180"/>
    </row>
    <row r="128" spans="2:12">
      <c r="B128" s="180"/>
      <c r="C128" s="180"/>
      <c r="D128" s="180"/>
      <c r="E128" s="180"/>
      <c r="F128" s="180"/>
      <c r="G128" s="180"/>
      <c r="H128" s="180"/>
      <c r="I128" s="180"/>
      <c r="J128" s="180"/>
      <c r="K128" s="180"/>
      <c r="L128" s="180"/>
    </row>
    <row r="129" spans="2:12">
      <c r="B129" s="180"/>
      <c r="C129" s="180"/>
      <c r="D129" s="180"/>
      <c r="E129" s="180"/>
      <c r="F129" s="180"/>
      <c r="G129" s="180"/>
      <c r="H129" s="180"/>
      <c r="I129" s="180"/>
      <c r="J129" s="180"/>
      <c r="K129" s="180"/>
      <c r="L129" s="180"/>
    </row>
    <row r="130" spans="2:12">
      <c r="B130" s="180"/>
      <c r="C130" s="180"/>
      <c r="D130" s="180"/>
      <c r="E130" s="180"/>
      <c r="F130" s="180"/>
      <c r="G130" s="180"/>
      <c r="H130" s="180"/>
      <c r="I130" s="180"/>
      <c r="J130" s="180"/>
      <c r="K130" s="180"/>
      <c r="L130" s="180"/>
    </row>
    <row r="131" spans="2:12">
      <c r="B131" s="180"/>
      <c r="C131" s="180"/>
      <c r="D131" s="180"/>
      <c r="E131" s="180"/>
      <c r="F131" s="180"/>
      <c r="G131" s="180"/>
      <c r="H131" s="180"/>
      <c r="I131" s="180"/>
      <c r="J131" s="180"/>
      <c r="K131" s="180"/>
      <c r="L131" s="180"/>
    </row>
    <row r="132" spans="2:12">
      <c r="B132" s="180"/>
      <c r="C132" s="180"/>
      <c r="D132" s="180"/>
      <c r="E132" s="180"/>
      <c r="F132" s="180"/>
      <c r="G132" s="180"/>
      <c r="H132" s="180"/>
      <c r="I132" s="180"/>
      <c r="J132" s="180"/>
      <c r="K132" s="180"/>
      <c r="L132" s="180"/>
    </row>
    <row r="133" spans="2:12">
      <c r="B133" s="180"/>
      <c r="C133" s="180"/>
      <c r="D133" s="180"/>
      <c r="E133" s="180"/>
      <c r="F133" s="180"/>
      <c r="G133" s="180"/>
      <c r="H133" s="180"/>
      <c r="I133" s="180"/>
      <c r="J133" s="180"/>
      <c r="K133" s="180"/>
      <c r="L133" s="180"/>
    </row>
    <row r="134" spans="2:12">
      <c r="B134" s="180"/>
      <c r="C134" s="180"/>
      <c r="D134" s="180"/>
      <c r="E134" s="180"/>
      <c r="F134" s="180"/>
      <c r="G134" s="180"/>
      <c r="H134" s="180"/>
      <c r="I134" s="180"/>
      <c r="J134" s="180"/>
      <c r="K134" s="180"/>
      <c r="L134" s="180"/>
    </row>
    <row r="135" spans="2:12">
      <c r="B135" s="180"/>
      <c r="C135" s="180"/>
      <c r="D135" s="180"/>
      <c r="E135" s="180"/>
      <c r="F135" s="180"/>
      <c r="G135" s="180"/>
      <c r="H135" s="180"/>
      <c r="I135" s="180"/>
      <c r="J135" s="180"/>
      <c r="K135" s="180"/>
      <c r="L135" s="180"/>
    </row>
    <row r="136" spans="2:12">
      <c r="B136" s="180"/>
      <c r="C136" s="180"/>
      <c r="D136" s="180"/>
      <c r="E136" s="180"/>
      <c r="F136" s="180"/>
      <c r="G136" s="180"/>
      <c r="H136" s="180"/>
      <c r="I136" s="180"/>
      <c r="J136" s="180"/>
      <c r="K136" s="180"/>
      <c r="L136" s="180"/>
    </row>
    <row r="137" spans="2:12">
      <c r="B137" s="180"/>
      <c r="C137" s="180"/>
      <c r="D137" s="180"/>
      <c r="E137" s="180"/>
      <c r="F137" s="180"/>
      <c r="G137" s="180"/>
      <c r="H137" s="180"/>
      <c r="I137" s="180"/>
      <c r="J137" s="180"/>
      <c r="K137" s="180"/>
      <c r="L137" s="180"/>
    </row>
    <row r="138" spans="2:12">
      <c r="B138" s="180"/>
      <c r="C138" s="180"/>
      <c r="D138" s="180"/>
      <c r="E138" s="180"/>
      <c r="F138" s="180"/>
      <c r="G138" s="180"/>
      <c r="H138" s="180"/>
      <c r="I138" s="180"/>
      <c r="J138" s="180"/>
      <c r="K138" s="180"/>
      <c r="L138" s="180"/>
    </row>
    <row r="139" spans="2:12">
      <c r="B139" s="180"/>
      <c r="C139" s="180"/>
      <c r="D139" s="180"/>
      <c r="E139" s="180"/>
      <c r="F139" s="180"/>
      <c r="G139" s="180"/>
      <c r="H139" s="180"/>
      <c r="I139" s="180"/>
      <c r="J139" s="180"/>
      <c r="K139" s="180"/>
      <c r="L139" s="180"/>
    </row>
    <row r="140" spans="2:12">
      <c r="B140" s="180"/>
      <c r="C140" s="180"/>
      <c r="D140" s="180"/>
      <c r="E140" s="180"/>
      <c r="F140" s="180"/>
      <c r="G140" s="180"/>
      <c r="H140" s="180"/>
      <c r="I140" s="180"/>
      <c r="J140" s="180"/>
      <c r="K140" s="180"/>
      <c r="L140" s="180"/>
    </row>
    <row r="141" spans="2:12">
      <c r="B141" s="180"/>
      <c r="C141" s="180"/>
      <c r="D141" s="180"/>
      <c r="E141" s="180"/>
      <c r="F141" s="180"/>
      <c r="G141" s="180"/>
      <c r="H141" s="180"/>
      <c r="I141" s="180"/>
      <c r="J141" s="180"/>
      <c r="K141" s="180"/>
      <c r="L141" s="180"/>
    </row>
    <row r="142" spans="2:12">
      <c r="B142" s="180"/>
      <c r="C142" s="180"/>
      <c r="D142" s="180"/>
      <c r="E142" s="180"/>
      <c r="F142" s="180"/>
      <c r="G142" s="180"/>
      <c r="H142" s="180"/>
      <c r="I142" s="180"/>
      <c r="J142" s="180"/>
      <c r="K142" s="180"/>
      <c r="L142" s="180"/>
    </row>
    <row r="143" spans="2:12">
      <c r="B143" s="180"/>
      <c r="C143" s="180"/>
      <c r="D143" s="180"/>
      <c r="E143" s="180"/>
      <c r="F143" s="180"/>
      <c r="G143" s="180"/>
      <c r="H143" s="180"/>
      <c r="I143" s="180"/>
      <c r="J143" s="180"/>
      <c r="K143" s="180"/>
      <c r="L143" s="180"/>
    </row>
    <row r="144" spans="2:12">
      <c r="B144" s="180"/>
      <c r="C144" s="180"/>
      <c r="D144" s="180"/>
      <c r="E144" s="180"/>
      <c r="F144" s="180"/>
      <c r="G144" s="180"/>
      <c r="H144" s="180"/>
      <c r="I144" s="180"/>
      <c r="J144" s="180"/>
      <c r="K144" s="180"/>
      <c r="L144" s="180"/>
    </row>
    <row r="145" spans="2:12">
      <c r="B145" s="180"/>
      <c r="C145" s="180"/>
      <c r="D145" s="180"/>
      <c r="E145" s="180"/>
      <c r="F145" s="180"/>
      <c r="G145" s="180"/>
      <c r="H145" s="180"/>
      <c r="I145" s="180"/>
      <c r="J145" s="180"/>
      <c r="K145" s="180"/>
      <c r="L145" s="180"/>
    </row>
    <row r="146" spans="2:12">
      <c r="B146" s="180"/>
      <c r="C146" s="180"/>
      <c r="D146" s="180"/>
      <c r="E146" s="180"/>
      <c r="F146" s="180"/>
      <c r="G146" s="180"/>
      <c r="H146" s="180"/>
      <c r="I146" s="180"/>
      <c r="J146" s="180"/>
      <c r="K146" s="180"/>
      <c r="L146" s="180"/>
    </row>
    <row r="147" spans="2:12">
      <c r="B147" s="180"/>
      <c r="C147" s="180"/>
      <c r="D147" s="180"/>
      <c r="E147" s="180"/>
      <c r="F147" s="180"/>
      <c r="G147" s="180"/>
      <c r="H147" s="180"/>
      <c r="I147" s="180"/>
      <c r="J147" s="180"/>
      <c r="K147" s="180"/>
      <c r="L147" s="180"/>
    </row>
    <row r="148" spans="2:12">
      <c r="B148" s="180"/>
      <c r="C148" s="180"/>
      <c r="D148" s="180"/>
      <c r="E148" s="180"/>
      <c r="F148" s="180"/>
      <c r="G148" s="180"/>
      <c r="H148" s="180"/>
      <c r="I148" s="180"/>
      <c r="J148" s="180"/>
      <c r="K148" s="180"/>
      <c r="L148" s="180"/>
    </row>
    <row r="149" spans="2:12">
      <c r="B149" s="180"/>
      <c r="C149" s="180"/>
      <c r="D149" s="180"/>
      <c r="E149" s="180"/>
      <c r="F149" s="180"/>
      <c r="G149" s="180"/>
      <c r="H149" s="180"/>
      <c r="I149" s="180"/>
      <c r="J149" s="180"/>
      <c r="K149" s="180"/>
      <c r="L149" s="180"/>
    </row>
    <row r="150" spans="2:12">
      <c r="B150" s="180"/>
      <c r="C150" s="180"/>
      <c r="D150" s="180"/>
      <c r="E150" s="180"/>
      <c r="F150" s="180"/>
      <c r="G150" s="180"/>
      <c r="H150" s="180"/>
      <c r="I150" s="180"/>
      <c r="J150" s="180"/>
      <c r="K150" s="180"/>
      <c r="L150" s="180"/>
    </row>
    <row r="151" spans="2:12">
      <c r="B151" s="180"/>
      <c r="C151" s="180"/>
      <c r="D151" s="180"/>
      <c r="E151" s="180"/>
      <c r="F151" s="180"/>
      <c r="G151" s="180"/>
      <c r="H151" s="180"/>
      <c r="I151" s="180"/>
      <c r="J151" s="180"/>
      <c r="K151" s="180"/>
      <c r="L151" s="180"/>
    </row>
    <row r="152" spans="2:12">
      <c r="B152" s="180"/>
      <c r="C152" s="180"/>
      <c r="D152" s="180"/>
      <c r="E152" s="180"/>
      <c r="F152" s="180"/>
      <c r="G152" s="180"/>
      <c r="H152" s="180"/>
      <c r="I152" s="180"/>
      <c r="J152" s="180"/>
      <c r="K152" s="180"/>
      <c r="L152" s="180"/>
    </row>
    <row r="153" spans="2:12">
      <c r="B153" s="180"/>
      <c r="C153" s="180"/>
      <c r="D153" s="180"/>
      <c r="E153" s="180"/>
      <c r="F153" s="180"/>
      <c r="G153" s="180"/>
      <c r="H153" s="180"/>
      <c r="I153" s="180"/>
      <c r="J153" s="180"/>
      <c r="K153" s="180"/>
      <c r="L153" s="180"/>
    </row>
    <row r="154" spans="2:12">
      <c r="B154" s="180"/>
      <c r="C154" s="180"/>
      <c r="D154" s="180"/>
      <c r="E154" s="180"/>
      <c r="F154" s="180"/>
      <c r="G154" s="180"/>
      <c r="H154" s="180"/>
      <c r="I154" s="180"/>
      <c r="J154" s="180"/>
      <c r="K154" s="180"/>
      <c r="L154" s="180"/>
    </row>
    <row r="155" spans="2:12">
      <c r="B155" s="180"/>
      <c r="C155" s="180"/>
      <c r="D155" s="180"/>
      <c r="E155" s="180"/>
      <c r="F155" s="180"/>
      <c r="G155" s="180"/>
      <c r="H155" s="180"/>
      <c r="I155" s="180"/>
      <c r="J155" s="180"/>
      <c r="K155" s="180"/>
      <c r="L155" s="180"/>
    </row>
    <row r="156" spans="2:12">
      <c r="B156" s="180"/>
      <c r="C156" s="180"/>
      <c r="D156" s="180"/>
      <c r="E156" s="180"/>
      <c r="F156" s="180"/>
      <c r="G156" s="180"/>
      <c r="H156" s="180"/>
      <c r="I156" s="180"/>
      <c r="J156" s="180"/>
      <c r="K156" s="180"/>
      <c r="L156" s="180"/>
    </row>
    <row r="157" spans="2:12">
      <c r="B157" s="180"/>
      <c r="C157" s="180"/>
      <c r="D157" s="180"/>
      <c r="E157" s="180"/>
      <c r="F157" s="180"/>
      <c r="G157" s="180"/>
      <c r="H157" s="180"/>
      <c r="I157" s="180"/>
      <c r="J157" s="180"/>
      <c r="K157" s="180"/>
      <c r="L157" s="180"/>
    </row>
    <row r="158" spans="2:12">
      <c r="B158" s="180"/>
      <c r="C158" s="180"/>
      <c r="D158" s="180"/>
      <c r="E158" s="180"/>
      <c r="F158" s="180"/>
      <c r="G158" s="180"/>
      <c r="H158" s="180"/>
      <c r="I158" s="180"/>
      <c r="J158" s="180"/>
      <c r="K158" s="180"/>
      <c r="L158" s="180"/>
    </row>
    <row r="159" spans="2:12">
      <c r="B159" s="180"/>
      <c r="C159" s="180"/>
      <c r="D159" s="180"/>
      <c r="E159" s="180"/>
      <c r="F159" s="180"/>
      <c r="G159" s="180"/>
      <c r="H159" s="180"/>
      <c r="I159" s="180"/>
      <c r="J159" s="180"/>
      <c r="K159" s="180"/>
      <c r="L159" s="180"/>
    </row>
    <row r="160" spans="2:12">
      <c r="B160" s="180"/>
      <c r="C160" s="180"/>
      <c r="D160" s="180"/>
      <c r="E160" s="180"/>
      <c r="F160" s="180"/>
      <c r="G160" s="180"/>
      <c r="H160" s="180"/>
      <c r="I160" s="180"/>
      <c r="J160" s="180"/>
      <c r="K160" s="180"/>
      <c r="L160" s="180"/>
    </row>
    <row r="161" spans="2:12">
      <c r="B161" s="180"/>
      <c r="C161" s="180"/>
      <c r="D161" s="180"/>
      <c r="E161" s="180"/>
      <c r="F161" s="180"/>
      <c r="G161" s="180"/>
      <c r="H161" s="180"/>
      <c r="I161" s="180"/>
      <c r="J161" s="180"/>
      <c r="K161" s="180"/>
      <c r="L161" s="180"/>
    </row>
    <row r="162" spans="2:12">
      <c r="B162" s="180"/>
      <c r="C162" s="180"/>
      <c r="D162" s="180"/>
      <c r="E162" s="180"/>
      <c r="F162" s="180"/>
      <c r="G162" s="180"/>
      <c r="H162" s="180"/>
      <c r="I162" s="180"/>
      <c r="J162" s="180"/>
      <c r="K162" s="180"/>
      <c r="L162" s="180"/>
    </row>
    <row r="163" spans="2:12">
      <c r="B163" s="180"/>
      <c r="C163" s="180"/>
      <c r="D163" s="180"/>
      <c r="E163" s="180"/>
      <c r="F163" s="180"/>
      <c r="G163" s="180"/>
      <c r="H163" s="180"/>
      <c r="I163" s="180"/>
      <c r="J163" s="180"/>
      <c r="K163" s="180"/>
      <c r="L163" s="180"/>
    </row>
    <row r="164" spans="2:12">
      <c r="B164" s="180"/>
      <c r="C164" s="180"/>
      <c r="D164" s="180"/>
      <c r="E164" s="180"/>
      <c r="F164" s="180"/>
      <c r="G164" s="180"/>
      <c r="H164" s="180"/>
      <c r="I164" s="180"/>
      <c r="J164" s="180"/>
      <c r="K164" s="180"/>
      <c r="L164" s="180"/>
    </row>
    <row r="165" spans="2:12">
      <c r="B165" s="180"/>
      <c r="C165" s="180"/>
      <c r="D165" s="180"/>
      <c r="E165" s="180"/>
      <c r="F165" s="180"/>
      <c r="G165" s="180"/>
      <c r="H165" s="180"/>
      <c r="I165" s="180"/>
      <c r="J165" s="180"/>
      <c r="K165" s="180"/>
      <c r="L165" s="180"/>
    </row>
    <row r="166" spans="2:12">
      <c r="B166" s="180"/>
      <c r="C166" s="180"/>
      <c r="D166" s="180"/>
      <c r="E166" s="180"/>
      <c r="F166" s="180"/>
      <c r="G166" s="180"/>
      <c r="H166" s="180"/>
      <c r="I166" s="180"/>
      <c r="J166" s="180"/>
      <c r="K166" s="180"/>
      <c r="L166" s="180"/>
    </row>
    <row r="167" spans="2:12">
      <c r="B167" s="180"/>
      <c r="C167" s="180"/>
      <c r="D167" s="180"/>
      <c r="E167" s="180"/>
      <c r="F167" s="180"/>
      <c r="G167" s="180"/>
      <c r="H167" s="180"/>
      <c r="I167" s="180"/>
      <c r="J167" s="180"/>
      <c r="K167" s="180"/>
      <c r="L167" s="180"/>
    </row>
    <row r="168" spans="2:12">
      <c r="B168" s="180"/>
      <c r="C168" s="180"/>
      <c r="D168" s="180"/>
      <c r="E168" s="180"/>
      <c r="F168" s="180"/>
      <c r="G168" s="180"/>
      <c r="H168" s="180"/>
      <c r="I168" s="180"/>
      <c r="J168" s="180"/>
      <c r="K168" s="180"/>
      <c r="L168" s="180"/>
    </row>
    <row r="169" spans="2:12">
      <c r="B169" s="180"/>
      <c r="C169" s="180"/>
      <c r="D169" s="180"/>
      <c r="E169" s="180"/>
      <c r="F169" s="180"/>
      <c r="G169" s="180"/>
      <c r="H169" s="180"/>
      <c r="I169" s="180"/>
      <c r="J169" s="180"/>
      <c r="K169" s="180"/>
      <c r="L169" s="180"/>
    </row>
    <row r="170" spans="2:12">
      <c r="B170" s="180"/>
      <c r="C170" s="180"/>
      <c r="D170" s="180"/>
      <c r="E170" s="180"/>
      <c r="F170" s="180"/>
      <c r="G170" s="180"/>
      <c r="H170" s="180"/>
      <c r="I170" s="180"/>
      <c r="J170" s="180"/>
      <c r="K170" s="180"/>
      <c r="L170" s="180"/>
    </row>
    <row r="171" spans="2:12">
      <c r="B171" s="180"/>
      <c r="C171" s="180"/>
      <c r="D171" s="180"/>
      <c r="E171" s="180"/>
      <c r="F171" s="180"/>
      <c r="G171" s="180"/>
      <c r="H171" s="180"/>
      <c r="I171" s="180"/>
      <c r="J171" s="180"/>
      <c r="K171" s="180"/>
      <c r="L171" s="180"/>
    </row>
    <row r="172" spans="2:12">
      <c r="B172" s="180"/>
      <c r="C172" s="180"/>
      <c r="D172" s="180"/>
      <c r="E172" s="180"/>
      <c r="F172" s="180"/>
      <c r="G172" s="180"/>
      <c r="H172" s="180"/>
      <c r="I172" s="180"/>
      <c r="J172" s="180"/>
      <c r="K172" s="180"/>
      <c r="L172" s="180"/>
    </row>
    <row r="173" spans="2:12">
      <c r="B173" s="180"/>
      <c r="C173" s="180"/>
      <c r="D173" s="180"/>
      <c r="E173" s="180"/>
      <c r="F173" s="180"/>
      <c r="G173" s="180"/>
      <c r="H173" s="180"/>
      <c r="I173" s="180"/>
      <c r="J173" s="180"/>
      <c r="K173" s="180"/>
      <c r="L173" s="180"/>
    </row>
    <row r="174" spans="2:12">
      <c r="B174" s="180"/>
      <c r="C174" s="180"/>
      <c r="D174" s="180"/>
      <c r="E174" s="180"/>
      <c r="F174" s="180"/>
      <c r="G174" s="180"/>
      <c r="H174" s="180"/>
      <c r="I174" s="180"/>
      <c r="J174" s="180"/>
      <c r="K174" s="180"/>
      <c r="L174" s="180"/>
    </row>
    <row r="175" spans="2:12">
      <c r="B175" s="180"/>
      <c r="C175" s="180"/>
      <c r="D175" s="180"/>
      <c r="E175" s="180"/>
      <c r="F175" s="180"/>
      <c r="G175" s="180"/>
      <c r="H175" s="180"/>
      <c r="I175" s="180"/>
      <c r="J175" s="180"/>
      <c r="K175" s="180"/>
      <c r="L175" s="180"/>
    </row>
    <row r="176" spans="2:12">
      <c r="B176" s="180"/>
      <c r="C176" s="180"/>
      <c r="D176" s="180"/>
      <c r="E176" s="180"/>
      <c r="F176" s="180"/>
      <c r="G176" s="180"/>
      <c r="H176" s="180"/>
      <c r="I176" s="180"/>
      <c r="J176" s="180"/>
      <c r="K176" s="180"/>
      <c r="L176" s="180"/>
    </row>
    <row r="177" spans="2:12">
      <c r="B177" s="180"/>
      <c r="C177" s="180"/>
      <c r="D177" s="180"/>
      <c r="E177" s="180"/>
      <c r="F177" s="180"/>
      <c r="G177" s="180"/>
      <c r="H177" s="180"/>
      <c r="I177" s="180"/>
      <c r="J177" s="180"/>
      <c r="K177" s="180"/>
      <c r="L177" s="180"/>
    </row>
    <row r="178" spans="2:12">
      <c r="B178" s="180"/>
      <c r="C178" s="180"/>
      <c r="D178" s="180"/>
      <c r="E178" s="180"/>
      <c r="F178" s="180"/>
      <c r="G178" s="180"/>
      <c r="H178" s="180"/>
      <c r="I178" s="180"/>
      <c r="J178" s="180"/>
      <c r="K178" s="180"/>
      <c r="L178" s="180"/>
    </row>
    <row r="179" spans="2:12">
      <c r="B179" s="180"/>
      <c r="C179" s="180"/>
      <c r="D179" s="180"/>
      <c r="E179" s="180"/>
      <c r="F179" s="180"/>
      <c r="G179" s="180"/>
      <c r="H179" s="180"/>
      <c r="I179" s="180"/>
      <c r="J179" s="180"/>
      <c r="K179" s="180"/>
      <c r="L179" s="180"/>
    </row>
    <row r="180" spans="2:12">
      <c r="B180" s="180"/>
      <c r="C180" s="180"/>
      <c r="D180" s="180"/>
      <c r="E180" s="180"/>
      <c r="F180" s="180"/>
      <c r="G180" s="180"/>
      <c r="H180" s="180"/>
      <c r="I180" s="180"/>
      <c r="J180" s="180"/>
      <c r="K180" s="180"/>
      <c r="L180" s="180"/>
    </row>
    <row r="181" spans="2:12">
      <c r="B181" s="180"/>
      <c r="C181" s="180"/>
      <c r="D181" s="180"/>
      <c r="E181" s="180"/>
      <c r="F181" s="180"/>
      <c r="G181" s="180"/>
      <c r="H181" s="180"/>
      <c r="I181" s="180"/>
      <c r="J181" s="180"/>
      <c r="K181" s="180"/>
      <c r="L181" s="180"/>
    </row>
    <row r="182" spans="2:12">
      <c r="B182" s="180"/>
      <c r="C182" s="180"/>
      <c r="D182" s="180"/>
      <c r="E182" s="180"/>
      <c r="F182" s="180"/>
      <c r="G182" s="180"/>
      <c r="H182" s="180"/>
      <c r="I182" s="180"/>
      <c r="J182" s="180"/>
      <c r="K182" s="180"/>
      <c r="L182" s="180"/>
    </row>
    <row r="183" spans="2:12">
      <c r="B183" s="180"/>
      <c r="C183" s="180"/>
      <c r="D183" s="180"/>
      <c r="E183" s="180"/>
      <c r="F183" s="180"/>
      <c r="G183" s="180"/>
      <c r="H183" s="180"/>
      <c r="I183" s="180"/>
      <c r="J183" s="180"/>
      <c r="K183" s="180"/>
      <c r="L183" s="180"/>
    </row>
    <row r="184" spans="2:12">
      <c r="B184" s="180"/>
      <c r="C184" s="180"/>
      <c r="D184" s="180"/>
      <c r="E184" s="180"/>
      <c r="F184" s="180"/>
      <c r="G184" s="180"/>
      <c r="H184" s="180"/>
      <c r="I184" s="180"/>
      <c r="J184" s="180"/>
      <c r="K184" s="180"/>
      <c r="L184" s="180"/>
    </row>
    <row r="185" spans="2:12">
      <c r="B185" s="180"/>
      <c r="C185" s="180"/>
      <c r="D185" s="180"/>
      <c r="E185" s="180"/>
      <c r="F185" s="180"/>
      <c r="G185" s="180"/>
      <c r="H185" s="180"/>
      <c r="I185" s="180"/>
      <c r="J185" s="180"/>
      <c r="K185" s="180"/>
      <c r="L185" s="180"/>
    </row>
    <row r="186" spans="2:12">
      <c r="B186" s="180"/>
      <c r="C186" s="180"/>
      <c r="D186" s="180"/>
      <c r="E186" s="180"/>
      <c r="F186" s="180"/>
      <c r="G186" s="180"/>
      <c r="H186" s="180"/>
      <c r="I186" s="180"/>
      <c r="J186" s="180"/>
      <c r="K186" s="180"/>
      <c r="L186" s="180"/>
    </row>
    <row r="187" spans="2:12">
      <c r="B187" s="180"/>
      <c r="C187" s="180"/>
      <c r="D187" s="180"/>
      <c r="E187" s="180"/>
      <c r="F187" s="180"/>
      <c r="G187" s="180"/>
      <c r="H187" s="180"/>
      <c r="I187" s="180"/>
      <c r="J187" s="180"/>
      <c r="K187" s="180"/>
      <c r="L187" s="180"/>
    </row>
    <row r="188" spans="2:12">
      <c r="B188" s="180"/>
      <c r="C188" s="180"/>
      <c r="D188" s="180"/>
      <c r="E188" s="180"/>
      <c r="F188" s="180"/>
      <c r="G188" s="180"/>
      <c r="H188" s="180"/>
      <c r="I188" s="180"/>
      <c r="J188" s="180"/>
      <c r="K188" s="180"/>
      <c r="L188" s="180"/>
    </row>
    <row r="189" spans="2:12">
      <c r="B189" s="180"/>
      <c r="C189" s="180"/>
      <c r="D189" s="180"/>
      <c r="E189" s="180"/>
      <c r="F189" s="180"/>
      <c r="G189" s="180"/>
      <c r="H189" s="180"/>
      <c r="I189" s="180"/>
      <c r="J189" s="180"/>
      <c r="K189" s="180"/>
      <c r="L189" s="180"/>
    </row>
    <row r="190" spans="2:12">
      <c r="B190" s="180"/>
      <c r="C190" s="180"/>
      <c r="D190" s="180"/>
      <c r="E190" s="180"/>
      <c r="F190" s="180"/>
      <c r="G190" s="180"/>
      <c r="H190" s="180"/>
      <c r="I190" s="180"/>
      <c r="J190" s="180"/>
      <c r="K190" s="180"/>
      <c r="L190" s="180"/>
    </row>
    <row r="191" spans="2:12">
      <c r="B191" s="180"/>
      <c r="C191" s="180"/>
      <c r="D191" s="180"/>
      <c r="E191" s="180"/>
      <c r="F191" s="180"/>
      <c r="G191" s="180"/>
      <c r="H191" s="180"/>
      <c r="I191" s="180"/>
      <c r="J191" s="180"/>
      <c r="K191" s="180"/>
      <c r="L191" s="180"/>
    </row>
    <row r="192" spans="2:12">
      <c r="B192" s="180"/>
      <c r="C192" s="180"/>
      <c r="D192" s="180"/>
      <c r="E192" s="180"/>
      <c r="F192" s="180"/>
      <c r="G192" s="180"/>
      <c r="H192" s="180"/>
      <c r="I192" s="180"/>
      <c r="J192" s="180"/>
      <c r="K192" s="180"/>
      <c r="L192" s="180"/>
    </row>
    <row r="193" spans="2:12">
      <c r="B193" s="180"/>
      <c r="C193" s="180"/>
      <c r="D193" s="180"/>
      <c r="E193" s="180"/>
      <c r="F193" s="180"/>
      <c r="G193" s="180"/>
      <c r="H193" s="180"/>
      <c r="I193" s="180"/>
      <c r="J193" s="180"/>
      <c r="K193" s="180"/>
      <c r="L193" s="180"/>
    </row>
    <row r="194" spans="2:12">
      <c r="B194" s="180"/>
      <c r="C194" s="180"/>
      <c r="D194" s="180"/>
      <c r="E194" s="180"/>
      <c r="F194" s="180"/>
      <c r="G194" s="180"/>
      <c r="H194" s="180"/>
      <c r="I194" s="180"/>
      <c r="J194" s="180"/>
      <c r="K194" s="180"/>
      <c r="L194" s="180"/>
    </row>
    <row r="195" spans="2:12">
      <c r="B195" s="180"/>
      <c r="C195" s="180"/>
      <c r="D195" s="180"/>
      <c r="E195" s="180"/>
      <c r="F195" s="180"/>
      <c r="G195" s="180"/>
      <c r="H195" s="180"/>
      <c r="I195" s="180"/>
      <c r="J195" s="180"/>
      <c r="K195" s="180"/>
      <c r="L195" s="180"/>
    </row>
    <row r="196" spans="2:12">
      <c r="B196" s="180"/>
      <c r="C196" s="180"/>
      <c r="D196" s="180"/>
      <c r="E196" s="180"/>
      <c r="F196" s="180"/>
      <c r="G196" s="180"/>
      <c r="H196" s="180"/>
      <c r="I196" s="180"/>
      <c r="J196" s="180"/>
      <c r="K196" s="180"/>
      <c r="L196" s="180"/>
    </row>
    <row r="197" spans="2:12">
      <c r="B197" s="180"/>
      <c r="C197" s="180"/>
      <c r="D197" s="180"/>
      <c r="E197" s="180"/>
      <c r="F197" s="180"/>
      <c r="G197" s="180"/>
      <c r="H197" s="180"/>
      <c r="I197" s="180"/>
      <c r="J197" s="180"/>
      <c r="K197" s="180"/>
      <c r="L197" s="180"/>
    </row>
    <row r="198" spans="2:12">
      <c r="B198" s="180"/>
      <c r="C198" s="180"/>
      <c r="D198" s="180"/>
      <c r="E198" s="180"/>
      <c r="F198" s="180"/>
      <c r="G198" s="180"/>
      <c r="H198" s="180"/>
      <c r="I198" s="180"/>
      <c r="J198" s="180"/>
      <c r="K198" s="180"/>
      <c r="L198" s="180"/>
    </row>
    <row r="199" spans="2:12">
      <c r="B199" s="180"/>
      <c r="C199" s="180"/>
      <c r="D199" s="180"/>
      <c r="E199" s="180"/>
      <c r="F199" s="180"/>
      <c r="G199" s="180"/>
      <c r="H199" s="180"/>
      <c r="I199" s="180"/>
      <c r="J199" s="180"/>
      <c r="K199" s="180"/>
      <c r="L199" s="180"/>
    </row>
    <row r="200" spans="2:12">
      <c r="B200" s="180"/>
      <c r="C200" s="180"/>
      <c r="D200" s="180"/>
      <c r="E200" s="180"/>
      <c r="F200" s="180"/>
      <c r="G200" s="180"/>
      <c r="H200" s="180"/>
      <c r="I200" s="180"/>
      <c r="J200" s="180"/>
      <c r="K200" s="180"/>
      <c r="L200" s="180"/>
    </row>
    <row r="201" spans="2:12">
      <c r="B201" s="180"/>
      <c r="C201" s="180"/>
      <c r="D201" s="180"/>
      <c r="E201" s="180"/>
      <c r="F201" s="180"/>
      <c r="G201" s="180"/>
      <c r="H201" s="180"/>
      <c r="I201" s="180"/>
      <c r="J201" s="180"/>
      <c r="K201" s="180"/>
      <c r="L201" s="180"/>
    </row>
    <row r="202" spans="2:12">
      <c r="B202" s="180"/>
      <c r="C202" s="180"/>
      <c r="D202" s="180"/>
      <c r="E202" s="180"/>
      <c r="F202" s="180"/>
      <c r="G202" s="180"/>
      <c r="H202" s="180"/>
      <c r="I202" s="180"/>
      <c r="J202" s="180"/>
      <c r="K202" s="180"/>
      <c r="L202" s="180"/>
    </row>
    <row r="203" spans="2:12">
      <c r="B203" s="180"/>
      <c r="C203" s="180"/>
      <c r="D203" s="180"/>
      <c r="E203" s="180"/>
      <c r="F203" s="180"/>
      <c r="G203" s="180"/>
      <c r="H203" s="180"/>
      <c r="I203" s="180"/>
      <c r="J203" s="180"/>
      <c r="K203" s="180"/>
      <c r="L203" s="180"/>
    </row>
    <row r="204" spans="2:12">
      <c r="B204" s="180"/>
      <c r="C204" s="180"/>
      <c r="D204" s="180"/>
      <c r="E204" s="180"/>
      <c r="F204" s="180"/>
      <c r="G204" s="180"/>
      <c r="H204" s="180"/>
      <c r="I204" s="180"/>
      <c r="J204" s="180"/>
      <c r="K204" s="180"/>
      <c r="L204" s="180"/>
    </row>
    <row r="205" spans="2:12">
      <c r="B205" s="180"/>
      <c r="C205" s="180"/>
      <c r="D205" s="180"/>
      <c r="E205" s="180"/>
      <c r="F205" s="180"/>
      <c r="G205" s="180"/>
      <c r="H205" s="180"/>
      <c r="I205" s="180"/>
      <c r="J205" s="180"/>
      <c r="K205" s="180"/>
      <c r="L205" s="180"/>
    </row>
    <row r="206" spans="2:12">
      <c r="B206" s="180"/>
      <c r="C206" s="180"/>
      <c r="D206" s="180"/>
      <c r="E206" s="180"/>
      <c r="F206" s="180"/>
      <c r="G206" s="180"/>
      <c r="H206" s="180"/>
      <c r="I206" s="180"/>
      <c r="J206" s="180"/>
      <c r="K206" s="180"/>
      <c r="L206" s="180"/>
    </row>
    <row r="207" spans="2:12">
      <c r="B207" s="180"/>
      <c r="C207" s="180"/>
      <c r="D207" s="180"/>
      <c r="E207" s="180"/>
      <c r="F207" s="180"/>
      <c r="G207" s="180"/>
      <c r="H207" s="180"/>
      <c r="I207" s="180"/>
      <c r="J207" s="180"/>
      <c r="K207" s="180"/>
      <c r="L207" s="180"/>
    </row>
    <row r="208" spans="2:12">
      <c r="B208" s="180"/>
      <c r="C208" s="180"/>
      <c r="D208" s="180"/>
      <c r="E208" s="180"/>
      <c r="F208" s="180"/>
      <c r="G208" s="180"/>
      <c r="H208" s="180"/>
      <c r="I208" s="180"/>
      <c r="J208" s="180"/>
      <c r="K208" s="180"/>
      <c r="L208" s="180"/>
    </row>
    <row r="209" spans="2:12">
      <c r="B209" s="180"/>
      <c r="C209" s="180"/>
      <c r="D209" s="180"/>
      <c r="E209" s="180"/>
      <c r="F209" s="180"/>
      <c r="G209" s="180"/>
      <c r="H209" s="180"/>
      <c r="I209" s="180"/>
      <c r="J209" s="180"/>
      <c r="K209" s="180"/>
      <c r="L209" s="180"/>
    </row>
    <row r="210" spans="2:12">
      <c r="B210" s="180"/>
      <c r="C210" s="180"/>
      <c r="D210" s="180"/>
      <c r="E210" s="180"/>
      <c r="F210" s="180"/>
      <c r="G210" s="180"/>
      <c r="H210" s="180"/>
      <c r="I210" s="180"/>
      <c r="J210" s="180"/>
      <c r="K210" s="180"/>
      <c r="L210" s="180"/>
    </row>
    <row r="211" spans="2:12">
      <c r="B211" s="180"/>
      <c r="C211" s="180"/>
      <c r="D211" s="180"/>
      <c r="E211" s="180"/>
      <c r="F211" s="180"/>
      <c r="G211" s="180"/>
      <c r="H211" s="180"/>
      <c r="I211" s="180"/>
      <c r="J211" s="180"/>
      <c r="K211" s="180"/>
      <c r="L211" s="180"/>
    </row>
    <row r="212" spans="2:12">
      <c r="B212" s="180"/>
      <c r="C212" s="180"/>
      <c r="D212" s="180"/>
      <c r="E212" s="180"/>
      <c r="F212" s="180"/>
      <c r="G212" s="180"/>
      <c r="H212" s="180"/>
      <c r="I212" s="180"/>
      <c r="J212" s="180"/>
      <c r="K212" s="180"/>
      <c r="L212" s="180"/>
    </row>
    <row r="213" spans="2:12">
      <c r="B213" s="180"/>
      <c r="C213" s="180"/>
      <c r="D213" s="180"/>
      <c r="E213" s="180"/>
      <c r="F213" s="180"/>
      <c r="G213" s="180"/>
      <c r="H213" s="180"/>
      <c r="I213" s="180"/>
      <c r="J213" s="180"/>
      <c r="K213" s="180"/>
      <c r="L213" s="180"/>
    </row>
    <row r="214" spans="2:12">
      <c r="B214" s="180"/>
      <c r="C214" s="180"/>
      <c r="D214" s="180"/>
      <c r="E214" s="180"/>
      <c r="F214" s="180"/>
      <c r="G214" s="180"/>
      <c r="H214" s="180"/>
      <c r="I214" s="180"/>
      <c r="J214" s="180"/>
      <c r="K214" s="180"/>
      <c r="L214" s="180"/>
    </row>
    <row r="215" spans="2:12">
      <c r="B215" s="180"/>
      <c r="C215" s="180"/>
      <c r="D215" s="180"/>
      <c r="E215" s="180"/>
      <c r="F215" s="180"/>
      <c r="G215" s="180"/>
      <c r="H215" s="180"/>
      <c r="I215" s="180"/>
      <c r="J215" s="180"/>
      <c r="K215" s="180"/>
      <c r="L215" s="180"/>
    </row>
    <row r="216" spans="2:12">
      <c r="B216" s="180"/>
      <c r="C216" s="180"/>
      <c r="D216" s="180"/>
      <c r="E216" s="180"/>
      <c r="F216" s="180"/>
      <c r="G216" s="180"/>
      <c r="H216" s="180"/>
      <c r="I216" s="180"/>
      <c r="J216" s="180"/>
      <c r="K216" s="180"/>
      <c r="L216" s="180"/>
    </row>
    <row r="217" spans="2:12">
      <c r="B217" s="180"/>
      <c r="C217" s="180"/>
      <c r="D217" s="180"/>
      <c r="E217" s="180"/>
      <c r="F217" s="180"/>
      <c r="G217" s="180"/>
      <c r="H217" s="180"/>
      <c r="I217" s="180"/>
      <c r="J217" s="180"/>
      <c r="K217" s="180"/>
      <c r="L217" s="180"/>
    </row>
    <row r="218" spans="2:12">
      <c r="B218" s="180"/>
      <c r="C218" s="180"/>
      <c r="D218" s="180"/>
      <c r="E218" s="180"/>
      <c r="F218" s="180"/>
      <c r="G218" s="180"/>
      <c r="H218" s="180"/>
      <c r="I218" s="180"/>
      <c r="J218" s="180"/>
      <c r="K218" s="180"/>
      <c r="L218" s="180"/>
    </row>
    <row r="219" spans="2:12">
      <c r="B219" s="180"/>
      <c r="C219" s="180"/>
      <c r="D219" s="180"/>
      <c r="E219" s="180"/>
      <c r="F219" s="180"/>
      <c r="G219" s="180"/>
      <c r="H219" s="180"/>
      <c r="I219" s="180"/>
      <c r="J219" s="180"/>
      <c r="K219" s="180"/>
      <c r="L219" s="180"/>
    </row>
    <row r="220" spans="2:12">
      <c r="B220" s="180"/>
      <c r="C220" s="180"/>
      <c r="D220" s="180"/>
      <c r="E220" s="180"/>
      <c r="F220" s="180"/>
      <c r="G220" s="180"/>
      <c r="H220" s="180"/>
      <c r="I220" s="180"/>
      <c r="J220" s="180"/>
      <c r="K220" s="180"/>
      <c r="L220" s="180"/>
    </row>
    <row r="221" spans="2:12">
      <c r="B221" s="180"/>
      <c r="C221" s="180"/>
      <c r="D221" s="180"/>
      <c r="E221" s="180"/>
      <c r="F221" s="180"/>
      <c r="G221" s="180"/>
      <c r="H221" s="180"/>
      <c r="I221" s="180"/>
      <c r="J221" s="180"/>
      <c r="K221" s="180"/>
      <c r="L221" s="180"/>
    </row>
    <row r="222" spans="2:12">
      <c r="B222" s="180"/>
      <c r="C222" s="180"/>
      <c r="D222" s="180"/>
      <c r="E222" s="180"/>
      <c r="F222" s="180"/>
      <c r="G222" s="180"/>
      <c r="H222" s="180"/>
      <c r="I222" s="180"/>
      <c r="J222" s="180"/>
      <c r="K222" s="180"/>
      <c r="L222" s="180"/>
    </row>
    <row r="223" spans="2:12">
      <c r="B223" s="180"/>
      <c r="C223" s="180"/>
      <c r="D223" s="180"/>
      <c r="E223" s="180"/>
      <c r="F223" s="180"/>
      <c r="G223" s="180"/>
      <c r="H223" s="180"/>
      <c r="I223" s="180"/>
      <c r="J223" s="180"/>
      <c r="K223" s="180"/>
      <c r="L223" s="180"/>
    </row>
    <row r="224" spans="2:12">
      <c r="B224" s="180"/>
      <c r="C224" s="180"/>
      <c r="D224" s="180"/>
      <c r="E224" s="180"/>
      <c r="F224" s="180"/>
      <c r="G224" s="180"/>
      <c r="H224" s="180"/>
      <c r="I224" s="180"/>
      <c r="J224" s="180"/>
      <c r="K224" s="180"/>
      <c r="L224" s="180"/>
    </row>
    <row r="225" spans="2:12">
      <c r="B225" s="180"/>
      <c r="C225" s="180"/>
      <c r="D225" s="180"/>
      <c r="E225" s="180"/>
      <c r="F225" s="180"/>
      <c r="G225" s="180"/>
      <c r="H225" s="180"/>
      <c r="I225" s="180"/>
      <c r="J225" s="180"/>
      <c r="K225" s="180"/>
      <c r="L225" s="180"/>
    </row>
    <row r="226" spans="2:12">
      <c r="B226" s="180"/>
      <c r="C226" s="180"/>
      <c r="D226" s="180"/>
      <c r="E226" s="180"/>
      <c r="F226" s="180"/>
      <c r="G226" s="180"/>
      <c r="H226" s="180"/>
      <c r="I226" s="180"/>
      <c r="J226" s="180"/>
      <c r="K226" s="180"/>
      <c r="L226" s="180"/>
    </row>
    <row r="227" spans="2:12">
      <c r="B227" s="180"/>
      <c r="C227" s="180"/>
      <c r="D227" s="180"/>
      <c r="E227" s="180"/>
      <c r="F227" s="180"/>
      <c r="G227" s="180"/>
      <c r="H227" s="180"/>
      <c r="I227" s="180"/>
      <c r="J227" s="180"/>
      <c r="K227" s="180"/>
      <c r="L227" s="180"/>
    </row>
    <row r="228" spans="2:12">
      <c r="B228" s="180"/>
      <c r="C228" s="180"/>
      <c r="D228" s="180"/>
      <c r="E228" s="180"/>
      <c r="F228" s="180"/>
      <c r="G228" s="180"/>
      <c r="H228" s="180"/>
      <c r="I228" s="180"/>
      <c r="J228" s="180"/>
      <c r="K228" s="180"/>
      <c r="L228" s="180"/>
    </row>
    <row r="229" spans="2:12">
      <c r="B229" s="180"/>
      <c r="C229" s="180"/>
      <c r="D229" s="180"/>
      <c r="E229" s="180"/>
      <c r="F229" s="180"/>
      <c r="G229" s="180"/>
      <c r="H229" s="180"/>
      <c r="I229" s="180"/>
      <c r="J229" s="180"/>
      <c r="K229" s="180"/>
      <c r="L229" s="180"/>
    </row>
    <row r="230" spans="2:12">
      <c r="B230" s="180"/>
      <c r="C230" s="180"/>
      <c r="D230" s="180"/>
      <c r="E230" s="180"/>
      <c r="F230" s="180"/>
      <c r="G230" s="180"/>
      <c r="H230" s="180"/>
      <c r="I230" s="180"/>
      <c r="J230" s="180"/>
      <c r="K230" s="180"/>
      <c r="L230" s="180"/>
    </row>
    <row r="231" spans="2:12">
      <c r="B231" s="180"/>
      <c r="C231" s="180"/>
      <c r="D231" s="180"/>
      <c r="E231" s="180"/>
      <c r="F231" s="180"/>
      <c r="G231" s="180"/>
      <c r="H231" s="180"/>
      <c r="I231" s="180"/>
      <c r="J231" s="180"/>
      <c r="K231" s="180"/>
      <c r="L231" s="180"/>
    </row>
    <row r="232" spans="2:12">
      <c r="B232" s="180"/>
      <c r="C232" s="180"/>
      <c r="D232" s="180"/>
      <c r="E232" s="180"/>
      <c r="F232" s="180"/>
      <c r="G232" s="180"/>
      <c r="H232" s="180"/>
      <c r="I232" s="180"/>
      <c r="J232" s="180"/>
      <c r="K232" s="180"/>
      <c r="L232" s="180"/>
    </row>
    <row r="233" spans="2:12">
      <c r="B233" s="180"/>
      <c r="C233" s="180"/>
      <c r="D233" s="180"/>
      <c r="E233" s="180"/>
      <c r="F233" s="180"/>
      <c r="G233" s="180"/>
      <c r="H233" s="180"/>
      <c r="I233" s="180"/>
      <c r="J233" s="180"/>
      <c r="K233" s="180"/>
      <c r="L233" s="180"/>
    </row>
    <row r="234" spans="2:12">
      <c r="B234" s="180"/>
      <c r="C234" s="180"/>
      <c r="D234" s="180"/>
      <c r="E234" s="180"/>
      <c r="F234" s="180"/>
      <c r="G234" s="180"/>
      <c r="H234" s="180"/>
      <c r="I234" s="180"/>
      <c r="J234" s="180"/>
      <c r="K234" s="180"/>
      <c r="L234" s="180"/>
    </row>
    <row r="235" spans="2:12">
      <c r="B235" s="180"/>
      <c r="C235" s="180"/>
      <c r="D235" s="180"/>
      <c r="E235" s="180"/>
      <c r="F235" s="180"/>
      <c r="G235" s="180"/>
      <c r="H235" s="180"/>
      <c r="I235" s="180"/>
      <c r="J235" s="180"/>
      <c r="K235" s="180"/>
      <c r="L235" s="180"/>
    </row>
    <row r="236" spans="2:12">
      <c r="B236" s="180"/>
      <c r="C236" s="180"/>
      <c r="D236" s="180"/>
      <c r="E236" s="180"/>
      <c r="F236" s="180"/>
      <c r="G236" s="180"/>
      <c r="H236" s="180"/>
      <c r="I236" s="180"/>
      <c r="J236" s="180"/>
      <c r="K236" s="180"/>
      <c r="L236" s="180"/>
    </row>
    <row r="237" spans="2:12">
      <c r="B237" s="180"/>
      <c r="C237" s="180"/>
      <c r="D237" s="180"/>
      <c r="E237" s="180"/>
      <c r="F237" s="180"/>
      <c r="G237" s="180"/>
      <c r="H237" s="180"/>
      <c r="I237" s="180"/>
      <c r="J237" s="180"/>
      <c r="K237" s="180"/>
      <c r="L237" s="180"/>
    </row>
    <row r="238" spans="2:12">
      <c r="B238" s="180"/>
      <c r="C238" s="180"/>
      <c r="D238" s="180"/>
      <c r="E238" s="180"/>
      <c r="F238" s="180"/>
      <c r="G238" s="180"/>
      <c r="H238" s="180"/>
      <c r="I238" s="180"/>
      <c r="J238" s="180"/>
      <c r="K238" s="180"/>
      <c r="L238" s="180"/>
    </row>
    <row r="239" spans="2:12">
      <c r="B239" s="180"/>
      <c r="C239" s="180"/>
      <c r="D239" s="180"/>
      <c r="E239" s="180"/>
      <c r="F239" s="180"/>
      <c r="G239" s="180"/>
      <c r="H239" s="180"/>
      <c r="I239" s="180"/>
      <c r="J239" s="180"/>
      <c r="K239" s="180"/>
      <c r="L239" s="180"/>
    </row>
    <row r="240" spans="2:12">
      <c r="B240" s="180"/>
      <c r="C240" s="180"/>
      <c r="D240" s="180"/>
      <c r="E240" s="180"/>
      <c r="F240" s="180"/>
      <c r="G240" s="180"/>
      <c r="H240" s="180"/>
      <c r="I240" s="180"/>
      <c r="J240" s="180"/>
      <c r="K240" s="180"/>
      <c r="L240" s="180"/>
    </row>
    <row r="241" spans="2:12">
      <c r="B241" s="180"/>
      <c r="C241" s="180"/>
      <c r="D241" s="180"/>
      <c r="E241" s="180"/>
      <c r="F241" s="180"/>
      <c r="G241" s="180"/>
      <c r="H241" s="180"/>
      <c r="I241" s="180"/>
      <c r="J241" s="180"/>
      <c r="K241" s="180"/>
      <c r="L241" s="180"/>
    </row>
    <row r="242" spans="2:12">
      <c r="B242" s="180"/>
      <c r="C242" s="180"/>
      <c r="D242" s="180"/>
      <c r="E242" s="180"/>
      <c r="F242" s="180"/>
      <c r="G242" s="180"/>
      <c r="H242" s="180"/>
      <c r="I242" s="180"/>
      <c r="J242" s="180"/>
      <c r="K242" s="180"/>
      <c r="L242" s="180"/>
    </row>
    <row r="243" spans="2:12">
      <c r="B243" s="180"/>
      <c r="C243" s="180"/>
      <c r="D243" s="180"/>
      <c r="E243" s="180"/>
      <c r="F243" s="180"/>
      <c r="G243" s="180"/>
      <c r="H243" s="180"/>
      <c r="I243" s="180"/>
      <c r="J243" s="180"/>
      <c r="K243" s="180"/>
      <c r="L243" s="180"/>
    </row>
    <row r="244" spans="2:12">
      <c r="B244" s="180"/>
      <c r="C244" s="180"/>
      <c r="D244" s="180"/>
      <c r="E244" s="180"/>
      <c r="F244" s="180"/>
      <c r="G244" s="180"/>
      <c r="H244" s="180"/>
      <c r="I244" s="180"/>
      <c r="J244" s="180"/>
      <c r="K244" s="180"/>
      <c r="L244" s="180"/>
    </row>
    <row r="245" spans="2:12">
      <c r="B245" s="180"/>
      <c r="C245" s="180"/>
      <c r="D245" s="180"/>
      <c r="E245" s="180"/>
      <c r="F245" s="180"/>
      <c r="G245" s="180"/>
      <c r="H245" s="180"/>
      <c r="I245" s="180"/>
      <c r="J245" s="180"/>
      <c r="K245" s="180"/>
      <c r="L245" s="180"/>
    </row>
    <row r="246" spans="2:12">
      <c r="B246" s="180"/>
      <c r="C246" s="180"/>
      <c r="D246" s="180"/>
      <c r="E246" s="180"/>
      <c r="F246" s="180"/>
      <c r="G246" s="180"/>
      <c r="H246" s="180"/>
      <c r="I246" s="180"/>
      <c r="J246" s="180"/>
      <c r="K246" s="180"/>
      <c r="L246" s="180"/>
    </row>
  </sheetData>
  <mergeCells count="11">
    <mergeCell ref="A52:J52"/>
    <mergeCell ref="A31:C31"/>
    <mergeCell ref="A14:D14"/>
    <mergeCell ref="E14:J14"/>
    <mergeCell ref="A34:J34"/>
    <mergeCell ref="E31:J31"/>
    <mergeCell ref="A5:A6"/>
    <mergeCell ref="A2:J2"/>
    <mergeCell ref="A4:J4"/>
    <mergeCell ref="A11:J11"/>
    <mergeCell ref="A51:J5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AI56"/>
  <sheetViews>
    <sheetView showGridLines="0" view="pageBreakPreview" zoomScaleNormal="130" zoomScaleSheetLayoutView="100" workbookViewId="0">
      <selection activeCell="D22" sqref="D22"/>
    </sheetView>
  </sheetViews>
  <sheetFormatPr baseColWidth="10" defaultColWidth="9.28515625" defaultRowHeight="10.199999999999999"/>
  <cols>
    <col min="8" max="10" width="11.140625" customWidth="1"/>
    <col min="11" max="11" width="12.42578125" customWidth="1"/>
    <col min="12" max="12" width="9.28515625" customWidth="1"/>
    <col min="13" max="35" width="9.28515625" style="346"/>
  </cols>
  <sheetData>
    <row r="3" spans="1:12">
      <c r="A3" s="797" t="s">
        <v>0</v>
      </c>
      <c r="B3" s="797"/>
      <c r="C3" s="797"/>
      <c r="D3" s="797"/>
      <c r="E3" s="797"/>
      <c r="F3" s="797"/>
      <c r="G3" s="797"/>
      <c r="H3" s="797"/>
      <c r="I3" s="797"/>
      <c r="J3" s="797"/>
      <c r="K3" s="797"/>
      <c r="L3" s="797"/>
    </row>
    <row r="4" spans="1:12">
      <c r="A4" s="797"/>
      <c r="B4" s="797"/>
      <c r="C4" s="797"/>
      <c r="D4" s="797"/>
      <c r="E4" s="797"/>
      <c r="F4" s="797"/>
      <c r="G4" s="797"/>
      <c r="H4" s="797"/>
      <c r="I4" s="797"/>
      <c r="J4" s="797"/>
      <c r="K4" s="797"/>
      <c r="L4" s="797"/>
    </row>
    <row r="5" spans="1:12" ht="11.4">
      <c r="A5" s="3"/>
      <c r="B5" s="181"/>
      <c r="C5" s="2"/>
      <c r="D5" s="2"/>
      <c r="E5" s="31"/>
      <c r="F5" s="2"/>
      <c r="G5" s="2"/>
      <c r="H5" s="2"/>
      <c r="I5" s="2"/>
      <c r="J5" s="2"/>
      <c r="K5" s="2"/>
      <c r="L5" s="5"/>
    </row>
    <row r="6" spans="1:12" ht="11.4">
      <c r="A6" s="3"/>
      <c r="B6" s="181"/>
      <c r="C6" s="2"/>
      <c r="D6" s="2"/>
      <c r="E6" s="31"/>
      <c r="F6" s="2"/>
      <c r="G6" s="2"/>
      <c r="H6" s="2"/>
      <c r="I6" s="2"/>
      <c r="J6" s="2"/>
      <c r="K6" s="2"/>
      <c r="L6" s="4"/>
    </row>
    <row r="7" spans="1:12" ht="19.5" customHeight="1">
      <c r="A7" s="16" t="s">
        <v>301</v>
      </c>
      <c r="B7" s="182"/>
      <c r="C7" s="21"/>
      <c r="D7" s="21"/>
      <c r="E7" s="21"/>
      <c r="F7" s="21"/>
      <c r="G7" s="21"/>
      <c r="H7" s="21"/>
      <c r="I7" s="21"/>
      <c r="J7" s="21"/>
      <c r="K7" s="21"/>
      <c r="L7" s="21"/>
    </row>
    <row r="8" spans="1:12" ht="17.25" customHeight="1">
      <c r="A8" s="21"/>
      <c r="B8" s="21" t="s">
        <v>633</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582</v>
      </c>
      <c r="B10" s="182"/>
      <c r="C10" s="21"/>
      <c r="D10" s="21"/>
      <c r="E10" s="21"/>
      <c r="F10" s="21"/>
      <c r="G10" s="21"/>
      <c r="H10" s="21"/>
      <c r="I10" s="21"/>
      <c r="J10" s="21"/>
      <c r="K10" s="21"/>
      <c r="L10" s="18"/>
    </row>
    <row r="11" spans="1:12" ht="19.5" customHeight="1">
      <c r="A11" s="23"/>
      <c r="B11" s="21" t="s">
        <v>331</v>
      </c>
      <c r="C11" s="21"/>
      <c r="D11" s="21"/>
      <c r="E11" s="21"/>
      <c r="F11" s="17"/>
      <c r="G11" s="17"/>
      <c r="H11" s="17"/>
      <c r="I11" s="17"/>
      <c r="J11" s="17"/>
      <c r="K11" s="17"/>
      <c r="L11" s="18" t="s">
        <v>1</v>
      </c>
    </row>
    <row r="12" spans="1:12" ht="19.5" customHeight="1">
      <c r="A12" s="23"/>
      <c r="B12" s="21" t="s">
        <v>282</v>
      </c>
      <c r="C12" s="21"/>
      <c r="D12" s="21"/>
      <c r="E12" s="17"/>
      <c r="F12" s="17"/>
      <c r="G12" s="17"/>
      <c r="H12" s="17"/>
      <c r="I12" s="17"/>
      <c r="J12" s="17"/>
      <c r="K12" s="17"/>
      <c r="L12" s="18" t="s">
        <v>1</v>
      </c>
    </row>
    <row r="13" spans="1:12" ht="10.5" customHeight="1">
      <c r="A13" s="21"/>
      <c r="B13" s="19"/>
      <c r="C13" s="19"/>
      <c r="D13" s="19"/>
      <c r="E13" s="19"/>
      <c r="F13" s="19"/>
      <c r="G13" s="19"/>
      <c r="H13" s="19"/>
      <c r="I13" s="19"/>
      <c r="J13" s="19"/>
      <c r="K13" s="19"/>
      <c r="L13" s="20"/>
    </row>
    <row r="14" spans="1:12" ht="19.5" customHeight="1">
      <c r="A14" s="16" t="s">
        <v>294</v>
      </c>
      <c r="B14" s="21"/>
      <c r="C14" s="21"/>
      <c r="D14" s="21"/>
      <c r="E14" s="21"/>
      <c r="F14" s="21"/>
      <c r="G14" s="21"/>
      <c r="H14" s="21"/>
      <c r="I14" s="21"/>
      <c r="J14" s="21"/>
      <c r="K14" s="21"/>
      <c r="L14" s="18"/>
    </row>
    <row r="15" spans="1:12" ht="19.5" customHeight="1">
      <c r="A15" s="23"/>
      <c r="B15" s="21" t="s">
        <v>271</v>
      </c>
      <c r="C15" s="21"/>
      <c r="D15" s="21"/>
      <c r="E15" s="21"/>
      <c r="F15" s="17"/>
      <c r="G15" s="17"/>
      <c r="H15" s="17"/>
      <c r="I15" s="17"/>
      <c r="J15" s="17"/>
      <c r="K15" s="17"/>
      <c r="L15" s="18" t="s">
        <v>2</v>
      </c>
    </row>
    <row r="16" spans="1:12" ht="19.5" customHeight="1">
      <c r="A16" s="23"/>
      <c r="B16" s="21" t="s">
        <v>280</v>
      </c>
      <c r="C16" s="21"/>
      <c r="D16" s="21"/>
      <c r="E16" s="21"/>
      <c r="F16" s="21"/>
      <c r="G16" s="17"/>
      <c r="H16" s="17"/>
      <c r="I16" s="17"/>
      <c r="J16" s="17"/>
      <c r="K16" s="17"/>
      <c r="L16" s="18" t="s">
        <v>3</v>
      </c>
    </row>
    <row r="17" spans="1:12" ht="19.5" customHeight="1">
      <c r="A17" s="23"/>
      <c r="B17" s="21" t="s">
        <v>272</v>
      </c>
      <c r="C17" s="21"/>
      <c r="D17" s="21"/>
      <c r="E17" s="21"/>
      <c r="F17" s="21"/>
      <c r="G17" s="17"/>
      <c r="H17" s="17"/>
      <c r="I17" s="17"/>
      <c r="J17" s="17"/>
      <c r="K17" s="17"/>
      <c r="L17" s="18" t="s">
        <v>4</v>
      </c>
    </row>
    <row r="18" spans="1:12" ht="19.5" customHeight="1">
      <c r="A18" s="23"/>
      <c r="B18" s="21" t="s">
        <v>273</v>
      </c>
      <c r="C18" s="21"/>
      <c r="D18" s="21"/>
      <c r="E18" s="21"/>
      <c r="F18" s="17"/>
      <c r="G18" s="17"/>
      <c r="H18" s="17"/>
      <c r="I18" s="17"/>
      <c r="J18" s="17"/>
      <c r="K18" s="17"/>
      <c r="L18" s="18" t="s">
        <v>5</v>
      </c>
    </row>
    <row r="19" spans="1:12" ht="19.5" customHeight="1">
      <c r="A19" s="23"/>
      <c r="B19" s="21" t="s">
        <v>274</v>
      </c>
      <c r="C19" s="21"/>
      <c r="D19" s="21"/>
      <c r="E19" s="21"/>
      <c r="F19" s="21"/>
      <c r="G19" s="21"/>
      <c r="H19" s="17"/>
      <c r="I19" s="17"/>
      <c r="J19" s="17"/>
      <c r="K19" s="17"/>
      <c r="L19" s="18" t="s">
        <v>6</v>
      </c>
    </row>
    <row r="20" spans="1:12" ht="10.5" customHeight="1">
      <c r="A20" s="23"/>
      <c r="B20" s="21"/>
      <c r="C20" s="21"/>
      <c r="D20" s="21"/>
      <c r="E20" s="21"/>
      <c r="F20" s="21"/>
      <c r="G20" s="21"/>
      <c r="H20" s="21"/>
      <c r="I20" s="21"/>
      <c r="J20" s="21"/>
      <c r="K20" s="21"/>
      <c r="L20" s="18"/>
    </row>
    <row r="21" spans="1:12" ht="19.5" customHeight="1">
      <c r="A21" s="16" t="s">
        <v>293</v>
      </c>
      <c r="B21" s="21"/>
      <c r="C21" s="21"/>
      <c r="D21" s="21"/>
      <c r="E21" s="21"/>
      <c r="F21" s="21"/>
      <c r="G21" s="21"/>
      <c r="H21" s="21"/>
      <c r="I21" s="21"/>
      <c r="J21" s="21"/>
      <c r="K21" s="21"/>
      <c r="L21" s="25"/>
    </row>
    <row r="22" spans="1:12" ht="19.5" customHeight="1">
      <c r="A22" s="21"/>
      <c r="B22" s="21" t="s">
        <v>295</v>
      </c>
      <c r="C22" s="21"/>
      <c r="D22" s="21"/>
      <c r="E22" s="21"/>
      <c r="F22" s="21"/>
      <c r="G22" s="17"/>
      <c r="H22" s="17"/>
      <c r="I22" s="17"/>
      <c r="J22" s="17"/>
      <c r="K22" s="17"/>
      <c r="L22" s="18" t="s">
        <v>8</v>
      </c>
    </row>
    <row r="23" spans="1:12" ht="19.5" customHeight="1">
      <c r="A23" s="26"/>
      <c r="B23" s="21" t="s">
        <v>324</v>
      </c>
      <c r="C23" s="21"/>
      <c r="D23" s="21"/>
      <c r="E23" s="21"/>
      <c r="F23" s="21"/>
      <c r="G23" s="21"/>
      <c r="H23" s="21"/>
      <c r="I23" s="17"/>
      <c r="J23" s="17"/>
      <c r="K23" s="17"/>
      <c r="L23" s="18" t="s">
        <v>9</v>
      </c>
    </row>
    <row r="24" spans="1:12" ht="10.5" customHeight="1">
      <c r="A24" s="26"/>
      <c r="B24" s="22"/>
      <c r="C24" s="27"/>
      <c r="D24" s="22"/>
      <c r="E24" s="22"/>
      <c r="F24" s="22"/>
      <c r="G24" s="22"/>
      <c r="H24" s="22"/>
      <c r="I24" s="22"/>
      <c r="J24" s="22"/>
      <c r="K24" s="22"/>
      <c r="L24" s="18"/>
    </row>
    <row r="25" spans="1:12" ht="19.5" customHeight="1">
      <c r="A25" s="16" t="s">
        <v>193</v>
      </c>
      <c r="B25" s="21"/>
      <c r="C25" s="21"/>
      <c r="D25" s="21"/>
      <c r="E25" s="21"/>
      <c r="F25" s="21"/>
      <c r="G25" s="21"/>
      <c r="H25" s="21"/>
      <c r="I25" s="21"/>
      <c r="J25" s="21"/>
      <c r="K25" s="21"/>
      <c r="L25" s="25"/>
    </row>
    <row r="26" spans="1:12" ht="19.5" customHeight="1">
      <c r="A26" s="21"/>
      <c r="B26" s="21" t="s">
        <v>297</v>
      </c>
      <c r="C26" s="21"/>
      <c r="D26" s="21"/>
      <c r="E26" s="21"/>
      <c r="F26" s="17"/>
      <c r="G26" s="17"/>
      <c r="H26" s="17"/>
      <c r="I26" s="17"/>
      <c r="J26" s="17"/>
      <c r="K26" s="28"/>
      <c r="L26" s="18" t="s">
        <v>10</v>
      </c>
    </row>
    <row r="27" spans="1:12" ht="19.5" customHeight="1">
      <c r="A27" s="21"/>
      <c r="B27" s="21" t="s">
        <v>275</v>
      </c>
      <c r="C27" s="21"/>
      <c r="D27" s="21"/>
      <c r="E27" s="21"/>
      <c r="F27" s="21"/>
      <c r="G27" s="17"/>
      <c r="H27" s="17"/>
      <c r="I27" s="17"/>
      <c r="J27" s="17"/>
      <c r="K27" s="28"/>
      <c r="L27" s="18" t="s">
        <v>10</v>
      </c>
    </row>
    <row r="28" spans="1:12" ht="19.5" customHeight="1">
      <c r="A28" s="26"/>
      <c r="B28" s="21" t="s">
        <v>296</v>
      </c>
      <c r="C28" s="21"/>
      <c r="D28" s="21"/>
      <c r="E28" s="21"/>
      <c r="F28" s="17"/>
      <c r="G28" s="17"/>
      <c r="H28" s="28"/>
      <c r="I28" s="28"/>
      <c r="J28" s="28"/>
      <c r="K28" s="28"/>
      <c r="L28" s="18" t="s">
        <v>11</v>
      </c>
    </row>
    <row r="29" spans="1:12" ht="19.5" customHeight="1">
      <c r="A29" s="26"/>
      <c r="B29" s="21" t="s">
        <v>281</v>
      </c>
      <c r="C29" s="21"/>
      <c r="D29" s="21"/>
      <c r="E29" s="17"/>
      <c r="F29" s="28"/>
      <c r="G29" s="28"/>
      <c r="H29" s="28"/>
      <c r="I29" s="28"/>
      <c r="J29" s="28"/>
      <c r="K29" s="28"/>
      <c r="L29" s="18" t="s">
        <v>11</v>
      </c>
    </row>
    <row r="30" spans="1:12" ht="10.5" customHeight="1">
      <c r="A30" s="26"/>
      <c r="B30" s="21"/>
      <c r="C30" s="21"/>
      <c r="D30" s="21"/>
      <c r="E30" s="21"/>
      <c r="F30" s="21"/>
      <c r="G30" s="21"/>
      <c r="H30" s="21"/>
      <c r="I30" s="21"/>
      <c r="J30" s="21"/>
      <c r="K30" s="21"/>
      <c r="L30" s="18"/>
    </row>
    <row r="31" spans="1:12" ht="19.5" customHeight="1">
      <c r="A31" s="16" t="s">
        <v>286</v>
      </c>
      <c r="B31" s="21"/>
      <c r="C31" s="21"/>
      <c r="D31" s="21"/>
      <c r="E31" s="21"/>
      <c r="F31" s="21"/>
      <c r="G31" s="21"/>
      <c r="H31" s="21"/>
      <c r="I31" s="21"/>
      <c r="J31" s="21"/>
      <c r="K31" s="21"/>
      <c r="L31" s="18"/>
    </row>
    <row r="32" spans="1:12" ht="19.5" customHeight="1">
      <c r="A32" s="26"/>
      <c r="B32" s="21" t="s">
        <v>298</v>
      </c>
      <c r="C32" s="21"/>
      <c r="D32" s="21"/>
      <c r="E32" s="21"/>
      <c r="F32" s="21"/>
      <c r="G32" s="17"/>
      <c r="H32" s="17"/>
      <c r="I32" s="17"/>
      <c r="J32" s="17"/>
      <c r="K32" s="17"/>
      <c r="L32" s="18" t="s">
        <v>12</v>
      </c>
    </row>
    <row r="33" spans="1:12" ht="19.5" customHeight="1">
      <c r="A33" s="26"/>
      <c r="B33" s="21" t="s">
        <v>276</v>
      </c>
      <c r="C33" s="21"/>
      <c r="D33" s="21"/>
      <c r="E33" s="21"/>
      <c r="F33" s="21"/>
      <c r="G33" s="21"/>
      <c r="H33" s="17"/>
      <c r="I33" s="17"/>
      <c r="J33" s="17"/>
      <c r="K33" s="17"/>
      <c r="L33" s="18" t="s">
        <v>13</v>
      </c>
    </row>
    <row r="34" spans="1:12" ht="10.5" customHeight="1">
      <c r="A34" s="26"/>
      <c r="B34" s="21"/>
      <c r="C34" s="21"/>
      <c r="D34" s="21"/>
      <c r="E34" s="21"/>
      <c r="F34" s="21"/>
      <c r="G34" s="21"/>
      <c r="H34" s="21"/>
      <c r="I34" s="21"/>
      <c r="J34" s="21"/>
      <c r="K34" s="21"/>
      <c r="L34" s="18"/>
    </row>
    <row r="35" spans="1:12" ht="19.5" customHeight="1">
      <c r="A35" s="16" t="s">
        <v>277</v>
      </c>
      <c r="B35" s="22"/>
      <c r="C35" s="27"/>
      <c r="D35" s="22"/>
      <c r="E35" s="22"/>
      <c r="F35" s="22"/>
      <c r="G35" s="22"/>
      <c r="H35" s="22"/>
      <c r="I35" s="22"/>
      <c r="J35" s="22"/>
      <c r="K35" s="22"/>
      <c r="L35" s="18"/>
    </row>
    <row r="36" spans="1:12" ht="19.5" customHeight="1">
      <c r="A36" s="23"/>
      <c r="B36" s="21" t="s">
        <v>299</v>
      </c>
      <c r="C36" s="21"/>
      <c r="D36" s="21"/>
      <c r="E36" s="21"/>
      <c r="F36" s="17"/>
      <c r="G36" s="17"/>
      <c r="H36" s="17"/>
      <c r="I36" s="17"/>
      <c r="J36" s="17"/>
      <c r="K36" s="17"/>
      <c r="L36" s="18" t="s">
        <v>14</v>
      </c>
    </row>
    <row r="37" spans="1:12" ht="10.5" customHeight="1">
      <c r="A37" s="23"/>
      <c r="B37" s="21"/>
      <c r="C37" s="21"/>
      <c r="D37" s="21"/>
      <c r="E37" s="21"/>
      <c r="F37" s="21"/>
      <c r="G37" s="21"/>
      <c r="H37" s="21"/>
      <c r="I37" s="21"/>
      <c r="J37" s="21"/>
      <c r="K37" s="21"/>
      <c r="L37" s="18"/>
    </row>
    <row r="38" spans="1:12" ht="19.5" customHeight="1">
      <c r="A38" s="16" t="s">
        <v>278</v>
      </c>
      <c r="B38" s="29"/>
      <c r="C38" s="21"/>
      <c r="D38" s="21"/>
      <c r="E38" s="21"/>
      <c r="F38" s="21"/>
      <c r="G38" s="21"/>
      <c r="H38" s="21"/>
      <c r="I38" s="21"/>
      <c r="J38" s="21"/>
      <c r="K38" s="21"/>
      <c r="L38" s="32"/>
    </row>
    <row r="39" spans="1:12" ht="19.5" customHeight="1">
      <c r="A39" s="23"/>
      <c r="B39" s="21" t="s">
        <v>279</v>
      </c>
      <c r="C39" s="21"/>
      <c r="D39" s="21"/>
      <c r="E39" s="21"/>
      <c r="F39" s="21"/>
      <c r="G39" s="21"/>
      <c r="H39" s="17"/>
      <c r="I39" s="17"/>
      <c r="J39" s="17"/>
      <c r="K39" s="17"/>
      <c r="L39" s="18" t="s">
        <v>15</v>
      </c>
    </row>
    <row r="40" spans="1:12" ht="10.5" customHeight="1">
      <c r="A40" s="21"/>
      <c r="B40" s="21"/>
      <c r="C40" s="21"/>
      <c r="D40" s="21"/>
      <c r="E40" s="21"/>
      <c r="F40" s="21"/>
      <c r="G40" s="21"/>
      <c r="H40" s="21"/>
      <c r="I40" s="21"/>
      <c r="J40" s="21"/>
      <c r="K40" s="21"/>
      <c r="L40" s="18"/>
    </row>
    <row r="41" spans="1:12" ht="19.5" customHeight="1">
      <c r="A41" s="16" t="s">
        <v>158</v>
      </c>
      <c r="B41" s="21"/>
      <c r="C41" s="21"/>
      <c r="D41" s="21"/>
      <c r="E41" s="21"/>
      <c r="F41" s="21"/>
      <c r="G41" s="21"/>
      <c r="H41" s="21"/>
      <c r="I41" s="21"/>
      <c r="J41" s="21"/>
      <c r="K41" s="21"/>
      <c r="L41" s="18"/>
    </row>
    <row r="42" spans="1:12" ht="19.5" customHeight="1">
      <c r="A42" s="16" t="s">
        <v>16</v>
      </c>
      <c r="B42" s="21"/>
      <c r="C42" s="21"/>
      <c r="D42" s="21"/>
      <c r="E42" s="21"/>
      <c r="F42" s="21"/>
      <c r="G42" s="21"/>
      <c r="H42" s="21"/>
      <c r="I42" s="24"/>
      <c r="J42" s="24"/>
      <c r="K42" s="24"/>
      <c r="L42" s="18" t="s">
        <v>17</v>
      </c>
    </row>
    <row r="43" spans="1:12" ht="19.5" customHeight="1">
      <c r="A43" s="16" t="s">
        <v>300</v>
      </c>
      <c r="B43" s="21"/>
      <c r="C43" s="21"/>
      <c r="D43" s="21"/>
      <c r="E43" s="21"/>
      <c r="F43" s="17"/>
      <c r="G43" s="17"/>
      <c r="H43" s="17"/>
      <c r="I43" s="17"/>
      <c r="J43" s="17"/>
      <c r="K43" s="17"/>
      <c r="L43" s="18" t="s">
        <v>18</v>
      </c>
    </row>
    <row r="44" spans="1:12" ht="19.5" customHeight="1">
      <c r="A44" s="16" t="s">
        <v>19</v>
      </c>
      <c r="B44" s="21"/>
      <c r="C44" s="21"/>
      <c r="D44" s="21"/>
      <c r="E44" s="17"/>
      <c r="F44" s="17"/>
      <c r="G44" s="17"/>
      <c r="H44" s="17"/>
      <c r="I44" s="17"/>
      <c r="J44" s="17"/>
      <c r="K44" s="17"/>
      <c r="L44" s="18" t="s">
        <v>20</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86"/>
  <sheetViews>
    <sheetView showGridLines="0" view="pageBreakPreview" zoomScale="130" zoomScaleNormal="100" zoomScaleSheetLayoutView="130" zoomScalePageLayoutView="110" workbookViewId="0">
      <selection activeCell="D22" sqref="D22"/>
    </sheetView>
  </sheetViews>
  <sheetFormatPr baseColWidth="10"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6.5703125" bestFit="1" customWidth="1"/>
    <col min="9" max="9" width="11.7109375" bestFit="1" customWidth="1"/>
    <col min="10" max="10" width="12.7109375" bestFit="1" customWidth="1"/>
  </cols>
  <sheetData>
    <row r="1" spans="1:8" ht="11.25" customHeight="1">
      <c r="A1" s="230" t="s">
        <v>194</v>
      </c>
      <c r="B1" s="229"/>
      <c r="C1" s="229"/>
      <c r="D1" s="229"/>
      <c r="E1" s="229"/>
      <c r="F1" s="229"/>
      <c r="G1" s="229"/>
    </row>
    <row r="2" spans="1:8" ht="14.25" customHeight="1">
      <c r="A2" s="887" t="s">
        <v>191</v>
      </c>
      <c r="B2" s="890" t="s">
        <v>49</v>
      </c>
      <c r="C2" s="893" t="str">
        <f>"ENERGÍA PRODUCIDA "&amp;UPPER('1. Resumen'!Q4)&amp;" "&amp;'1. Resumen'!Q5</f>
        <v>ENERGÍA PRODUCIDA MAYO 2025</v>
      </c>
      <c r="D2" s="893"/>
      <c r="E2" s="893"/>
      <c r="F2" s="893"/>
      <c r="G2" s="401" t="s">
        <v>195</v>
      </c>
      <c r="H2" s="168"/>
    </row>
    <row r="3" spans="1:8" ht="11.25" customHeight="1">
      <c r="A3" s="888"/>
      <c r="B3" s="891"/>
      <c r="C3" s="894" t="s">
        <v>196</v>
      </c>
      <c r="D3" s="894"/>
      <c r="E3" s="894"/>
      <c r="F3" s="895" t="str">
        <f>"TOTAL 
"&amp;UPPER('1. Resumen'!Q4)</f>
        <v>TOTAL 
MAYO</v>
      </c>
      <c r="G3" s="402" t="s">
        <v>197</v>
      </c>
      <c r="H3" s="162"/>
    </row>
    <row r="4" spans="1:8" ht="12.75" customHeight="1">
      <c r="A4" s="888"/>
      <c r="B4" s="891"/>
      <c r="C4" s="397" t="s">
        <v>162</v>
      </c>
      <c r="D4" s="397" t="s">
        <v>163</v>
      </c>
      <c r="E4" s="397" t="s">
        <v>198</v>
      </c>
      <c r="F4" s="896"/>
      <c r="G4" s="402">
        <v>2025</v>
      </c>
      <c r="H4" s="164"/>
    </row>
    <row r="5" spans="1:8" ht="11.25" customHeight="1">
      <c r="A5" s="889"/>
      <c r="B5" s="892"/>
      <c r="C5" s="398" t="s">
        <v>199</v>
      </c>
      <c r="D5" s="398" t="s">
        <v>199</v>
      </c>
      <c r="E5" s="398" t="s">
        <v>199</v>
      </c>
      <c r="F5" s="398" t="s">
        <v>199</v>
      </c>
      <c r="G5" s="403" t="s">
        <v>155</v>
      </c>
      <c r="H5" s="164"/>
    </row>
    <row r="6" spans="1:8" ht="8.4" customHeight="1">
      <c r="A6" s="700" t="s">
        <v>543</v>
      </c>
      <c r="B6" s="701" t="s">
        <v>77</v>
      </c>
      <c r="C6" s="702"/>
      <c r="D6" s="702"/>
      <c r="E6" s="702">
        <v>11848.182087499999</v>
      </c>
      <c r="F6" s="702">
        <v>11848.182087499999</v>
      </c>
      <c r="G6" s="703">
        <v>41861.3940325</v>
      </c>
      <c r="H6" s="164"/>
    </row>
    <row r="7" spans="1:8" ht="8.4" customHeight="1">
      <c r="A7" s="704" t="s">
        <v>544</v>
      </c>
      <c r="B7" s="705"/>
      <c r="C7" s="706"/>
      <c r="D7" s="706"/>
      <c r="E7" s="706">
        <v>11848.182087499999</v>
      </c>
      <c r="F7" s="706">
        <v>11848.182087499999</v>
      </c>
      <c r="G7" s="707">
        <v>41861.3940325</v>
      </c>
      <c r="H7" s="164"/>
    </row>
    <row r="8" spans="1:8" ht="8.4" customHeight="1">
      <c r="A8" s="700" t="s">
        <v>110</v>
      </c>
      <c r="B8" s="701" t="s">
        <v>80</v>
      </c>
      <c r="C8" s="702"/>
      <c r="D8" s="702"/>
      <c r="E8" s="702">
        <v>0</v>
      </c>
      <c r="F8" s="702">
        <v>0</v>
      </c>
      <c r="G8" s="703">
        <v>22965.495470000002</v>
      </c>
      <c r="H8" s="164"/>
    </row>
    <row r="9" spans="1:8" ht="8.4" customHeight="1">
      <c r="A9" s="704" t="s">
        <v>785</v>
      </c>
      <c r="B9" s="705"/>
      <c r="C9" s="706"/>
      <c r="D9" s="706"/>
      <c r="E9" s="706">
        <v>0</v>
      </c>
      <c r="F9" s="706">
        <v>0</v>
      </c>
      <c r="G9" s="707">
        <v>22965.495470000002</v>
      </c>
      <c r="H9" s="164"/>
    </row>
    <row r="10" spans="1:8" ht="8.4" customHeight="1">
      <c r="A10" s="708" t="s">
        <v>784</v>
      </c>
      <c r="B10" s="709" t="s">
        <v>341</v>
      </c>
      <c r="C10" s="710"/>
      <c r="D10" s="710"/>
      <c r="E10" s="710">
        <v>0</v>
      </c>
      <c r="F10" s="710">
        <v>0</v>
      </c>
      <c r="G10" s="711">
        <v>13346.162782500001</v>
      </c>
      <c r="H10" s="164"/>
    </row>
    <row r="11" spans="1:8" ht="8.4" customHeight="1">
      <c r="A11" s="704" t="s">
        <v>786</v>
      </c>
      <c r="B11" s="705"/>
      <c r="C11" s="706"/>
      <c r="D11" s="706"/>
      <c r="E11" s="706">
        <v>0</v>
      </c>
      <c r="F11" s="706">
        <v>0</v>
      </c>
      <c r="G11" s="707">
        <v>13346.162782500001</v>
      </c>
      <c r="H11" s="164"/>
    </row>
    <row r="12" spans="1:8" ht="8.4" customHeight="1">
      <c r="A12" s="708" t="s">
        <v>109</v>
      </c>
      <c r="B12" s="709" t="s">
        <v>57</v>
      </c>
      <c r="C12" s="710"/>
      <c r="D12" s="710"/>
      <c r="E12" s="710">
        <v>12659.21825</v>
      </c>
      <c r="F12" s="710">
        <v>12659.21825</v>
      </c>
      <c r="G12" s="711">
        <v>67548.481775000007</v>
      </c>
      <c r="H12" s="164"/>
    </row>
    <row r="13" spans="1:8" ht="8.4" customHeight="1">
      <c r="A13" s="704" t="s">
        <v>787</v>
      </c>
      <c r="B13" s="705"/>
      <c r="C13" s="706"/>
      <c r="D13" s="706"/>
      <c r="E13" s="706">
        <v>12659.21825</v>
      </c>
      <c r="F13" s="706">
        <v>12659.21825</v>
      </c>
      <c r="G13" s="707">
        <v>67548.481775000007</v>
      </c>
      <c r="H13" s="164"/>
    </row>
    <row r="14" spans="1:8" ht="8.4" customHeight="1">
      <c r="A14" s="708" t="s">
        <v>313</v>
      </c>
      <c r="B14" s="709" t="s">
        <v>788</v>
      </c>
      <c r="C14" s="710"/>
      <c r="D14" s="710"/>
      <c r="E14" s="710">
        <v>11905.39777</v>
      </c>
      <c r="F14" s="710">
        <v>11905.39777</v>
      </c>
      <c r="G14" s="711">
        <v>64907.061409999995</v>
      </c>
      <c r="H14" s="164"/>
    </row>
    <row r="15" spans="1:8" ht="8.4" customHeight="1">
      <c r="A15" s="704" t="s">
        <v>789</v>
      </c>
      <c r="B15" s="705"/>
      <c r="C15" s="706"/>
      <c r="D15" s="706"/>
      <c r="E15" s="706">
        <v>11905.39777</v>
      </c>
      <c r="F15" s="706">
        <v>11905.39777</v>
      </c>
      <c r="G15" s="707">
        <v>64907.061409999995</v>
      </c>
      <c r="H15" s="164"/>
    </row>
    <row r="16" spans="1:8" ht="8.4" customHeight="1">
      <c r="A16" s="708" t="s">
        <v>533</v>
      </c>
      <c r="B16" s="709" t="s">
        <v>545</v>
      </c>
      <c r="C16" s="710">
        <v>1649.1182775</v>
      </c>
      <c r="D16" s="710"/>
      <c r="E16" s="710"/>
      <c r="F16" s="710">
        <v>1649.1182775</v>
      </c>
      <c r="G16" s="711">
        <v>8271.6944024999993</v>
      </c>
      <c r="H16" s="164"/>
    </row>
    <row r="17" spans="1:8" ht="8.4" customHeight="1">
      <c r="A17" s="704" t="s">
        <v>546</v>
      </c>
      <c r="B17" s="705"/>
      <c r="C17" s="706">
        <v>1649.1182775</v>
      </c>
      <c r="D17" s="706"/>
      <c r="E17" s="706"/>
      <c r="F17" s="706">
        <v>1649.1182775</v>
      </c>
      <c r="G17" s="707">
        <v>8271.6944024999993</v>
      </c>
      <c r="H17" s="164"/>
    </row>
    <row r="18" spans="1:8" ht="8.4" customHeight="1">
      <c r="A18" s="708" t="s">
        <v>783</v>
      </c>
      <c r="B18" s="709" t="s">
        <v>69</v>
      </c>
      <c r="C18" s="710"/>
      <c r="D18" s="710"/>
      <c r="E18" s="710">
        <v>98.411609999999996</v>
      </c>
      <c r="F18" s="710">
        <v>98.411609999999996</v>
      </c>
      <c r="G18" s="711">
        <v>214.85464999999999</v>
      </c>
      <c r="H18" s="164"/>
    </row>
    <row r="19" spans="1:8" ht="8.4" customHeight="1">
      <c r="A19" s="704" t="s">
        <v>790</v>
      </c>
      <c r="B19" s="705"/>
      <c r="C19" s="706"/>
      <c r="D19" s="706"/>
      <c r="E19" s="706">
        <v>98.411609999999996</v>
      </c>
      <c r="F19" s="706">
        <v>98.411609999999996</v>
      </c>
      <c r="G19" s="707">
        <v>214.85464999999999</v>
      </c>
      <c r="H19" s="164"/>
    </row>
    <row r="20" spans="1:8" ht="8.4" customHeight="1">
      <c r="A20" s="708" t="s">
        <v>333</v>
      </c>
      <c r="B20" s="709" t="s">
        <v>339</v>
      </c>
      <c r="C20" s="710"/>
      <c r="D20" s="710"/>
      <c r="E20" s="710">
        <v>6948.0625</v>
      </c>
      <c r="F20" s="710">
        <v>6948.0625</v>
      </c>
      <c r="G20" s="711">
        <v>17882.731502499999</v>
      </c>
      <c r="H20" s="164"/>
    </row>
    <row r="21" spans="1:8" ht="8.4" customHeight="1">
      <c r="A21" s="704" t="s">
        <v>791</v>
      </c>
      <c r="B21" s="705"/>
      <c r="C21" s="706"/>
      <c r="D21" s="706"/>
      <c r="E21" s="706">
        <v>6948.0625</v>
      </c>
      <c r="F21" s="706">
        <v>6948.0625</v>
      </c>
      <c r="G21" s="707">
        <v>17882.731502499999</v>
      </c>
      <c r="H21" s="164"/>
    </row>
    <row r="22" spans="1:8" ht="8.4" customHeight="1">
      <c r="A22" s="708" t="s">
        <v>88</v>
      </c>
      <c r="B22" s="709" t="s">
        <v>792</v>
      </c>
      <c r="C22" s="710">
        <v>145873.35115</v>
      </c>
      <c r="D22" s="710"/>
      <c r="E22" s="710"/>
      <c r="F22" s="710">
        <v>145873.35115</v>
      </c>
      <c r="G22" s="711">
        <v>731056.29524500004</v>
      </c>
      <c r="H22" s="164"/>
    </row>
    <row r="23" spans="1:8" ht="8.4" customHeight="1">
      <c r="A23" s="704" t="s">
        <v>352</v>
      </c>
      <c r="B23" s="705"/>
      <c r="C23" s="706">
        <v>145873.35115</v>
      </c>
      <c r="D23" s="706"/>
      <c r="E23" s="706"/>
      <c r="F23" s="706">
        <v>145873.35115</v>
      </c>
      <c r="G23" s="707">
        <v>731056.29524500004</v>
      </c>
      <c r="H23" s="164"/>
    </row>
    <row r="24" spans="1:8" ht="8.4" customHeight="1">
      <c r="A24" s="708" t="s">
        <v>348</v>
      </c>
      <c r="B24" s="709" t="s">
        <v>232</v>
      </c>
      <c r="C24" s="710">
        <v>14634.209127499998</v>
      </c>
      <c r="D24" s="710"/>
      <c r="E24" s="710"/>
      <c r="F24" s="710">
        <v>14634.209127499998</v>
      </c>
      <c r="G24" s="711">
        <v>64674.544379999999</v>
      </c>
      <c r="H24" s="164"/>
    </row>
    <row r="25" spans="1:8" ht="8.4" customHeight="1">
      <c r="A25" s="704" t="s">
        <v>793</v>
      </c>
      <c r="B25" s="705"/>
      <c r="C25" s="706">
        <v>14634.209127499998</v>
      </c>
      <c r="D25" s="706"/>
      <c r="E25" s="706"/>
      <c r="F25" s="706">
        <v>14634.209127499998</v>
      </c>
      <c r="G25" s="707">
        <v>64674.544379999999</v>
      </c>
      <c r="H25" s="164"/>
    </row>
    <row r="26" spans="1:8" ht="8.4" customHeight="1">
      <c r="A26" s="708" t="s">
        <v>364</v>
      </c>
      <c r="B26" s="709" t="s">
        <v>366</v>
      </c>
      <c r="C26" s="710"/>
      <c r="D26" s="710"/>
      <c r="E26" s="710"/>
      <c r="F26" s="710"/>
      <c r="G26" s="711">
        <v>1703.0858625000001</v>
      </c>
      <c r="H26" s="164"/>
    </row>
    <row r="27" spans="1:8" ht="8.4" customHeight="1">
      <c r="A27" s="708"/>
      <c r="B27" s="709" t="s">
        <v>367</v>
      </c>
      <c r="C27" s="710"/>
      <c r="D27" s="710"/>
      <c r="E27" s="710"/>
      <c r="F27" s="710"/>
      <c r="G27" s="711">
        <v>2686.0417925000002</v>
      </c>
      <c r="H27" s="164"/>
    </row>
    <row r="28" spans="1:8" ht="8.4" customHeight="1">
      <c r="A28" s="704" t="s">
        <v>794</v>
      </c>
      <c r="B28" s="705"/>
      <c r="C28" s="706"/>
      <c r="D28" s="706"/>
      <c r="E28" s="706"/>
      <c r="F28" s="706"/>
      <c r="G28" s="707">
        <v>4389.1276550000002</v>
      </c>
      <c r="H28" s="164"/>
    </row>
    <row r="29" spans="1:8" ht="8.4" customHeight="1">
      <c r="A29" s="708" t="s">
        <v>179</v>
      </c>
      <c r="B29" s="709" t="s">
        <v>200</v>
      </c>
      <c r="C29" s="710"/>
      <c r="D29" s="710">
        <v>2720.9241550000002</v>
      </c>
      <c r="E29" s="710"/>
      <c r="F29" s="710">
        <v>2720.9241550000002</v>
      </c>
      <c r="G29" s="711">
        <v>11279.91279</v>
      </c>
      <c r="H29" s="164"/>
    </row>
    <row r="30" spans="1:8" ht="8.4" customHeight="1">
      <c r="A30" s="704" t="s">
        <v>795</v>
      </c>
      <c r="B30" s="705"/>
      <c r="C30" s="706"/>
      <c r="D30" s="706">
        <v>2720.9241550000002</v>
      </c>
      <c r="E30" s="706"/>
      <c r="F30" s="706">
        <v>2720.9241550000002</v>
      </c>
      <c r="G30" s="707">
        <v>11279.91279</v>
      </c>
      <c r="H30" s="164"/>
    </row>
    <row r="31" spans="1:8" ht="8.4" customHeight="1">
      <c r="A31" s="708" t="s">
        <v>87</v>
      </c>
      <c r="B31" s="709" t="s">
        <v>201</v>
      </c>
      <c r="C31" s="710">
        <v>89097.751132500009</v>
      </c>
      <c r="D31" s="710"/>
      <c r="E31" s="710"/>
      <c r="F31" s="710">
        <v>89097.751132500009</v>
      </c>
      <c r="G31" s="711">
        <v>460323.46813250007</v>
      </c>
      <c r="H31" s="164"/>
    </row>
    <row r="32" spans="1:8" ht="8.4" customHeight="1">
      <c r="A32" s="708"/>
      <c r="B32" s="709" t="s">
        <v>202</v>
      </c>
      <c r="C32" s="710">
        <v>27772.468272499998</v>
      </c>
      <c r="D32" s="710"/>
      <c r="E32" s="710"/>
      <c r="F32" s="710">
        <v>27772.468272499998</v>
      </c>
      <c r="G32" s="711">
        <v>131494.4155225</v>
      </c>
      <c r="H32" s="164"/>
    </row>
    <row r="33" spans="1:8" ht="8.4" customHeight="1">
      <c r="A33" s="704" t="s">
        <v>796</v>
      </c>
      <c r="B33" s="705"/>
      <c r="C33" s="706">
        <v>116870.21940500001</v>
      </c>
      <c r="D33" s="706"/>
      <c r="E33" s="706"/>
      <c r="F33" s="706">
        <v>116870.21940500001</v>
      </c>
      <c r="G33" s="707">
        <v>591817.88365500001</v>
      </c>
      <c r="H33" s="164"/>
    </row>
    <row r="34" spans="1:8" ht="8.4" customHeight="1">
      <c r="A34" s="708" t="s">
        <v>365</v>
      </c>
      <c r="B34" s="709" t="s">
        <v>368</v>
      </c>
      <c r="C34" s="710"/>
      <c r="D34" s="710"/>
      <c r="E34" s="710">
        <v>226.16325000000001</v>
      </c>
      <c r="F34" s="710">
        <v>226.16325000000001</v>
      </c>
      <c r="G34" s="711">
        <v>961.61931249999998</v>
      </c>
      <c r="H34" s="164"/>
    </row>
    <row r="35" spans="1:8" ht="8.4" customHeight="1">
      <c r="A35" s="704" t="s">
        <v>797</v>
      </c>
      <c r="B35" s="705"/>
      <c r="C35" s="706"/>
      <c r="D35" s="706"/>
      <c r="E35" s="706">
        <v>226.16325000000001</v>
      </c>
      <c r="F35" s="706">
        <v>226.16325000000001</v>
      </c>
      <c r="G35" s="707">
        <v>961.61931249999998</v>
      </c>
      <c r="H35" s="164"/>
    </row>
    <row r="36" spans="1:8" ht="8.4" customHeight="1">
      <c r="A36" s="708" t="s">
        <v>85</v>
      </c>
      <c r="B36" s="709" t="s">
        <v>203</v>
      </c>
      <c r="C36" s="710">
        <v>1111.4552275000001</v>
      </c>
      <c r="D36" s="710"/>
      <c r="E36" s="710"/>
      <c r="F36" s="710">
        <v>1111.4552275000001</v>
      </c>
      <c r="G36" s="711">
        <v>5008.1946499999995</v>
      </c>
      <c r="H36" s="164"/>
    </row>
    <row r="37" spans="1:8" ht="8.4" customHeight="1">
      <c r="A37" s="708"/>
      <c r="B37" s="709" t="s">
        <v>204</v>
      </c>
      <c r="C37" s="710">
        <v>401.21823499999999</v>
      </c>
      <c r="D37" s="710"/>
      <c r="E37" s="710"/>
      <c r="F37" s="710">
        <v>401.21823499999999</v>
      </c>
      <c r="G37" s="711">
        <v>1642.9644049999999</v>
      </c>
      <c r="H37" s="164"/>
    </row>
    <row r="38" spans="1:8" ht="8.4" customHeight="1">
      <c r="A38" s="708"/>
      <c r="B38" s="709" t="s">
        <v>205</v>
      </c>
      <c r="C38" s="710">
        <v>3250.2230749999999</v>
      </c>
      <c r="D38" s="710"/>
      <c r="E38" s="710"/>
      <c r="F38" s="710">
        <v>3250.2230749999999</v>
      </c>
      <c r="G38" s="711">
        <v>14805.127845000001</v>
      </c>
      <c r="H38" s="164"/>
    </row>
    <row r="39" spans="1:8" ht="8.4" customHeight="1">
      <c r="A39" s="708"/>
      <c r="B39" s="709" t="s">
        <v>206</v>
      </c>
      <c r="C39" s="710">
        <v>8175.10599</v>
      </c>
      <c r="D39" s="710"/>
      <c r="E39" s="710"/>
      <c r="F39" s="710">
        <v>8175.10599</v>
      </c>
      <c r="G39" s="711">
        <v>25101.649312500002</v>
      </c>
      <c r="H39" s="164"/>
    </row>
    <row r="40" spans="1:8" ht="8.4" customHeight="1">
      <c r="A40" s="708"/>
      <c r="B40" s="709" t="s">
        <v>207</v>
      </c>
      <c r="C40" s="710">
        <v>55201.793700000002</v>
      </c>
      <c r="D40" s="710"/>
      <c r="E40" s="710"/>
      <c r="F40" s="710">
        <v>55201.793700000002</v>
      </c>
      <c r="G40" s="711">
        <v>370960.34642499994</v>
      </c>
      <c r="H40" s="164"/>
    </row>
    <row r="41" spans="1:8" ht="8.4" customHeight="1">
      <c r="A41" s="708"/>
      <c r="B41" s="709" t="s">
        <v>208</v>
      </c>
      <c r="C41" s="710">
        <v>1040.3780400000001</v>
      </c>
      <c r="D41" s="710"/>
      <c r="E41" s="710"/>
      <c r="F41" s="710">
        <v>1040.3780400000001</v>
      </c>
      <c r="G41" s="711">
        <v>18656.546807499999</v>
      </c>
      <c r="H41" s="164"/>
    </row>
    <row r="42" spans="1:8" ht="8.4" customHeight="1">
      <c r="A42" s="708"/>
      <c r="B42" s="709" t="s">
        <v>209</v>
      </c>
      <c r="C42" s="710"/>
      <c r="D42" s="710">
        <v>63.170402500000002</v>
      </c>
      <c r="E42" s="710"/>
      <c r="F42" s="710">
        <v>63.170402500000002</v>
      </c>
      <c r="G42" s="711">
        <v>136.27323749999999</v>
      </c>
      <c r="H42" s="164"/>
    </row>
    <row r="43" spans="1:8" ht="8.4" customHeight="1">
      <c r="A43" s="708"/>
      <c r="B43" s="709" t="s">
        <v>210</v>
      </c>
      <c r="C43" s="710"/>
      <c r="D43" s="710">
        <v>43.476687499999997</v>
      </c>
      <c r="E43" s="710"/>
      <c r="F43" s="710">
        <v>43.476687499999997</v>
      </c>
      <c r="G43" s="711">
        <v>193.79692500000002</v>
      </c>
      <c r="H43" s="164"/>
    </row>
    <row r="44" spans="1:8" ht="8.4" customHeight="1">
      <c r="A44" s="704" t="s">
        <v>353</v>
      </c>
      <c r="B44" s="705"/>
      <c r="C44" s="706">
        <v>69180.174267499999</v>
      </c>
      <c r="D44" s="706">
        <v>106.64708999999999</v>
      </c>
      <c r="E44" s="706"/>
      <c r="F44" s="706">
        <v>69286.821357500012</v>
      </c>
      <c r="G44" s="707">
        <v>436504.89960749994</v>
      </c>
      <c r="H44" s="164"/>
    </row>
    <row r="45" spans="1:8" ht="8.4" customHeight="1">
      <c r="A45" s="708" t="s">
        <v>103</v>
      </c>
      <c r="B45" s="709" t="s">
        <v>64</v>
      </c>
      <c r="C45" s="710"/>
      <c r="D45" s="710"/>
      <c r="E45" s="710">
        <v>3612.2713174999999</v>
      </c>
      <c r="F45" s="710">
        <v>3612.2713174999999</v>
      </c>
      <c r="G45" s="711">
        <v>16760.400762500001</v>
      </c>
      <c r="H45" s="164"/>
    </row>
    <row r="46" spans="1:8" ht="8.4" customHeight="1">
      <c r="A46" s="704" t="s">
        <v>798</v>
      </c>
      <c r="B46" s="705"/>
      <c r="C46" s="706"/>
      <c r="D46" s="706"/>
      <c r="E46" s="706">
        <v>3612.2713174999999</v>
      </c>
      <c r="F46" s="706">
        <v>3612.2713174999999</v>
      </c>
      <c r="G46" s="707">
        <v>16760.400762500001</v>
      </c>
      <c r="H46" s="164"/>
    </row>
    <row r="47" spans="1:8" ht="8.4" customHeight="1">
      <c r="A47" s="708" t="s">
        <v>547</v>
      </c>
      <c r="B47" s="709" t="s">
        <v>59</v>
      </c>
      <c r="C47" s="710"/>
      <c r="D47" s="710"/>
      <c r="E47" s="710">
        <v>5684.2515700000004</v>
      </c>
      <c r="F47" s="710">
        <v>5684.2515700000004</v>
      </c>
      <c r="G47" s="711">
        <v>31260.078915000002</v>
      </c>
      <c r="H47" s="164"/>
    </row>
    <row r="48" spans="1:8" ht="8.4" customHeight="1">
      <c r="A48" s="708"/>
      <c r="B48" s="709" t="s">
        <v>58</v>
      </c>
      <c r="C48" s="710"/>
      <c r="D48" s="710"/>
      <c r="E48" s="710">
        <v>6088.7139900000002</v>
      </c>
      <c r="F48" s="710">
        <v>6088.7139900000002</v>
      </c>
      <c r="G48" s="711">
        <v>32537.4732</v>
      </c>
      <c r="H48" s="164"/>
    </row>
    <row r="49" spans="1:8" ht="8.4" customHeight="1">
      <c r="A49" s="708"/>
      <c r="B49" s="709" t="s">
        <v>54</v>
      </c>
      <c r="C49" s="710"/>
      <c r="D49" s="710"/>
      <c r="E49" s="710">
        <v>8400.7358925000008</v>
      </c>
      <c r="F49" s="710">
        <v>8400.7358925000008</v>
      </c>
      <c r="G49" s="711">
        <v>64672.034702500001</v>
      </c>
      <c r="H49" s="164"/>
    </row>
    <row r="50" spans="1:8" ht="8.4" customHeight="1">
      <c r="A50" s="708"/>
      <c r="B50" s="709" t="s">
        <v>52</v>
      </c>
      <c r="C50" s="710"/>
      <c r="D50" s="710"/>
      <c r="E50" s="710">
        <v>11383.72688</v>
      </c>
      <c r="F50" s="710">
        <v>11383.72688</v>
      </c>
      <c r="G50" s="711">
        <v>69419.806540000005</v>
      </c>
      <c r="H50" s="164"/>
    </row>
    <row r="51" spans="1:8" ht="8.4" customHeight="1">
      <c r="A51" s="708"/>
      <c r="B51" s="709" t="s">
        <v>62</v>
      </c>
      <c r="C51" s="710"/>
      <c r="D51" s="710"/>
      <c r="E51" s="710">
        <v>3024.3585149999999</v>
      </c>
      <c r="F51" s="710">
        <v>3024.3585149999999</v>
      </c>
      <c r="G51" s="711">
        <v>19114.934209999999</v>
      </c>
      <c r="H51" s="164"/>
    </row>
    <row r="52" spans="1:8" ht="8.4" customHeight="1">
      <c r="A52" s="708"/>
      <c r="B52" s="709" t="s">
        <v>61</v>
      </c>
      <c r="C52" s="710"/>
      <c r="D52" s="710"/>
      <c r="E52" s="710">
        <v>3405.7953725000002</v>
      </c>
      <c r="F52" s="710">
        <v>3405.7953725000002</v>
      </c>
      <c r="G52" s="711">
        <v>17793.6173175</v>
      </c>
      <c r="H52" s="164"/>
    </row>
    <row r="53" spans="1:8" ht="8.4" customHeight="1">
      <c r="A53" s="704" t="s">
        <v>548</v>
      </c>
      <c r="B53" s="705"/>
      <c r="C53" s="706"/>
      <c r="D53" s="706"/>
      <c r="E53" s="706">
        <v>37987.582219999997</v>
      </c>
      <c r="F53" s="706">
        <v>37987.582219999997</v>
      </c>
      <c r="G53" s="707">
        <v>234797.94488500003</v>
      </c>
      <c r="H53" s="164"/>
    </row>
    <row r="54" spans="1:8" ht="8.4" customHeight="1">
      <c r="A54" s="708" t="s">
        <v>86</v>
      </c>
      <c r="B54" s="709" t="s">
        <v>211</v>
      </c>
      <c r="C54" s="710">
        <v>121871.99674999999</v>
      </c>
      <c r="D54" s="710"/>
      <c r="E54" s="710"/>
      <c r="F54" s="710">
        <v>121871.99674999999</v>
      </c>
      <c r="G54" s="711">
        <v>592770.21325999999</v>
      </c>
      <c r="H54" s="164"/>
    </row>
    <row r="55" spans="1:8" ht="8.4" customHeight="1">
      <c r="A55" s="704" t="s">
        <v>354</v>
      </c>
      <c r="B55" s="705"/>
      <c r="C55" s="706">
        <v>121871.99674999999</v>
      </c>
      <c r="D55" s="706"/>
      <c r="E55" s="706"/>
      <c r="F55" s="706">
        <v>121871.99674999999</v>
      </c>
      <c r="G55" s="707">
        <v>592770.21325999999</v>
      </c>
      <c r="H55" s="164"/>
    </row>
    <row r="56" spans="1:8" ht="8.4" customHeight="1">
      <c r="A56" s="708" t="s">
        <v>94</v>
      </c>
      <c r="B56" s="709" t="s">
        <v>212</v>
      </c>
      <c r="C56" s="710">
        <v>5449.0627725000004</v>
      </c>
      <c r="D56" s="710"/>
      <c r="E56" s="710"/>
      <c r="F56" s="710">
        <v>5449.0627725000004</v>
      </c>
      <c r="G56" s="711">
        <v>27244.549155000001</v>
      </c>
      <c r="H56" s="164"/>
    </row>
    <row r="57" spans="1:8" ht="8.4" customHeight="1">
      <c r="A57" s="708"/>
      <c r="B57" s="709" t="s">
        <v>382</v>
      </c>
      <c r="C57" s="710">
        <v>3413.7876249999999</v>
      </c>
      <c r="D57" s="710"/>
      <c r="E57" s="710"/>
      <c r="F57" s="710">
        <v>3413.7876249999999</v>
      </c>
      <c r="G57" s="711">
        <v>10638.3305425</v>
      </c>
      <c r="H57" s="164"/>
    </row>
    <row r="58" spans="1:8" ht="8.4" customHeight="1">
      <c r="A58" s="708"/>
      <c r="B58" s="709" t="s">
        <v>213</v>
      </c>
      <c r="C58" s="710"/>
      <c r="D58" s="710">
        <v>2139.5356175000002</v>
      </c>
      <c r="E58" s="710"/>
      <c r="F58" s="710">
        <v>2139.5356175000002</v>
      </c>
      <c r="G58" s="711">
        <v>14785.838722499999</v>
      </c>
      <c r="H58" s="164"/>
    </row>
    <row r="59" spans="1:8" ht="8.4" customHeight="1">
      <c r="A59" s="704" t="s">
        <v>355</v>
      </c>
      <c r="B59" s="705"/>
      <c r="C59" s="706">
        <v>8862.8503975000003</v>
      </c>
      <c r="D59" s="706">
        <v>2139.5356175000002</v>
      </c>
      <c r="E59" s="706"/>
      <c r="F59" s="706">
        <v>11002.386015</v>
      </c>
      <c r="G59" s="707">
        <v>52668.718419999997</v>
      </c>
      <c r="H59" s="164"/>
    </row>
    <row r="60" spans="1:8" ht="8.4" customHeight="1">
      <c r="A60" s="708" t="s">
        <v>104</v>
      </c>
      <c r="B60" s="709" t="s">
        <v>67</v>
      </c>
      <c r="C60" s="710"/>
      <c r="D60" s="710"/>
      <c r="E60" s="710">
        <v>2029.2712750000001</v>
      </c>
      <c r="F60" s="710">
        <v>2029.2712750000001</v>
      </c>
      <c r="G60" s="711">
        <v>10741.804625000001</v>
      </c>
      <c r="H60" s="164"/>
    </row>
    <row r="61" spans="1:8" ht="8.4" customHeight="1">
      <c r="A61" s="704" t="s">
        <v>799</v>
      </c>
      <c r="B61" s="705"/>
      <c r="C61" s="706"/>
      <c r="D61" s="706"/>
      <c r="E61" s="706">
        <v>2029.2712750000001</v>
      </c>
      <c r="F61" s="706">
        <v>2029.2712750000001</v>
      </c>
      <c r="G61" s="707">
        <v>10741.804625000001</v>
      </c>
      <c r="H61" s="164"/>
    </row>
    <row r="62" spans="1:8" ht="8.4" customHeight="1">
      <c r="A62" s="708" t="s">
        <v>83</v>
      </c>
      <c r="B62" s="709" t="s">
        <v>214</v>
      </c>
      <c r="C62" s="710">
        <v>469091.78316749999</v>
      </c>
      <c r="D62" s="710"/>
      <c r="E62" s="710"/>
      <c r="F62" s="710">
        <v>469091.78316749999</v>
      </c>
      <c r="G62" s="711">
        <v>2194703.5270349998</v>
      </c>
      <c r="H62" s="164"/>
    </row>
    <row r="63" spans="1:8" ht="8.4" customHeight="1">
      <c r="A63" s="708"/>
      <c r="B63" s="709" t="s">
        <v>215</v>
      </c>
      <c r="C63" s="710">
        <v>155961.68482749999</v>
      </c>
      <c r="D63" s="710"/>
      <c r="E63" s="710"/>
      <c r="F63" s="710">
        <v>155961.68482749999</v>
      </c>
      <c r="G63" s="711">
        <v>689893.22251749993</v>
      </c>
      <c r="H63" s="164"/>
    </row>
    <row r="64" spans="1:8" ht="8.4" customHeight="1">
      <c r="A64" s="708"/>
      <c r="B64" s="709" t="s">
        <v>383</v>
      </c>
      <c r="C64" s="710"/>
      <c r="D64" s="710">
        <v>1025.3082475000001</v>
      </c>
      <c r="E64" s="710"/>
      <c r="F64" s="710">
        <v>1025.3082475000001</v>
      </c>
      <c r="G64" s="711">
        <v>1948.9213475000001</v>
      </c>
      <c r="H64" s="164"/>
    </row>
    <row r="65" spans="1:9" ht="8.4" customHeight="1">
      <c r="A65" s="704" t="s">
        <v>356</v>
      </c>
      <c r="B65" s="705"/>
      <c r="C65" s="706">
        <v>625053.46799499996</v>
      </c>
      <c r="D65" s="706">
        <v>1025.3082475000001</v>
      </c>
      <c r="E65" s="706"/>
      <c r="F65" s="706">
        <v>626078.77624249994</v>
      </c>
      <c r="G65" s="707">
        <v>2886545.6708999993</v>
      </c>
      <c r="H65" s="164"/>
    </row>
    <row r="66" spans="1:9" ht="8.4" customHeight="1">
      <c r="A66" s="708" t="s">
        <v>180</v>
      </c>
      <c r="B66" s="709" t="s">
        <v>216</v>
      </c>
      <c r="C66" s="710">
        <v>174665.53898000001</v>
      </c>
      <c r="D66" s="710"/>
      <c r="E66" s="710"/>
      <c r="F66" s="710">
        <v>174665.53898000001</v>
      </c>
      <c r="G66" s="711">
        <v>1425171.1041174999</v>
      </c>
      <c r="H66" s="164"/>
    </row>
    <row r="67" spans="1:9" ht="8.4" customHeight="1">
      <c r="A67" s="708"/>
      <c r="B67" s="709" t="s">
        <v>800</v>
      </c>
      <c r="C67" s="710">
        <v>4865.5901174999999</v>
      </c>
      <c r="D67" s="710"/>
      <c r="E67" s="710"/>
      <c r="F67" s="710">
        <v>4865.5901174999999</v>
      </c>
      <c r="G67" s="711">
        <v>23183.718064999997</v>
      </c>
      <c r="H67" s="164"/>
    </row>
    <row r="68" spans="1:9" ht="8.4" customHeight="1">
      <c r="A68" s="704" t="s">
        <v>801</v>
      </c>
      <c r="B68" s="705"/>
      <c r="C68" s="706">
        <v>179531.1290975</v>
      </c>
      <c r="D68" s="706"/>
      <c r="E68" s="706"/>
      <c r="F68" s="706">
        <v>179531.1290975</v>
      </c>
      <c r="G68" s="707">
        <v>1448354.8221824998</v>
      </c>
      <c r="H68" s="164"/>
    </row>
    <row r="69" spans="1:9" ht="8.4" customHeight="1">
      <c r="A69" s="708" t="s">
        <v>181</v>
      </c>
      <c r="B69" s="709" t="s">
        <v>217</v>
      </c>
      <c r="C69" s="710">
        <v>21932.578030000001</v>
      </c>
      <c r="D69" s="710"/>
      <c r="E69" s="710"/>
      <c r="F69" s="710">
        <v>21932.578030000001</v>
      </c>
      <c r="G69" s="711">
        <v>233369.999755</v>
      </c>
      <c r="H69" s="164"/>
    </row>
    <row r="70" spans="1:9" ht="8.4" customHeight="1">
      <c r="A70" s="704" t="s">
        <v>802</v>
      </c>
      <c r="B70" s="705"/>
      <c r="C70" s="706">
        <v>21932.578030000001</v>
      </c>
      <c r="D70" s="706"/>
      <c r="E70" s="706"/>
      <c r="F70" s="706">
        <v>21932.578030000001</v>
      </c>
      <c r="G70" s="707">
        <v>233369.999755</v>
      </c>
      <c r="H70" s="164"/>
    </row>
    <row r="71" spans="1:9" ht="8.4" customHeight="1">
      <c r="A71" s="708" t="s">
        <v>90</v>
      </c>
      <c r="B71" s="709" t="s">
        <v>224</v>
      </c>
      <c r="C71" s="710"/>
      <c r="D71" s="710">
        <v>16361.16</v>
      </c>
      <c r="E71" s="710"/>
      <c r="F71" s="710">
        <v>16361.16</v>
      </c>
      <c r="G71" s="711">
        <v>93052.262690000003</v>
      </c>
      <c r="H71" s="164"/>
    </row>
    <row r="72" spans="1:9" ht="8.4" customHeight="1">
      <c r="A72" s="708"/>
      <c r="B72" s="709" t="s">
        <v>225</v>
      </c>
      <c r="C72" s="710"/>
      <c r="D72" s="710">
        <v>5824.9849999999997</v>
      </c>
      <c r="E72" s="710"/>
      <c r="F72" s="710">
        <v>5824.9849999999997</v>
      </c>
      <c r="G72" s="711">
        <v>26860.372972500001</v>
      </c>
      <c r="H72" s="699"/>
    </row>
    <row r="73" spans="1:9" ht="8.4" customHeight="1">
      <c r="A73" s="708"/>
      <c r="B73" s="709" t="s">
        <v>803</v>
      </c>
      <c r="C73" s="710"/>
      <c r="D73" s="710">
        <v>4139.8149999999996</v>
      </c>
      <c r="E73" s="710"/>
      <c r="F73" s="710">
        <v>4139.8149999999996</v>
      </c>
      <c r="G73" s="711">
        <v>5397.5611324999991</v>
      </c>
      <c r="H73" s="699"/>
    </row>
    <row r="74" spans="1:9" ht="8.4" customHeight="1">
      <c r="A74" s="704" t="s">
        <v>804</v>
      </c>
      <c r="B74" s="705"/>
      <c r="C74" s="706"/>
      <c r="D74" s="706">
        <v>26325.96</v>
      </c>
      <c r="E74" s="706"/>
      <c r="F74" s="706">
        <v>26325.96</v>
      </c>
      <c r="G74" s="707">
        <v>125310.196795</v>
      </c>
      <c r="H74" s="699"/>
    </row>
    <row r="75" spans="1:9" ht="8.4" customHeight="1">
      <c r="A75" s="708" t="s">
        <v>91</v>
      </c>
      <c r="B75" s="709" t="s">
        <v>71</v>
      </c>
      <c r="C75" s="710"/>
      <c r="D75" s="710"/>
      <c r="E75" s="710">
        <v>28930.266264999998</v>
      </c>
      <c r="F75" s="710">
        <v>28930.266264999998</v>
      </c>
      <c r="G75" s="711">
        <v>128829.90738500001</v>
      </c>
      <c r="H75" s="699"/>
    </row>
    <row r="76" spans="1:9" ht="8.4" customHeight="1">
      <c r="A76" s="708"/>
      <c r="B76" s="709" t="s">
        <v>73</v>
      </c>
      <c r="C76" s="710"/>
      <c r="D76" s="710"/>
      <c r="E76" s="710">
        <v>11698.24511</v>
      </c>
      <c r="F76" s="710">
        <v>11698.24511</v>
      </c>
      <c r="G76" s="711">
        <v>40303.828105000001</v>
      </c>
      <c r="H76" s="699"/>
    </row>
    <row r="77" spans="1:9" ht="8.4" customHeight="1">
      <c r="A77" s="704" t="s">
        <v>805</v>
      </c>
      <c r="B77" s="705"/>
      <c r="C77" s="706"/>
      <c r="D77" s="706"/>
      <c r="E77" s="706">
        <v>40628.511375000002</v>
      </c>
      <c r="F77" s="706">
        <v>40628.511375000002</v>
      </c>
      <c r="G77" s="707">
        <v>169133.73549000002</v>
      </c>
      <c r="H77" s="699"/>
    </row>
    <row r="78" spans="1:9" ht="8.4" customHeight="1">
      <c r="A78" s="708" t="s">
        <v>376</v>
      </c>
      <c r="B78" s="709" t="s">
        <v>384</v>
      </c>
      <c r="C78" s="710"/>
      <c r="D78" s="710"/>
      <c r="E78" s="710">
        <v>54581.911249999997</v>
      </c>
      <c r="F78" s="710">
        <v>54581.911249999997</v>
      </c>
      <c r="G78" s="711">
        <v>263683.14675000001</v>
      </c>
      <c r="H78" s="699"/>
      <c r="I78" s="266"/>
    </row>
    <row r="79" spans="1:9" ht="8.4" customHeight="1">
      <c r="A79" s="704" t="s">
        <v>806</v>
      </c>
      <c r="B79" s="705"/>
      <c r="C79" s="706"/>
      <c r="D79" s="706"/>
      <c r="E79" s="706">
        <v>54581.911249999997</v>
      </c>
      <c r="F79" s="706">
        <v>54581.911249999997</v>
      </c>
      <c r="G79" s="707">
        <v>263683.14675000001</v>
      </c>
      <c r="H79" s="699"/>
      <c r="I79" s="266"/>
    </row>
    <row r="80" spans="1:9" ht="8.4" customHeight="1">
      <c r="A80" s="708" t="s">
        <v>81</v>
      </c>
      <c r="B80" s="709" t="s">
        <v>377</v>
      </c>
      <c r="C80" s="710"/>
      <c r="D80" s="710"/>
      <c r="E80" s="710">
        <v>79671.679417499996</v>
      </c>
      <c r="F80" s="710">
        <v>79671.679417499996</v>
      </c>
      <c r="G80" s="711">
        <v>398584.86743499996</v>
      </c>
      <c r="H80" s="699"/>
      <c r="I80" s="266"/>
    </row>
    <row r="81" spans="1:9" ht="8.4" customHeight="1">
      <c r="A81" s="708"/>
      <c r="B81" s="709" t="s">
        <v>385</v>
      </c>
      <c r="C81" s="710"/>
      <c r="D81" s="710"/>
      <c r="E81" s="710">
        <v>7750.6251424999991</v>
      </c>
      <c r="F81" s="710">
        <v>7750.6251424999991</v>
      </c>
      <c r="G81" s="711">
        <v>33478.135484999999</v>
      </c>
      <c r="H81" s="699"/>
      <c r="I81" s="266"/>
    </row>
    <row r="82" spans="1:9" ht="8.4" customHeight="1">
      <c r="A82" s="708"/>
      <c r="B82" s="709" t="s">
        <v>550</v>
      </c>
      <c r="C82" s="710">
        <v>0</v>
      </c>
      <c r="D82" s="710"/>
      <c r="E82" s="710"/>
      <c r="F82" s="710">
        <v>0</v>
      </c>
      <c r="G82" s="711">
        <v>155121.39869999999</v>
      </c>
      <c r="H82" s="699"/>
    </row>
    <row r="83" spans="1:9" ht="8.4" customHeight="1">
      <c r="A83" s="708"/>
      <c r="B83" s="709" t="s">
        <v>226</v>
      </c>
      <c r="C83" s="710">
        <v>58362.682775000001</v>
      </c>
      <c r="D83" s="710"/>
      <c r="E83" s="710"/>
      <c r="F83" s="710">
        <v>58362.682775000001</v>
      </c>
      <c r="G83" s="711">
        <v>349556.36250749999</v>
      </c>
    </row>
    <row r="84" spans="1:9">
      <c r="A84" s="708"/>
      <c r="B84" s="709" t="s">
        <v>318</v>
      </c>
      <c r="C84" s="710"/>
      <c r="D84" s="710"/>
      <c r="E84" s="710">
        <v>7958.4433074999997</v>
      </c>
      <c r="F84" s="710">
        <v>7958.4433074999997</v>
      </c>
      <c r="G84" s="711">
        <v>40490.060627500003</v>
      </c>
    </row>
    <row r="85" spans="1:9">
      <c r="A85" s="708"/>
      <c r="B85" s="709" t="s">
        <v>227</v>
      </c>
      <c r="C85" s="710"/>
      <c r="D85" s="710">
        <v>312113.08984249999</v>
      </c>
      <c r="E85" s="710"/>
      <c r="F85" s="710">
        <v>312113.08984249999</v>
      </c>
      <c r="G85" s="711">
        <v>1306666.038465</v>
      </c>
    </row>
    <row r="86" spans="1:9">
      <c r="A86" s="781"/>
      <c r="B86" s="782" t="s">
        <v>228</v>
      </c>
      <c r="C86" s="783"/>
      <c r="D86" s="783">
        <v>1691.7557174999999</v>
      </c>
      <c r="E86" s="783"/>
      <c r="F86" s="783">
        <v>1691.7557174999999</v>
      </c>
      <c r="G86" s="784">
        <v>30801.085655000003</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87"/>
  <sheetViews>
    <sheetView showGridLines="0" view="pageBreakPreview" zoomScale="130" zoomScaleNormal="100" zoomScaleSheetLayoutView="130" zoomScalePageLayoutView="130" workbookViewId="0">
      <selection activeCell="D22" sqref="D22"/>
    </sheetView>
  </sheetViews>
  <sheetFormatPr baseColWidth="10"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87" t="s">
        <v>191</v>
      </c>
      <c r="B1" s="890" t="s">
        <v>49</v>
      </c>
      <c r="C1" s="893" t="str">
        <f>+'18. ANEXOI-1'!C2:F2</f>
        <v>ENERGÍA PRODUCIDA MAYO 2025</v>
      </c>
      <c r="D1" s="893"/>
      <c r="E1" s="893"/>
      <c r="F1" s="893"/>
      <c r="G1" s="401" t="s">
        <v>195</v>
      </c>
      <c r="H1" s="168"/>
    </row>
    <row r="2" spans="1:8" ht="11.25" customHeight="1">
      <c r="A2" s="888"/>
      <c r="B2" s="891"/>
      <c r="C2" s="894" t="s">
        <v>196</v>
      </c>
      <c r="D2" s="894"/>
      <c r="E2" s="894"/>
      <c r="F2" s="895" t="str">
        <f>"TOTAL 
"&amp;UPPER('1. Resumen'!Q4)</f>
        <v>TOTAL 
MAYO</v>
      </c>
      <c r="G2" s="402" t="s">
        <v>197</v>
      </c>
      <c r="H2" s="162"/>
    </row>
    <row r="3" spans="1:8" ht="11.25" customHeight="1">
      <c r="A3" s="888"/>
      <c r="B3" s="891"/>
      <c r="C3" s="397" t="s">
        <v>162</v>
      </c>
      <c r="D3" s="397" t="s">
        <v>163</v>
      </c>
      <c r="E3" s="397" t="s">
        <v>198</v>
      </c>
      <c r="F3" s="896"/>
      <c r="G3" s="402">
        <v>2025</v>
      </c>
      <c r="H3" s="164"/>
    </row>
    <row r="4" spans="1:8" ht="11.25" customHeight="1">
      <c r="A4" s="897"/>
      <c r="B4" s="898"/>
      <c r="C4" s="398" t="s">
        <v>199</v>
      </c>
      <c r="D4" s="398" t="s">
        <v>199</v>
      </c>
      <c r="E4" s="398" t="s">
        <v>199</v>
      </c>
      <c r="F4" s="398" t="s">
        <v>199</v>
      </c>
      <c r="G4" s="403" t="s">
        <v>155</v>
      </c>
      <c r="H4" s="164"/>
    </row>
    <row r="5" spans="1:8" ht="8.4" customHeight="1">
      <c r="A5" s="708"/>
      <c r="B5" s="709" t="s">
        <v>378</v>
      </c>
      <c r="C5" s="710"/>
      <c r="D5" s="710">
        <v>0</v>
      </c>
      <c r="E5" s="710"/>
      <c r="F5" s="710">
        <v>0</v>
      </c>
      <c r="G5" s="711">
        <v>0</v>
      </c>
    </row>
    <row r="6" spans="1:8" ht="8.4" customHeight="1">
      <c r="A6" s="708"/>
      <c r="B6" s="709" t="s">
        <v>229</v>
      </c>
      <c r="C6" s="710"/>
      <c r="D6" s="710">
        <v>0</v>
      </c>
      <c r="E6" s="710"/>
      <c r="F6" s="710">
        <v>0</v>
      </c>
      <c r="G6" s="711">
        <v>9388.0666975000004</v>
      </c>
    </row>
    <row r="7" spans="1:8" ht="8.4" customHeight="1">
      <c r="A7" s="708"/>
      <c r="B7" s="709" t="s">
        <v>807</v>
      </c>
      <c r="C7" s="710"/>
      <c r="D7" s="710">
        <v>0</v>
      </c>
      <c r="E7" s="710"/>
      <c r="F7" s="710">
        <v>0</v>
      </c>
      <c r="G7" s="711">
        <v>6939.9628749999993</v>
      </c>
    </row>
    <row r="8" spans="1:8" ht="8.4" customHeight="1">
      <c r="A8" s="704" t="s">
        <v>357</v>
      </c>
      <c r="B8" s="705"/>
      <c r="C8" s="706">
        <v>58362.682775000001</v>
      </c>
      <c r="D8" s="706">
        <v>313804.84555999999</v>
      </c>
      <c r="E8" s="706">
        <v>95380.747867499987</v>
      </c>
      <c r="F8" s="706">
        <v>467548.27620249998</v>
      </c>
      <c r="G8" s="706">
        <v>2331025.9784475002</v>
      </c>
    </row>
    <row r="9" spans="1:8" ht="8.4" customHeight="1">
      <c r="A9" s="708" t="s">
        <v>182</v>
      </c>
      <c r="B9" s="709" t="s">
        <v>230</v>
      </c>
      <c r="C9" s="710"/>
      <c r="D9" s="710">
        <v>244325.97157499997</v>
      </c>
      <c r="E9" s="710"/>
      <c r="F9" s="710">
        <v>244325.97157499997</v>
      </c>
      <c r="G9" s="711">
        <v>1133724.2022250001</v>
      </c>
    </row>
    <row r="10" spans="1:8" ht="8.4" customHeight="1">
      <c r="A10" s="704" t="s">
        <v>808</v>
      </c>
      <c r="B10" s="705"/>
      <c r="C10" s="706"/>
      <c r="D10" s="706">
        <v>244325.97157499997</v>
      </c>
      <c r="E10" s="706"/>
      <c r="F10" s="706">
        <v>244325.97157499997</v>
      </c>
      <c r="G10" s="706">
        <v>1133724.2022250001</v>
      </c>
    </row>
    <row r="11" spans="1:8" ht="8.4" customHeight="1">
      <c r="A11" s="708" t="s">
        <v>334</v>
      </c>
      <c r="B11" s="709" t="s">
        <v>338</v>
      </c>
      <c r="C11" s="710"/>
      <c r="D11" s="710"/>
      <c r="E11" s="710">
        <v>10159.89725</v>
      </c>
      <c r="F11" s="710">
        <v>10159.89725</v>
      </c>
      <c r="G11" s="711">
        <v>64274.594717500004</v>
      </c>
    </row>
    <row r="12" spans="1:8" ht="8.4" customHeight="1">
      <c r="A12" s="708"/>
      <c r="B12" s="709" t="s">
        <v>335</v>
      </c>
      <c r="C12" s="710"/>
      <c r="D12" s="710"/>
      <c r="E12" s="710">
        <v>3971.4627499999997</v>
      </c>
      <c r="F12" s="710">
        <v>3971.4627499999997</v>
      </c>
      <c r="G12" s="711">
        <v>25536.459027500001</v>
      </c>
    </row>
    <row r="13" spans="1:8" ht="8.4" customHeight="1">
      <c r="A13" s="704" t="s">
        <v>809</v>
      </c>
      <c r="B13" s="705"/>
      <c r="C13" s="706"/>
      <c r="D13" s="706"/>
      <c r="E13" s="706">
        <v>14131.36</v>
      </c>
      <c r="F13" s="706">
        <v>14131.36</v>
      </c>
      <c r="G13" s="706">
        <v>89811.053745000012</v>
      </c>
    </row>
    <row r="14" spans="1:8" ht="8.4" customHeight="1">
      <c r="A14" s="708" t="s">
        <v>99</v>
      </c>
      <c r="B14" s="709" t="s">
        <v>311</v>
      </c>
      <c r="C14" s="710"/>
      <c r="D14" s="710"/>
      <c r="E14" s="710">
        <v>12053.036375</v>
      </c>
      <c r="F14" s="710">
        <v>12053.036375</v>
      </c>
      <c r="G14" s="711">
        <v>68538.960164999997</v>
      </c>
    </row>
    <row r="15" spans="1:8" ht="8.4" customHeight="1">
      <c r="A15" s="708"/>
      <c r="B15" s="709" t="s">
        <v>309</v>
      </c>
      <c r="C15" s="710"/>
      <c r="D15" s="710"/>
      <c r="E15" s="710">
        <v>12470.293215</v>
      </c>
      <c r="F15" s="710">
        <v>12470.293215</v>
      </c>
      <c r="G15" s="711">
        <v>68735.869892500006</v>
      </c>
    </row>
    <row r="16" spans="1:8" ht="8.4" customHeight="1">
      <c r="A16" s="708"/>
      <c r="B16" s="709" t="s">
        <v>310</v>
      </c>
      <c r="C16" s="710"/>
      <c r="D16" s="710"/>
      <c r="E16" s="710">
        <v>12275.521864999999</v>
      </c>
      <c r="F16" s="710">
        <v>12275.521864999999</v>
      </c>
      <c r="G16" s="711">
        <v>60740.137102499997</v>
      </c>
    </row>
    <row r="17" spans="1:7" ht="8.4" customHeight="1">
      <c r="A17" s="708"/>
      <c r="B17" s="709" t="s">
        <v>60</v>
      </c>
      <c r="C17" s="710"/>
      <c r="D17" s="710"/>
      <c r="E17" s="710">
        <v>4452.7914074999999</v>
      </c>
      <c r="F17" s="710">
        <v>4452.7914074999999</v>
      </c>
      <c r="G17" s="711">
        <v>19819.478532500001</v>
      </c>
    </row>
    <row r="18" spans="1:7" ht="8.4" customHeight="1">
      <c r="A18" s="704" t="s">
        <v>810</v>
      </c>
      <c r="B18" s="705"/>
      <c r="C18" s="706"/>
      <c r="D18" s="706"/>
      <c r="E18" s="706">
        <v>41251.642862499997</v>
      </c>
      <c r="F18" s="706">
        <v>41251.642862499997</v>
      </c>
      <c r="G18" s="706">
        <v>217834.44569250001</v>
      </c>
    </row>
    <row r="19" spans="1:7" ht="8.4" customHeight="1">
      <c r="A19" s="708" t="s">
        <v>532</v>
      </c>
      <c r="B19" s="709" t="s">
        <v>811</v>
      </c>
      <c r="C19" s="710"/>
      <c r="D19" s="710">
        <v>20487.768790000002</v>
      </c>
      <c r="E19" s="710"/>
      <c r="F19" s="710">
        <v>20487.768790000002</v>
      </c>
      <c r="G19" s="711">
        <v>151173.98089499999</v>
      </c>
    </row>
    <row r="20" spans="1:7" ht="8.4" customHeight="1">
      <c r="A20" s="704" t="s">
        <v>812</v>
      </c>
      <c r="B20" s="705"/>
      <c r="C20" s="706"/>
      <c r="D20" s="706">
        <v>20487.768790000002</v>
      </c>
      <c r="E20" s="706"/>
      <c r="F20" s="706">
        <v>20487.768790000002</v>
      </c>
      <c r="G20" s="706">
        <v>151173.98089499999</v>
      </c>
    </row>
    <row r="21" spans="1:7" ht="8.4" customHeight="1">
      <c r="A21" s="708" t="s">
        <v>538</v>
      </c>
      <c r="B21" s="709" t="s">
        <v>551</v>
      </c>
      <c r="C21" s="710"/>
      <c r="D21" s="710"/>
      <c r="E21" s="710">
        <v>18561.772355000001</v>
      </c>
      <c r="F21" s="710">
        <v>18561.772355000001</v>
      </c>
      <c r="G21" s="711">
        <v>93578.469899999996</v>
      </c>
    </row>
    <row r="22" spans="1:7" ht="8.4" customHeight="1">
      <c r="A22" s="704" t="s">
        <v>813</v>
      </c>
      <c r="B22" s="705"/>
      <c r="C22" s="706"/>
      <c r="D22" s="706"/>
      <c r="E22" s="706">
        <v>18561.772355000001</v>
      </c>
      <c r="F22" s="706">
        <v>18561.772355000001</v>
      </c>
      <c r="G22" s="706">
        <v>93578.469899999996</v>
      </c>
    </row>
    <row r="23" spans="1:7" ht="8.4" customHeight="1">
      <c r="A23" s="708" t="s">
        <v>346</v>
      </c>
      <c r="B23" s="709" t="s">
        <v>349</v>
      </c>
      <c r="C23" s="710"/>
      <c r="D23" s="710"/>
      <c r="E23" s="710">
        <v>5627.0887725000002</v>
      </c>
      <c r="F23" s="710">
        <v>5627.0887725000002</v>
      </c>
      <c r="G23" s="711">
        <v>18912.080155</v>
      </c>
    </row>
    <row r="24" spans="1:7" ht="8.4" customHeight="1">
      <c r="A24" s="704" t="s">
        <v>814</v>
      </c>
      <c r="B24" s="705"/>
      <c r="C24" s="706"/>
      <c r="D24" s="706"/>
      <c r="E24" s="706">
        <v>5627.0887725000002</v>
      </c>
      <c r="F24" s="706">
        <v>5627.0887725000002</v>
      </c>
      <c r="G24" s="706">
        <v>18912.080155</v>
      </c>
    </row>
    <row r="25" spans="1:7" ht="8.4" customHeight="1">
      <c r="A25" s="708" t="s">
        <v>347</v>
      </c>
      <c r="B25" s="709" t="s">
        <v>350</v>
      </c>
      <c r="C25" s="710"/>
      <c r="D25" s="710"/>
      <c r="E25" s="710">
        <v>7175.9983099999999</v>
      </c>
      <c r="F25" s="710">
        <v>7175.9983099999999</v>
      </c>
      <c r="G25" s="711">
        <v>23674.0556875</v>
      </c>
    </row>
    <row r="26" spans="1:7" ht="8.4" customHeight="1">
      <c r="A26" s="704" t="s">
        <v>815</v>
      </c>
      <c r="B26" s="705"/>
      <c r="C26" s="706"/>
      <c r="D26" s="706"/>
      <c r="E26" s="706">
        <v>7175.9983099999999</v>
      </c>
      <c r="F26" s="706">
        <v>7175.9983099999999</v>
      </c>
      <c r="G26" s="706">
        <v>23674.0556875</v>
      </c>
    </row>
    <row r="27" spans="1:7" ht="8.4" customHeight="1">
      <c r="A27" s="708" t="s">
        <v>105</v>
      </c>
      <c r="B27" s="709" t="s">
        <v>68</v>
      </c>
      <c r="C27" s="710"/>
      <c r="D27" s="710"/>
      <c r="E27" s="710">
        <v>2171</v>
      </c>
      <c r="F27" s="710">
        <v>2171</v>
      </c>
      <c r="G27" s="711">
        <v>12000.7</v>
      </c>
    </row>
    <row r="28" spans="1:7" ht="8.4" customHeight="1">
      <c r="A28" s="704" t="s">
        <v>816</v>
      </c>
      <c r="B28" s="705"/>
      <c r="C28" s="706"/>
      <c r="D28" s="706"/>
      <c r="E28" s="706">
        <v>2171</v>
      </c>
      <c r="F28" s="706">
        <v>2171</v>
      </c>
      <c r="G28" s="706">
        <v>12000.7</v>
      </c>
    </row>
    <row r="29" spans="1:7" ht="8.4" customHeight="1">
      <c r="A29" s="708" t="s">
        <v>95</v>
      </c>
      <c r="B29" s="709" t="s">
        <v>231</v>
      </c>
      <c r="C29" s="710">
        <v>10044.9825</v>
      </c>
      <c r="D29" s="710"/>
      <c r="E29" s="710"/>
      <c r="F29" s="710">
        <v>10044.9825</v>
      </c>
      <c r="G29" s="711">
        <v>62907.802679999993</v>
      </c>
    </row>
    <row r="30" spans="1:7" ht="8.4" customHeight="1">
      <c r="A30" s="704" t="s">
        <v>817</v>
      </c>
      <c r="B30" s="705"/>
      <c r="C30" s="706">
        <v>10044.9825</v>
      </c>
      <c r="D30" s="706"/>
      <c r="E30" s="706"/>
      <c r="F30" s="706">
        <v>10044.9825</v>
      </c>
      <c r="G30" s="706">
        <v>62907.802679999993</v>
      </c>
    </row>
    <row r="31" spans="1:7" ht="8.4" customHeight="1">
      <c r="A31" s="708" t="s">
        <v>779</v>
      </c>
      <c r="B31" s="709" t="s">
        <v>53</v>
      </c>
      <c r="C31" s="710"/>
      <c r="D31" s="710"/>
      <c r="E31" s="710">
        <v>13563.98575</v>
      </c>
      <c r="F31" s="710">
        <v>13563.98575</v>
      </c>
      <c r="G31" s="711">
        <v>56241.295512500001</v>
      </c>
    </row>
    <row r="32" spans="1:7" s="39" customFormat="1" ht="8.4" customHeight="1">
      <c r="A32" s="704" t="s">
        <v>818</v>
      </c>
      <c r="B32" s="705"/>
      <c r="C32" s="706"/>
      <c r="D32" s="706"/>
      <c r="E32" s="706">
        <v>13563.98575</v>
      </c>
      <c r="F32" s="706">
        <v>13563.98575</v>
      </c>
      <c r="G32" s="706">
        <v>56241.295512500001</v>
      </c>
    </row>
    <row r="33" spans="1:7" ht="8.4" customHeight="1">
      <c r="A33" s="708" t="s">
        <v>621</v>
      </c>
      <c r="B33" s="709" t="s">
        <v>819</v>
      </c>
      <c r="C33" s="710">
        <v>43457.707637499996</v>
      </c>
      <c r="D33" s="710"/>
      <c r="E33" s="710"/>
      <c r="F33" s="710">
        <v>43457.707637499996</v>
      </c>
      <c r="G33" s="711">
        <v>43457.707637499996</v>
      </c>
    </row>
    <row r="34" spans="1:7" ht="8.4" customHeight="1">
      <c r="A34" s="708"/>
      <c r="B34" s="709" t="s">
        <v>820</v>
      </c>
      <c r="C34" s="710"/>
      <c r="D34" s="710"/>
      <c r="E34" s="710"/>
      <c r="F34" s="710"/>
      <c r="G34" s="711">
        <v>17823.247504999999</v>
      </c>
    </row>
    <row r="35" spans="1:7" ht="8.4" customHeight="1">
      <c r="A35" s="704" t="s">
        <v>821</v>
      </c>
      <c r="B35" s="705"/>
      <c r="C35" s="706">
        <v>43457.707637499996</v>
      </c>
      <c r="D35" s="706"/>
      <c r="E35" s="706"/>
      <c r="F35" s="706">
        <v>43457.707637499996</v>
      </c>
      <c r="G35" s="706">
        <v>61280.955142499995</v>
      </c>
    </row>
    <row r="36" spans="1:7" ht="8.4" customHeight="1">
      <c r="A36" s="708" t="s">
        <v>778</v>
      </c>
      <c r="B36" s="709" t="s">
        <v>321</v>
      </c>
      <c r="C36" s="710">
        <v>66223.657287499998</v>
      </c>
      <c r="D36" s="710"/>
      <c r="E36" s="710"/>
      <c r="F36" s="710">
        <v>66223.657287499998</v>
      </c>
      <c r="G36" s="711">
        <v>321534.2758225</v>
      </c>
    </row>
    <row r="37" spans="1:7" ht="8.4" customHeight="1">
      <c r="A37" s="704" t="s">
        <v>822</v>
      </c>
      <c r="B37" s="705"/>
      <c r="C37" s="706">
        <v>66223.657287499998</v>
      </c>
      <c r="D37" s="706"/>
      <c r="E37" s="706"/>
      <c r="F37" s="706">
        <v>66223.657287499998</v>
      </c>
      <c r="G37" s="706">
        <v>321534.2758225</v>
      </c>
    </row>
    <row r="38" spans="1:7" ht="8.4" customHeight="1">
      <c r="A38" s="708" t="s">
        <v>588</v>
      </c>
      <c r="B38" s="709" t="s">
        <v>247</v>
      </c>
      <c r="C38" s="710">
        <v>3222.4297375000001</v>
      </c>
      <c r="D38" s="710"/>
      <c r="E38" s="710"/>
      <c r="F38" s="710">
        <v>3222.4297375000001</v>
      </c>
      <c r="G38" s="711">
        <v>11599.17391</v>
      </c>
    </row>
    <row r="39" spans="1:7" ht="8.4" customHeight="1">
      <c r="A39" s="704" t="s">
        <v>823</v>
      </c>
      <c r="B39" s="705"/>
      <c r="C39" s="706">
        <v>3222.4297375000001</v>
      </c>
      <c r="D39" s="706"/>
      <c r="E39" s="706"/>
      <c r="F39" s="706">
        <v>3222.4297375000001</v>
      </c>
      <c r="G39" s="706">
        <v>11599.17391</v>
      </c>
    </row>
    <row r="40" spans="1:7" ht="8.4" customHeight="1">
      <c r="A40" s="708" t="s">
        <v>107</v>
      </c>
      <c r="B40" s="709" t="s">
        <v>824</v>
      </c>
      <c r="C40" s="710"/>
      <c r="D40" s="710">
        <v>93.115705000000005</v>
      </c>
      <c r="E40" s="710"/>
      <c r="F40" s="710">
        <v>93.115705000000005</v>
      </c>
      <c r="G40" s="711">
        <v>452.37551999999999</v>
      </c>
    </row>
    <row r="41" spans="1:7" ht="8.4" customHeight="1">
      <c r="A41" s="708"/>
      <c r="B41" s="709" t="s">
        <v>825</v>
      </c>
      <c r="C41" s="710"/>
      <c r="D41" s="710">
        <v>4.4289424999999998</v>
      </c>
      <c r="E41" s="710"/>
      <c r="F41" s="710">
        <v>4.4289424999999998</v>
      </c>
      <c r="G41" s="711">
        <v>754.31215499999996</v>
      </c>
    </row>
    <row r="42" spans="1:7" ht="8.4" customHeight="1">
      <c r="A42" s="704" t="s">
        <v>826</v>
      </c>
      <c r="B42" s="705"/>
      <c r="C42" s="706"/>
      <c r="D42" s="706">
        <v>97.544647500000011</v>
      </c>
      <c r="E42" s="706"/>
      <c r="F42" s="706">
        <v>97.544647500000011</v>
      </c>
      <c r="G42" s="706">
        <v>1206.6876749999999</v>
      </c>
    </row>
    <row r="43" spans="1:7" ht="8.4" customHeight="1">
      <c r="A43" s="708" t="s">
        <v>620</v>
      </c>
      <c r="B43" s="709" t="s">
        <v>631</v>
      </c>
      <c r="C43" s="710"/>
      <c r="D43" s="710"/>
      <c r="E43" s="710">
        <v>51283.627</v>
      </c>
      <c r="F43" s="710">
        <v>51283.627</v>
      </c>
      <c r="G43" s="711">
        <v>84139.888000000006</v>
      </c>
    </row>
    <row r="44" spans="1:7" ht="8.4" customHeight="1">
      <c r="A44" s="704" t="s">
        <v>827</v>
      </c>
      <c r="B44" s="705"/>
      <c r="C44" s="706"/>
      <c r="D44" s="706"/>
      <c r="E44" s="706">
        <v>51283.627</v>
      </c>
      <c r="F44" s="706">
        <v>51283.627</v>
      </c>
      <c r="G44" s="706">
        <v>84139.888000000006</v>
      </c>
    </row>
    <row r="45" spans="1:7" ht="8.4" customHeight="1">
      <c r="A45" s="708" t="s">
        <v>777</v>
      </c>
      <c r="B45" s="709" t="s">
        <v>319</v>
      </c>
      <c r="C45" s="710">
        <v>404129.56717750005</v>
      </c>
      <c r="D45" s="710"/>
      <c r="E45" s="710"/>
      <c r="F45" s="710">
        <v>404129.56717750005</v>
      </c>
      <c r="G45" s="711">
        <v>1893447.4689300002</v>
      </c>
    </row>
    <row r="46" spans="1:7" ht="8.4" customHeight="1">
      <c r="A46" s="708"/>
      <c r="B46" s="709" t="s">
        <v>233</v>
      </c>
      <c r="C46" s="710"/>
      <c r="D46" s="710">
        <v>427759.2127875</v>
      </c>
      <c r="E46" s="710"/>
      <c r="F46" s="710">
        <v>427759.2127875</v>
      </c>
      <c r="G46" s="711">
        <v>2130631.8347450001</v>
      </c>
    </row>
    <row r="47" spans="1:7" ht="8.4" customHeight="1">
      <c r="A47" s="708"/>
      <c r="B47" s="709" t="s">
        <v>370</v>
      </c>
      <c r="C47" s="710"/>
      <c r="D47" s="710">
        <v>185897.86343</v>
      </c>
      <c r="E47" s="710"/>
      <c r="F47" s="710">
        <v>185897.86343</v>
      </c>
      <c r="G47" s="711">
        <v>924347.38389500009</v>
      </c>
    </row>
    <row r="48" spans="1:7" ht="8.4" customHeight="1">
      <c r="A48" s="708"/>
      <c r="B48" s="709" t="s">
        <v>234</v>
      </c>
      <c r="C48" s="710">
        <v>6597.2695599999997</v>
      </c>
      <c r="D48" s="710"/>
      <c r="E48" s="710"/>
      <c r="F48" s="710">
        <v>6597.2695599999997</v>
      </c>
      <c r="G48" s="711">
        <v>32028.130482500001</v>
      </c>
    </row>
    <row r="49" spans="1:8" ht="8.4" customHeight="1">
      <c r="A49" s="704" t="s">
        <v>828</v>
      </c>
      <c r="B49" s="705"/>
      <c r="C49" s="706">
        <v>410726.83673750004</v>
      </c>
      <c r="D49" s="706">
        <v>613657.07621750003</v>
      </c>
      <c r="E49" s="706"/>
      <c r="F49" s="706">
        <v>1024383.9129550001</v>
      </c>
      <c r="G49" s="706">
        <v>4980454.8180525014</v>
      </c>
    </row>
    <row r="50" spans="1:8" ht="8.4" customHeight="1">
      <c r="A50" s="708" t="s">
        <v>380</v>
      </c>
      <c r="B50" s="709" t="s">
        <v>386</v>
      </c>
      <c r="C50" s="710"/>
      <c r="D50" s="710"/>
      <c r="E50" s="710">
        <v>68.851005000000001</v>
      </c>
      <c r="F50" s="710">
        <v>68.851005000000001</v>
      </c>
      <c r="G50" s="711">
        <v>312.68028499999997</v>
      </c>
    </row>
    <row r="51" spans="1:8" ht="8.4" customHeight="1">
      <c r="A51" s="704" t="s">
        <v>829</v>
      </c>
      <c r="B51" s="705"/>
      <c r="C51" s="706"/>
      <c r="D51" s="706"/>
      <c r="E51" s="706">
        <v>68.851005000000001</v>
      </c>
      <c r="F51" s="706">
        <v>68.851005000000001</v>
      </c>
      <c r="G51" s="706">
        <v>312.68028499999997</v>
      </c>
    </row>
    <row r="52" spans="1:8" ht="8.4" customHeight="1">
      <c r="A52" s="708" t="s">
        <v>351</v>
      </c>
      <c r="B52" s="709" t="s">
        <v>369</v>
      </c>
      <c r="C52" s="710">
        <v>50441.341</v>
      </c>
      <c r="D52" s="710"/>
      <c r="E52" s="710"/>
      <c r="F52" s="710">
        <v>50441.341</v>
      </c>
      <c r="G52" s="711">
        <v>241066.26400000002</v>
      </c>
    </row>
    <row r="53" spans="1:8" ht="8.4" customHeight="1">
      <c r="A53" s="704" t="s">
        <v>358</v>
      </c>
      <c r="B53" s="705"/>
      <c r="C53" s="706">
        <v>50441.341</v>
      </c>
      <c r="D53" s="706"/>
      <c r="E53" s="706"/>
      <c r="F53" s="706">
        <v>50441.341</v>
      </c>
      <c r="G53" s="706">
        <v>241066.26400000002</v>
      </c>
      <c r="H53" s="266"/>
    </row>
    <row r="54" spans="1:8" ht="8.4" customHeight="1">
      <c r="A54" s="708" t="s">
        <v>106</v>
      </c>
      <c r="B54" s="709" t="s">
        <v>66</v>
      </c>
      <c r="C54" s="710"/>
      <c r="D54" s="710"/>
      <c r="E54" s="710">
        <v>1389.8525</v>
      </c>
      <c r="F54" s="710">
        <v>1389.8525</v>
      </c>
      <c r="G54" s="711">
        <v>8815.9847499999996</v>
      </c>
    </row>
    <row r="55" spans="1:8" ht="8.4" customHeight="1">
      <c r="A55" s="704" t="s">
        <v>830</v>
      </c>
      <c r="B55" s="705"/>
      <c r="C55" s="706"/>
      <c r="D55" s="706"/>
      <c r="E55" s="706">
        <v>1389.8525</v>
      </c>
      <c r="F55" s="706">
        <v>1389.8525</v>
      </c>
      <c r="G55" s="706">
        <v>8815.9847499999996</v>
      </c>
    </row>
    <row r="56" spans="1:8" ht="8.4" customHeight="1">
      <c r="A56" s="708" t="s">
        <v>780</v>
      </c>
      <c r="B56" s="709" t="s">
        <v>176</v>
      </c>
      <c r="C56" s="710"/>
      <c r="D56" s="710"/>
      <c r="E56" s="710">
        <v>3601.1886650000001</v>
      </c>
      <c r="F56" s="710">
        <v>3601.1886650000001</v>
      </c>
      <c r="G56" s="711">
        <v>18196.708847499998</v>
      </c>
    </row>
    <row r="57" spans="1:8" ht="8.4" customHeight="1">
      <c r="A57" s="704" t="s">
        <v>831</v>
      </c>
      <c r="B57" s="705"/>
      <c r="C57" s="706"/>
      <c r="D57" s="706"/>
      <c r="E57" s="706">
        <v>3601.1886650000001</v>
      </c>
      <c r="F57" s="706">
        <v>3601.1886650000001</v>
      </c>
      <c r="G57" s="706">
        <v>18196.708847499998</v>
      </c>
    </row>
    <row r="58" spans="1:8" ht="8.4" customHeight="1">
      <c r="A58" s="708" t="s">
        <v>101</v>
      </c>
      <c r="B58" s="709" t="s">
        <v>75</v>
      </c>
      <c r="C58" s="710"/>
      <c r="D58" s="710"/>
      <c r="E58" s="710">
        <v>3582.6165000000001</v>
      </c>
      <c r="F58" s="710">
        <v>3582.6165000000001</v>
      </c>
      <c r="G58" s="711">
        <v>19155.964250000001</v>
      </c>
    </row>
    <row r="59" spans="1:8" ht="8.4" customHeight="1">
      <c r="A59" s="704" t="s">
        <v>832</v>
      </c>
      <c r="B59" s="705"/>
      <c r="C59" s="706"/>
      <c r="D59" s="706"/>
      <c r="E59" s="706">
        <v>3582.6165000000001</v>
      </c>
      <c r="F59" s="706">
        <v>3582.6165000000001</v>
      </c>
      <c r="G59" s="706">
        <v>19155.964250000001</v>
      </c>
    </row>
    <row r="60" spans="1:8" ht="8.4" customHeight="1">
      <c r="A60" s="708" t="s">
        <v>183</v>
      </c>
      <c r="B60" s="709" t="s">
        <v>65</v>
      </c>
      <c r="C60" s="710"/>
      <c r="D60" s="710"/>
      <c r="E60" s="710">
        <v>3948.0005799999999</v>
      </c>
      <c r="F60" s="710">
        <v>3948.0005799999999</v>
      </c>
      <c r="G60" s="711">
        <v>18861.694309999999</v>
      </c>
    </row>
    <row r="61" spans="1:8" ht="8.4" customHeight="1">
      <c r="A61" s="708"/>
      <c r="B61" s="709" t="s">
        <v>235</v>
      </c>
      <c r="C61" s="710">
        <v>153156.50965749999</v>
      </c>
      <c r="D61" s="710"/>
      <c r="E61" s="710"/>
      <c r="F61" s="710">
        <v>153156.50965749999</v>
      </c>
      <c r="G61" s="711">
        <v>770454.50514249993</v>
      </c>
    </row>
    <row r="62" spans="1:8" ht="8.4" customHeight="1">
      <c r="A62" s="708"/>
      <c r="B62" s="709" t="s">
        <v>236</v>
      </c>
      <c r="C62" s="710">
        <v>64922.889512499998</v>
      </c>
      <c r="D62" s="710"/>
      <c r="E62" s="710"/>
      <c r="F62" s="710">
        <v>64922.889512499998</v>
      </c>
      <c r="G62" s="711">
        <v>310283.29259500001</v>
      </c>
    </row>
    <row r="63" spans="1:8" ht="8.4" customHeight="1">
      <c r="A63" s="708"/>
      <c r="B63" s="709" t="s">
        <v>56</v>
      </c>
      <c r="C63" s="710"/>
      <c r="D63" s="710"/>
      <c r="E63" s="710">
        <v>7172.5458200000003</v>
      </c>
      <c r="F63" s="710">
        <v>7172.5458200000003</v>
      </c>
      <c r="G63" s="711">
        <v>35499.246505000003</v>
      </c>
    </row>
    <row r="64" spans="1:8" ht="8.4" customHeight="1">
      <c r="A64" s="704" t="s">
        <v>359</v>
      </c>
      <c r="B64" s="705"/>
      <c r="C64" s="706">
        <v>218079.39916999999</v>
      </c>
      <c r="D64" s="706"/>
      <c r="E64" s="706">
        <v>11120.546399999999</v>
      </c>
      <c r="F64" s="706">
        <v>229199.94556999998</v>
      </c>
      <c r="G64" s="706">
        <v>1135098.7385524998</v>
      </c>
    </row>
    <row r="65" spans="1:8" ht="8.4" customHeight="1">
      <c r="A65" s="708" t="s">
        <v>540</v>
      </c>
      <c r="B65" s="709" t="s">
        <v>549</v>
      </c>
      <c r="C65" s="710"/>
      <c r="D65" s="710"/>
      <c r="E65" s="710">
        <v>38481.503250000002</v>
      </c>
      <c r="F65" s="710">
        <v>38481.503250000002</v>
      </c>
      <c r="G65" s="711">
        <v>193941.54124750002</v>
      </c>
    </row>
    <row r="66" spans="1:8" ht="8.4" customHeight="1">
      <c r="A66" s="708"/>
      <c r="B66" s="709" t="s">
        <v>316</v>
      </c>
      <c r="C66" s="710"/>
      <c r="D66" s="710"/>
      <c r="E66" s="710">
        <v>44284.672749999998</v>
      </c>
      <c r="F66" s="710">
        <v>44284.672749999998</v>
      </c>
      <c r="G66" s="711">
        <v>201665.46523500001</v>
      </c>
    </row>
    <row r="67" spans="1:8" ht="8.4" customHeight="1">
      <c r="A67" s="708"/>
      <c r="B67" s="709" t="s">
        <v>340</v>
      </c>
      <c r="C67" s="710">
        <v>58066.253250000009</v>
      </c>
      <c r="D67" s="710"/>
      <c r="E67" s="710"/>
      <c r="F67" s="710">
        <v>58066.253250000009</v>
      </c>
      <c r="G67" s="711">
        <v>279763.48370500002</v>
      </c>
    </row>
    <row r="68" spans="1:8" ht="8.4" customHeight="1">
      <c r="A68" s="708"/>
      <c r="B68" s="709" t="s">
        <v>312</v>
      </c>
      <c r="C68" s="710"/>
      <c r="D68" s="710"/>
      <c r="E68" s="710">
        <v>466.63200000000001</v>
      </c>
      <c r="F68" s="710">
        <v>466.63200000000001</v>
      </c>
      <c r="G68" s="711">
        <v>1778.5670875000001</v>
      </c>
    </row>
    <row r="69" spans="1:8" ht="8.4" customHeight="1">
      <c r="A69" s="708"/>
      <c r="B69" s="709" t="s">
        <v>218</v>
      </c>
      <c r="C69" s="710">
        <v>21827.90825</v>
      </c>
      <c r="D69" s="710"/>
      <c r="E69" s="710"/>
      <c r="F69" s="710">
        <v>21827.90825</v>
      </c>
      <c r="G69" s="711">
        <v>84298.168057500006</v>
      </c>
    </row>
    <row r="70" spans="1:8" ht="8.4" customHeight="1">
      <c r="A70" s="708"/>
      <c r="B70" s="709" t="s">
        <v>219</v>
      </c>
      <c r="C70" s="710">
        <v>124090.287</v>
      </c>
      <c r="D70" s="710"/>
      <c r="E70" s="710"/>
      <c r="F70" s="710">
        <v>124090.287</v>
      </c>
      <c r="G70" s="711">
        <v>704360.54536999995</v>
      </c>
    </row>
    <row r="71" spans="1:8" ht="8.4" customHeight="1">
      <c r="A71" s="708"/>
      <c r="B71" s="709" t="s">
        <v>220</v>
      </c>
      <c r="C71" s="710">
        <v>91344.75275</v>
      </c>
      <c r="D71" s="710"/>
      <c r="E71" s="710"/>
      <c r="F71" s="710">
        <v>91344.75275</v>
      </c>
      <c r="G71" s="711">
        <v>453805.91069999995</v>
      </c>
    </row>
    <row r="72" spans="1:8" ht="8.4" customHeight="1">
      <c r="A72" s="708"/>
      <c r="B72" s="709" t="s">
        <v>221</v>
      </c>
      <c r="C72" s="710">
        <v>32275.90625</v>
      </c>
      <c r="D72" s="710"/>
      <c r="E72" s="710"/>
      <c r="F72" s="710">
        <v>32275.90625</v>
      </c>
      <c r="G72" s="711">
        <v>212258.05260250001</v>
      </c>
    </row>
    <row r="73" spans="1:8" ht="8.4" customHeight="1">
      <c r="A73" s="708"/>
      <c r="B73" s="709" t="s">
        <v>833</v>
      </c>
      <c r="C73" s="710"/>
      <c r="D73" s="710"/>
      <c r="E73" s="710">
        <v>24219.148000000001</v>
      </c>
      <c r="F73" s="710">
        <v>24219.148000000001</v>
      </c>
      <c r="G73" s="711">
        <v>129328.55028000001</v>
      </c>
    </row>
    <row r="74" spans="1:8" ht="8.4" customHeight="1">
      <c r="A74" s="708"/>
      <c r="B74" s="709" t="s">
        <v>317</v>
      </c>
      <c r="C74" s="710"/>
      <c r="D74" s="710"/>
      <c r="E74" s="710">
        <v>32674.302750000003</v>
      </c>
      <c r="F74" s="710">
        <v>32674.302750000003</v>
      </c>
      <c r="G74" s="711">
        <v>169954.148705</v>
      </c>
      <c r="H74" s="761"/>
    </row>
    <row r="75" spans="1:8" ht="8.4" customHeight="1">
      <c r="A75" s="708"/>
      <c r="B75" s="709" t="s">
        <v>834</v>
      </c>
      <c r="C75" s="710"/>
      <c r="D75" s="710">
        <v>1154.42975</v>
      </c>
      <c r="E75" s="710"/>
      <c r="F75" s="710">
        <v>1154.42975</v>
      </c>
      <c r="G75" s="711">
        <v>25909.842834999999</v>
      </c>
    </row>
    <row r="76" spans="1:8" ht="8.4" customHeight="1">
      <c r="A76" s="708"/>
      <c r="B76" s="709" t="s">
        <v>222</v>
      </c>
      <c r="C76" s="710"/>
      <c r="D76" s="710">
        <v>6620.0649999999996</v>
      </c>
      <c r="E76" s="710"/>
      <c r="F76" s="710">
        <v>6620.0649999999996</v>
      </c>
      <c r="G76" s="711">
        <v>66366.104565000001</v>
      </c>
    </row>
    <row r="77" spans="1:8" ht="8.4" customHeight="1">
      <c r="A77" s="708"/>
      <c r="B77" s="709" t="s">
        <v>223</v>
      </c>
      <c r="C77" s="710"/>
      <c r="D77" s="710">
        <v>267663.3015</v>
      </c>
      <c r="E77" s="710"/>
      <c r="F77" s="710">
        <v>267663.3015</v>
      </c>
      <c r="G77" s="711">
        <v>1007913.9940525</v>
      </c>
    </row>
    <row r="78" spans="1:8" ht="8.4" customHeight="1">
      <c r="A78" s="704" t="s">
        <v>835</v>
      </c>
      <c r="B78" s="705"/>
      <c r="C78" s="706">
        <v>327605.10749999998</v>
      </c>
      <c r="D78" s="706">
        <v>275437.79625000001</v>
      </c>
      <c r="E78" s="706">
        <v>140126.25875000001</v>
      </c>
      <c r="F78" s="706">
        <v>743169.16249999998</v>
      </c>
      <c r="G78" s="706">
        <v>3531344.3744425001</v>
      </c>
    </row>
    <row r="79" spans="1:8" ht="8.4" customHeight="1">
      <c r="A79" s="708" t="s">
        <v>184</v>
      </c>
      <c r="B79" s="709" t="s">
        <v>72</v>
      </c>
      <c r="C79" s="710"/>
      <c r="D79" s="710"/>
      <c r="E79" s="710">
        <v>14185.688845000001</v>
      </c>
      <c r="F79" s="710">
        <v>14185.688845000001</v>
      </c>
      <c r="G79" s="711">
        <v>65873.126730000004</v>
      </c>
    </row>
    <row r="80" spans="1:8" ht="8.4" customHeight="1">
      <c r="A80" s="704" t="s">
        <v>836</v>
      </c>
      <c r="B80" s="705"/>
      <c r="C80" s="706"/>
      <c r="D80" s="706"/>
      <c r="E80" s="706">
        <v>14185.688845000001</v>
      </c>
      <c r="F80" s="706">
        <v>14185.688845000001</v>
      </c>
      <c r="G80" s="706">
        <v>65873.126730000004</v>
      </c>
    </row>
    <row r="81" spans="1:7" ht="8.4" customHeight="1">
      <c r="A81" s="708" t="s">
        <v>92</v>
      </c>
      <c r="B81" s="709" t="s">
        <v>70</v>
      </c>
      <c r="C81" s="710"/>
      <c r="D81" s="710"/>
      <c r="E81" s="710">
        <v>39594.794880000001</v>
      </c>
      <c r="F81" s="710">
        <v>39594.794880000001</v>
      </c>
      <c r="G81" s="711">
        <v>183883.3028675</v>
      </c>
    </row>
    <row r="82" spans="1:7" ht="8.4" customHeight="1">
      <c r="A82" s="704" t="s">
        <v>837</v>
      </c>
      <c r="B82" s="705"/>
      <c r="C82" s="706"/>
      <c r="D82" s="706"/>
      <c r="E82" s="706">
        <v>39594.794880000001</v>
      </c>
      <c r="F82" s="706">
        <v>39594.794880000001</v>
      </c>
      <c r="G82" s="706">
        <v>183883.3028675</v>
      </c>
    </row>
    <row r="83" spans="1:7" ht="8.4" customHeight="1">
      <c r="A83" s="708" t="s">
        <v>98</v>
      </c>
      <c r="B83" s="709" t="s">
        <v>175</v>
      </c>
      <c r="C83" s="710"/>
      <c r="D83" s="710"/>
      <c r="E83" s="710">
        <v>4297.8164999999999</v>
      </c>
      <c r="F83" s="710">
        <v>4297.8164999999999</v>
      </c>
      <c r="G83" s="711">
        <v>23291.558250000002</v>
      </c>
    </row>
    <row r="84" spans="1:7" ht="8.4" customHeight="1">
      <c r="A84" s="704" t="s">
        <v>838</v>
      </c>
      <c r="B84" s="705"/>
      <c r="C84" s="706"/>
      <c r="D84" s="706"/>
      <c r="E84" s="706">
        <v>4297.8164999999999</v>
      </c>
      <c r="F84" s="706">
        <v>4297.8164999999999</v>
      </c>
      <c r="G84" s="706">
        <v>23291.558250000002</v>
      </c>
    </row>
    <row r="85" spans="1:7" ht="8.4" customHeight="1">
      <c r="A85" s="708" t="s">
        <v>308</v>
      </c>
      <c r="B85" s="709" t="s">
        <v>839</v>
      </c>
      <c r="C85" s="710"/>
      <c r="D85" s="710"/>
      <c r="E85" s="710">
        <v>461.76917500000002</v>
      </c>
      <c r="F85" s="710">
        <v>461.76917500000002</v>
      </c>
      <c r="G85" s="711">
        <v>6167.1092250000002</v>
      </c>
    </row>
    <row r="86" spans="1:7">
      <c r="A86" s="708"/>
      <c r="B86" s="709" t="s">
        <v>840</v>
      </c>
      <c r="C86" s="710"/>
      <c r="D86" s="710"/>
      <c r="E86" s="710">
        <v>982.87337500000001</v>
      </c>
      <c r="F86" s="710">
        <v>982.87337500000001</v>
      </c>
      <c r="G86" s="711">
        <v>7578.5604750000002</v>
      </c>
    </row>
    <row r="87" spans="1:7">
      <c r="A87" s="781"/>
      <c r="B87" s="782" t="s">
        <v>78</v>
      </c>
      <c r="C87" s="783"/>
      <c r="D87" s="783"/>
      <c r="E87" s="783">
        <v>2216.550475</v>
      </c>
      <c r="F87" s="783">
        <v>2216.550475</v>
      </c>
      <c r="G87" s="784">
        <v>13710.6335</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J75"/>
  <sheetViews>
    <sheetView showGridLines="0" view="pageBreakPreview" topLeftCell="A17" zoomScale="115" zoomScaleNormal="100" zoomScaleSheetLayoutView="115" zoomScalePageLayoutView="115" workbookViewId="0">
      <selection activeCell="D22" sqref="D22"/>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87" t="s">
        <v>191</v>
      </c>
      <c r="B1" s="890" t="s">
        <v>49</v>
      </c>
      <c r="C1" s="893" t="str">
        <f>+'19. ANEXOI-2'!C1:F1</f>
        <v>ENERGÍA PRODUCIDA MAYO 2025</v>
      </c>
      <c r="D1" s="893"/>
      <c r="E1" s="893"/>
      <c r="F1" s="893"/>
      <c r="G1" s="401" t="s">
        <v>195</v>
      </c>
      <c r="H1" s="168"/>
    </row>
    <row r="2" spans="1:8" ht="11.25" customHeight="1">
      <c r="A2" s="888"/>
      <c r="B2" s="891"/>
      <c r="C2" s="894" t="s">
        <v>196</v>
      </c>
      <c r="D2" s="894"/>
      <c r="E2" s="894"/>
      <c r="F2" s="895" t="str">
        <f>"TOTAL 
"&amp;UPPER('1. Resumen'!Q4)</f>
        <v>TOTAL 
MAYO</v>
      </c>
      <c r="G2" s="402" t="s">
        <v>197</v>
      </c>
      <c r="H2" s="162"/>
    </row>
    <row r="3" spans="1:8" ht="11.25" customHeight="1">
      <c r="A3" s="888"/>
      <c r="B3" s="891"/>
      <c r="C3" s="397" t="s">
        <v>162</v>
      </c>
      <c r="D3" s="397" t="s">
        <v>163</v>
      </c>
      <c r="E3" s="397" t="s">
        <v>198</v>
      </c>
      <c r="F3" s="896"/>
      <c r="G3" s="402">
        <v>2025</v>
      </c>
      <c r="H3" s="164"/>
    </row>
    <row r="4" spans="1:8" ht="11.25" customHeight="1">
      <c r="A4" s="897"/>
      <c r="B4" s="898"/>
      <c r="C4" s="398" t="s">
        <v>199</v>
      </c>
      <c r="D4" s="398" t="s">
        <v>199</v>
      </c>
      <c r="E4" s="398" t="s">
        <v>199</v>
      </c>
      <c r="F4" s="398" t="s">
        <v>199</v>
      </c>
      <c r="G4" s="403" t="s">
        <v>155</v>
      </c>
      <c r="H4" s="164"/>
    </row>
    <row r="5" spans="1:8" ht="11.25" customHeight="1">
      <c r="A5" s="427"/>
      <c r="B5" s="248" t="s">
        <v>79</v>
      </c>
      <c r="C5" s="400"/>
      <c r="D5" s="400"/>
      <c r="E5" s="400">
        <v>1014.3197499999999</v>
      </c>
      <c r="F5" s="400">
        <v>1014.3197499999999</v>
      </c>
      <c r="G5" s="429">
        <v>6039.1966000000002</v>
      </c>
      <c r="H5" s="164"/>
    </row>
    <row r="6" spans="1:8" ht="11.25" customHeight="1">
      <c r="A6" s="428" t="s">
        <v>841</v>
      </c>
      <c r="B6" s="334"/>
      <c r="C6" s="335"/>
      <c r="D6" s="335"/>
      <c r="E6" s="335">
        <v>4675.5127750000001</v>
      </c>
      <c r="F6" s="335">
        <v>4675.5127750000001</v>
      </c>
      <c r="G6" s="430">
        <v>33495.499800000005</v>
      </c>
      <c r="H6" s="164"/>
    </row>
    <row r="7" spans="1:8" s="248" customFormat="1" ht="9" customHeight="1">
      <c r="A7" s="427" t="s">
        <v>557</v>
      </c>
      <c r="B7" s="248" t="s">
        <v>344</v>
      </c>
      <c r="C7" s="400"/>
      <c r="D7" s="400"/>
      <c r="E7" s="400">
        <v>14209.103364999999</v>
      </c>
      <c r="F7" s="400">
        <v>14209.103364999999</v>
      </c>
      <c r="G7" s="429">
        <v>50218.011465000003</v>
      </c>
    </row>
    <row r="8" spans="1:8" s="248" customFormat="1" ht="9" customHeight="1">
      <c r="A8" s="428" t="s">
        <v>558</v>
      </c>
      <c r="B8" s="334"/>
      <c r="C8" s="335"/>
      <c r="D8" s="335"/>
      <c r="E8" s="335">
        <v>14209.103364999999</v>
      </c>
      <c r="F8" s="335">
        <v>14209.103364999999</v>
      </c>
      <c r="G8" s="430">
        <v>50218.011465000003</v>
      </c>
    </row>
    <row r="9" spans="1:8" s="248" customFormat="1" ht="9" customHeight="1">
      <c r="A9" s="427" t="s">
        <v>782</v>
      </c>
      <c r="B9" s="248" t="s">
        <v>842</v>
      </c>
      <c r="C9" s="400"/>
      <c r="D9" s="400">
        <v>250.626755</v>
      </c>
      <c r="E9" s="400"/>
      <c r="F9" s="400">
        <v>250.626755</v>
      </c>
      <c r="G9" s="429">
        <v>803.13812250000001</v>
      </c>
    </row>
    <row r="10" spans="1:8" s="248" customFormat="1" ht="9" customHeight="1">
      <c r="A10" s="428" t="s">
        <v>843</v>
      </c>
      <c r="B10" s="334"/>
      <c r="C10" s="335"/>
      <c r="D10" s="335">
        <v>250.626755</v>
      </c>
      <c r="E10" s="335"/>
      <c r="F10" s="335">
        <v>250.626755</v>
      </c>
      <c r="G10" s="430">
        <v>803.13812250000001</v>
      </c>
    </row>
    <row r="11" spans="1:8" s="248" customFormat="1" ht="9" customHeight="1">
      <c r="A11" s="427" t="s">
        <v>781</v>
      </c>
      <c r="B11" s="248" t="s">
        <v>76</v>
      </c>
      <c r="C11" s="400"/>
      <c r="D11" s="400"/>
      <c r="E11" s="400">
        <v>3496.5368575000002</v>
      </c>
      <c r="F11" s="400">
        <v>3496.5368575000002</v>
      </c>
      <c r="G11" s="429">
        <v>17336.527754999999</v>
      </c>
    </row>
    <row r="12" spans="1:8" s="248" customFormat="1" ht="9" customHeight="1">
      <c r="A12" s="428" t="s">
        <v>844</v>
      </c>
      <c r="B12" s="334"/>
      <c r="C12" s="335"/>
      <c r="D12" s="335"/>
      <c r="E12" s="335">
        <v>3496.5368575000002</v>
      </c>
      <c r="F12" s="335">
        <v>3496.5368575000002</v>
      </c>
      <c r="G12" s="430">
        <v>17336.527754999999</v>
      </c>
    </row>
    <row r="13" spans="1:8" s="248" customFormat="1" ht="9" customHeight="1">
      <c r="A13" s="427" t="s">
        <v>328</v>
      </c>
      <c r="B13" s="248" t="s">
        <v>336</v>
      </c>
      <c r="C13" s="400"/>
      <c r="D13" s="400"/>
      <c r="E13" s="400">
        <v>14745.123257499999</v>
      </c>
      <c r="F13" s="400">
        <v>14745.123257499999</v>
      </c>
      <c r="G13" s="429">
        <v>71390.762597499997</v>
      </c>
    </row>
    <row r="14" spans="1:8" s="248" customFormat="1" ht="9" customHeight="1">
      <c r="A14" s="428" t="s">
        <v>845</v>
      </c>
      <c r="B14" s="334"/>
      <c r="C14" s="335"/>
      <c r="D14" s="335"/>
      <c r="E14" s="335">
        <v>14745.123257499999</v>
      </c>
      <c r="F14" s="335">
        <v>14745.123257499999</v>
      </c>
      <c r="G14" s="430">
        <v>71390.762597499997</v>
      </c>
    </row>
    <row r="15" spans="1:8" s="248" customFormat="1" ht="9" customHeight="1">
      <c r="A15" s="427" t="s">
        <v>96</v>
      </c>
      <c r="B15" s="248" t="s">
        <v>55</v>
      </c>
      <c r="C15" s="400"/>
      <c r="D15" s="400"/>
      <c r="E15" s="400">
        <v>13546.43302</v>
      </c>
      <c r="F15" s="400">
        <v>13546.43302</v>
      </c>
      <c r="G15" s="429">
        <v>65088.735990000001</v>
      </c>
    </row>
    <row r="16" spans="1:8" s="248" customFormat="1" ht="9" customHeight="1">
      <c r="A16" s="428" t="s">
        <v>846</v>
      </c>
      <c r="B16" s="334"/>
      <c r="C16" s="335"/>
      <c r="D16" s="335"/>
      <c r="E16" s="335">
        <v>13546.43302</v>
      </c>
      <c r="F16" s="335">
        <v>13546.43302</v>
      </c>
      <c r="G16" s="430">
        <v>65088.735990000001</v>
      </c>
    </row>
    <row r="17" spans="1:7" s="248" customFormat="1" ht="9" customHeight="1">
      <c r="A17" s="427" t="s">
        <v>185</v>
      </c>
      <c r="B17" s="248" t="s">
        <v>237</v>
      </c>
      <c r="C17" s="400"/>
      <c r="D17" s="400">
        <v>798.7582124999999</v>
      </c>
      <c r="E17" s="400"/>
      <c r="F17" s="400">
        <v>798.7582124999999</v>
      </c>
      <c r="G17" s="429">
        <v>2632.0408374999997</v>
      </c>
    </row>
    <row r="18" spans="1:7" s="248" customFormat="1" ht="9" customHeight="1">
      <c r="A18" s="428" t="s">
        <v>847</v>
      </c>
      <c r="B18" s="334"/>
      <c r="C18" s="335"/>
      <c r="D18" s="335">
        <v>798.7582124999999</v>
      </c>
      <c r="E18" s="335"/>
      <c r="F18" s="335">
        <v>798.7582124999999</v>
      </c>
      <c r="G18" s="430">
        <v>2632.0408374999997</v>
      </c>
    </row>
    <row r="19" spans="1:7" s="248" customFormat="1" ht="9" customHeight="1">
      <c r="A19" s="427" t="s">
        <v>89</v>
      </c>
      <c r="B19" s="248" t="s">
        <v>238</v>
      </c>
      <c r="C19" s="400">
        <v>79255.461295000001</v>
      </c>
      <c r="D19" s="400"/>
      <c r="E19" s="400"/>
      <c r="F19" s="400">
        <v>79255.461295000001</v>
      </c>
      <c r="G19" s="429">
        <v>385320.78932499996</v>
      </c>
    </row>
    <row r="20" spans="1:7" s="248" customFormat="1" ht="9" customHeight="1">
      <c r="A20" s="427"/>
      <c r="B20" s="248" t="s">
        <v>848</v>
      </c>
      <c r="C20" s="400"/>
      <c r="D20" s="400"/>
      <c r="E20" s="400">
        <v>778.585285</v>
      </c>
      <c r="F20" s="400">
        <v>778.585285</v>
      </c>
      <c r="G20" s="429">
        <v>2385.6919625</v>
      </c>
    </row>
    <row r="21" spans="1:7" s="248" customFormat="1" ht="9" customHeight="1">
      <c r="A21" s="428" t="s">
        <v>360</v>
      </c>
      <c r="B21" s="334"/>
      <c r="C21" s="335">
        <v>79255.461295000001</v>
      </c>
      <c r="D21" s="335"/>
      <c r="E21" s="335">
        <v>778.585285</v>
      </c>
      <c r="F21" s="335">
        <v>80034.046579999995</v>
      </c>
      <c r="G21" s="430">
        <v>387706.48128749995</v>
      </c>
    </row>
    <row r="22" spans="1:7" s="248" customFormat="1" ht="9" customHeight="1">
      <c r="A22" s="427" t="s">
        <v>302</v>
      </c>
      <c r="B22" s="248" t="s">
        <v>304</v>
      </c>
      <c r="C22" s="400"/>
      <c r="D22" s="400"/>
      <c r="E22" s="400">
        <v>13156.33635</v>
      </c>
      <c r="F22" s="400">
        <v>13156.33635</v>
      </c>
      <c r="G22" s="429">
        <v>65134.251680000001</v>
      </c>
    </row>
    <row r="23" spans="1:7" s="248" customFormat="1" ht="9" customHeight="1">
      <c r="A23" s="428" t="s">
        <v>849</v>
      </c>
      <c r="B23" s="334"/>
      <c r="C23" s="335"/>
      <c r="D23" s="335"/>
      <c r="E23" s="335">
        <v>13156.33635</v>
      </c>
      <c r="F23" s="335">
        <v>13156.33635</v>
      </c>
      <c r="G23" s="430">
        <v>65134.251680000001</v>
      </c>
    </row>
    <row r="24" spans="1:7" s="248" customFormat="1" ht="9" customHeight="1">
      <c r="A24" s="427" t="s">
        <v>850</v>
      </c>
      <c r="B24" s="248" t="s">
        <v>381</v>
      </c>
      <c r="C24" s="400"/>
      <c r="D24" s="400"/>
      <c r="E24" s="400"/>
      <c r="F24" s="400"/>
      <c r="G24" s="429">
        <v>89724.82216499999</v>
      </c>
    </row>
    <row r="25" spans="1:7" s="248" customFormat="1" ht="9" customHeight="1">
      <c r="A25" s="428" t="s">
        <v>851</v>
      </c>
      <c r="B25" s="334"/>
      <c r="C25" s="335"/>
      <c r="D25" s="335"/>
      <c r="E25" s="335"/>
      <c r="F25" s="335"/>
      <c r="G25" s="430">
        <v>89724.82216499999</v>
      </c>
    </row>
    <row r="26" spans="1:7" s="248" customFormat="1" ht="9" customHeight="1">
      <c r="A26" s="427" t="s">
        <v>108</v>
      </c>
      <c r="B26" s="248" t="s">
        <v>239</v>
      </c>
      <c r="C26" s="400"/>
      <c r="D26" s="400">
        <v>0</v>
      </c>
      <c r="E26" s="400"/>
      <c r="F26" s="400">
        <v>0</v>
      </c>
      <c r="G26" s="429">
        <v>2666.9090175000001</v>
      </c>
    </row>
    <row r="27" spans="1:7" s="248" customFormat="1" ht="9" customHeight="1">
      <c r="A27" s="428" t="s">
        <v>361</v>
      </c>
      <c r="B27" s="334"/>
      <c r="C27" s="335"/>
      <c r="D27" s="335">
        <v>0</v>
      </c>
      <c r="E27" s="335"/>
      <c r="F27" s="335">
        <v>0</v>
      </c>
      <c r="G27" s="430">
        <v>2666.9090175000001</v>
      </c>
    </row>
    <row r="28" spans="1:7" s="248" customFormat="1" ht="9" customHeight="1">
      <c r="A28" s="427" t="s">
        <v>102</v>
      </c>
      <c r="B28" s="248" t="s">
        <v>337</v>
      </c>
      <c r="C28" s="400"/>
      <c r="D28" s="400"/>
      <c r="E28" s="400">
        <v>14772.994027500001</v>
      </c>
      <c r="F28" s="400">
        <v>14772.994027500001</v>
      </c>
      <c r="G28" s="429">
        <v>71945.215347500009</v>
      </c>
    </row>
    <row r="29" spans="1:7" s="248" customFormat="1" ht="9" customHeight="1">
      <c r="A29" s="427"/>
      <c r="B29" s="248" t="s">
        <v>63</v>
      </c>
      <c r="C29" s="400"/>
      <c r="D29" s="400"/>
      <c r="E29" s="400">
        <v>6993.1794149999996</v>
      </c>
      <c r="F29" s="400">
        <v>6993.1794149999996</v>
      </c>
      <c r="G29" s="429">
        <v>28627.807842499999</v>
      </c>
    </row>
    <row r="30" spans="1:7" s="248" customFormat="1" ht="9" customHeight="1">
      <c r="A30" s="428" t="s">
        <v>852</v>
      </c>
      <c r="B30" s="334"/>
      <c r="C30" s="335"/>
      <c r="D30" s="335"/>
      <c r="E30" s="335">
        <v>21766.1734425</v>
      </c>
      <c r="F30" s="335">
        <v>21766.1734425</v>
      </c>
      <c r="G30" s="430">
        <v>100573.02319000001</v>
      </c>
    </row>
    <row r="31" spans="1:7" s="248" customFormat="1" ht="9" customHeight="1">
      <c r="A31" s="427" t="s">
        <v>84</v>
      </c>
      <c r="B31" s="248" t="s">
        <v>240</v>
      </c>
      <c r="C31" s="400">
        <v>10288.62443</v>
      </c>
      <c r="D31" s="400"/>
      <c r="E31" s="400"/>
      <c r="F31" s="400">
        <v>10288.62443</v>
      </c>
      <c r="G31" s="429">
        <v>76020.469287499989</v>
      </c>
    </row>
    <row r="32" spans="1:7" s="248" customFormat="1" ht="9" customHeight="1">
      <c r="A32" s="427"/>
      <c r="B32" s="248" t="s">
        <v>241</v>
      </c>
      <c r="C32" s="400">
        <v>107276.58161250001</v>
      </c>
      <c r="D32" s="400"/>
      <c r="E32" s="400"/>
      <c r="F32" s="400">
        <v>107276.58161250001</v>
      </c>
      <c r="G32" s="429">
        <v>566415.66179499996</v>
      </c>
    </row>
    <row r="33" spans="1:7" s="248" customFormat="1" ht="9" customHeight="1">
      <c r="A33" s="427"/>
      <c r="B33" s="248" t="s">
        <v>242</v>
      </c>
      <c r="C33" s="400">
        <v>23298.343057500002</v>
      </c>
      <c r="D33" s="400"/>
      <c r="E33" s="400"/>
      <c r="F33" s="400">
        <v>23298.343057500002</v>
      </c>
      <c r="G33" s="429">
        <v>120594.20918999999</v>
      </c>
    </row>
    <row r="34" spans="1:7" s="248" customFormat="1" ht="9" customHeight="1">
      <c r="A34" s="427"/>
      <c r="B34" s="248" t="s">
        <v>243</v>
      </c>
      <c r="C34" s="400">
        <v>31.513999999999999</v>
      </c>
      <c r="D34" s="400"/>
      <c r="E34" s="400"/>
      <c r="F34" s="400">
        <v>31.513999999999999</v>
      </c>
      <c r="G34" s="429">
        <v>161.1654475</v>
      </c>
    </row>
    <row r="35" spans="1:7" s="248" customFormat="1" ht="9" customHeight="1">
      <c r="A35" s="427"/>
      <c r="B35" s="248" t="s">
        <v>244</v>
      </c>
      <c r="C35" s="400">
        <v>30961.815642500002</v>
      </c>
      <c r="D35" s="400"/>
      <c r="E35" s="400"/>
      <c r="F35" s="400">
        <v>30961.815642500002</v>
      </c>
      <c r="G35" s="429">
        <v>157060.06357</v>
      </c>
    </row>
    <row r="36" spans="1:7" s="248" customFormat="1" ht="9" customHeight="1">
      <c r="A36" s="427"/>
      <c r="B36" s="248" t="s">
        <v>245</v>
      </c>
      <c r="C36" s="400">
        <v>2465.361465</v>
      </c>
      <c r="D36" s="400"/>
      <c r="E36" s="400"/>
      <c r="F36" s="400">
        <v>2465.361465</v>
      </c>
      <c r="G36" s="429">
        <v>12114.243180000001</v>
      </c>
    </row>
    <row r="37" spans="1:7" s="248" customFormat="1" ht="9" customHeight="1">
      <c r="A37" s="427"/>
      <c r="B37" s="248" t="s">
        <v>246</v>
      </c>
      <c r="C37" s="400">
        <v>4784.4065325000001</v>
      </c>
      <c r="D37" s="400"/>
      <c r="E37" s="400"/>
      <c r="F37" s="400">
        <v>4784.4065325000001</v>
      </c>
      <c r="G37" s="429">
        <v>14639.836485</v>
      </c>
    </row>
    <row r="38" spans="1:7" s="248" customFormat="1" ht="9" customHeight="1">
      <c r="A38" s="427"/>
      <c r="B38" s="248" t="s">
        <v>554</v>
      </c>
      <c r="C38" s="400">
        <v>3857.9606675000005</v>
      </c>
      <c r="D38" s="400"/>
      <c r="E38" s="400"/>
      <c r="F38" s="400">
        <v>3857.9606675000005</v>
      </c>
      <c r="G38" s="429">
        <v>20811.786087500001</v>
      </c>
    </row>
    <row r="39" spans="1:7" s="248" customFormat="1" ht="9" customHeight="1">
      <c r="A39" s="427"/>
      <c r="B39" s="248" t="s">
        <v>247</v>
      </c>
      <c r="C39" s="400"/>
      <c r="D39" s="400"/>
      <c r="E39" s="400"/>
      <c r="F39" s="400"/>
      <c r="G39" s="429">
        <v>220.07543250000001</v>
      </c>
    </row>
    <row r="40" spans="1:7" s="248" customFormat="1" ht="9" customHeight="1">
      <c r="A40" s="427"/>
      <c r="B40" s="248" t="s">
        <v>555</v>
      </c>
      <c r="C40" s="400"/>
      <c r="D40" s="400"/>
      <c r="E40" s="400"/>
      <c r="F40" s="400"/>
      <c r="G40" s="429">
        <v>0</v>
      </c>
    </row>
    <row r="41" spans="1:7" s="248" customFormat="1" ht="9" customHeight="1">
      <c r="A41" s="427"/>
      <c r="B41" s="248" t="s">
        <v>556</v>
      </c>
      <c r="C41" s="400"/>
      <c r="D41" s="400"/>
      <c r="E41" s="400"/>
      <c r="F41" s="400"/>
      <c r="G41" s="429">
        <v>0</v>
      </c>
    </row>
    <row r="42" spans="1:7" s="248" customFormat="1" ht="9" customHeight="1">
      <c r="A42" s="427"/>
      <c r="B42" s="248" t="s">
        <v>248</v>
      </c>
      <c r="C42" s="400">
        <v>80357.489289999998</v>
      </c>
      <c r="D42" s="400"/>
      <c r="E42" s="400"/>
      <c r="F42" s="400">
        <v>80357.489289999998</v>
      </c>
      <c r="G42" s="429">
        <v>383905.45486750006</v>
      </c>
    </row>
    <row r="43" spans="1:7" s="248" customFormat="1" ht="9" customHeight="1">
      <c r="A43" s="428" t="s">
        <v>853</v>
      </c>
      <c r="B43" s="334"/>
      <c r="C43" s="335">
        <v>263322.09669749998</v>
      </c>
      <c r="D43" s="335"/>
      <c r="E43" s="335"/>
      <c r="F43" s="335">
        <v>263322.09669749998</v>
      </c>
      <c r="G43" s="430">
        <v>1351942.9653425</v>
      </c>
    </row>
    <row r="44" spans="1:7" s="248" customFormat="1" ht="9" customHeight="1">
      <c r="A44" s="427" t="s">
        <v>100</v>
      </c>
      <c r="B44" s="248" t="s">
        <v>174</v>
      </c>
      <c r="C44" s="400"/>
      <c r="D44" s="400"/>
      <c r="E44" s="400">
        <v>3726.9967499999998</v>
      </c>
      <c r="F44" s="400">
        <v>3726.9967499999998</v>
      </c>
      <c r="G44" s="429">
        <v>23009.7765</v>
      </c>
    </row>
    <row r="45" spans="1:7" s="248" customFormat="1" ht="9" customHeight="1">
      <c r="A45" s="428" t="s">
        <v>854</v>
      </c>
      <c r="B45" s="334"/>
      <c r="C45" s="335"/>
      <c r="D45" s="335"/>
      <c r="E45" s="335">
        <v>3726.9967499999998</v>
      </c>
      <c r="F45" s="335">
        <v>3726.9967499999998</v>
      </c>
      <c r="G45" s="335">
        <v>23009.7765</v>
      </c>
    </row>
    <row r="46" spans="1:7" s="248" customFormat="1" ht="9" customHeight="1">
      <c r="A46" s="427" t="s">
        <v>93</v>
      </c>
      <c r="B46" s="248" t="s">
        <v>320</v>
      </c>
      <c r="C46" s="400"/>
      <c r="D46" s="400">
        <v>0</v>
      </c>
      <c r="E46" s="400"/>
      <c r="F46" s="400">
        <v>0</v>
      </c>
      <c r="G46" s="429">
        <v>257080.45667749998</v>
      </c>
    </row>
    <row r="47" spans="1:7" s="248" customFormat="1" ht="9" customHeight="1">
      <c r="A47" s="428" t="s">
        <v>362</v>
      </c>
      <c r="B47" s="334"/>
      <c r="C47" s="335"/>
      <c r="D47" s="335">
        <v>0</v>
      </c>
      <c r="E47" s="335"/>
      <c r="F47" s="335">
        <v>0</v>
      </c>
      <c r="G47" s="430">
        <v>257080.45667749998</v>
      </c>
    </row>
    <row r="48" spans="1:7" s="248" customFormat="1" ht="9" customHeight="1">
      <c r="A48" s="427" t="s">
        <v>97</v>
      </c>
      <c r="B48" s="248" t="s">
        <v>249</v>
      </c>
      <c r="C48" s="400"/>
      <c r="D48" s="400">
        <v>361.70688000000001</v>
      </c>
      <c r="E48" s="400"/>
      <c r="F48" s="400">
        <v>361.70688000000001</v>
      </c>
      <c r="G48" s="429">
        <v>31538.097270000002</v>
      </c>
    </row>
    <row r="49" spans="1:8" s="248" customFormat="1" ht="9" customHeight="1">
      <c r="A49" s="428" t="s">
        <v>363</v>
      </c>
      <c r="B49" s="334"/>
      <c r="C49" s="335"/>
      <c r="D49" s="335">
        <v>361.70688000000001</v>
      </c>
      <c r="E49" s="335"/>
      <c r="F49" s="335">
        <v>361.70688000000001</v>
      </c>
      <c r="G49" s="430">
        <v>31538.097270000002</v>
      </c>
    </row>
    <row r="50" spans="1:8">
      <c r="A50" s="320" t="s">
        <v>315</v>
      </c>
      <c r="B50" s="320"/>
      <c r="C50" s="319">
        <v>2836200.7968349988</v>
      </c>
      <c r="D50" s="319">
        <v>1501540.4699975001</v>
      </c>
      <c r="E50" s="319">
        <v>739740.62097000028</v>
      </c>
      <c r="F50" s="319">
        <v>5077481.8878025031</v>
      </c>
      <c r="G50" s="404">
        <v>25540298.878709994</v>
      </c>
    </row>
    <row r="51" spans="1:8">
      <c r="A51" s="320" t="s">
        <v>250</v>
      </c>
      <c r="B51" s="320"/>
      <c r="C51" s="321"/>
      <c r="D51" s="321"/>
      <c r="E51" s="345"/>
      <c r="F51" s="322">
        <f>+'3. Tipo Generación'!D14*1000</f>
        <v>0</v>
      </c>
      <c r="G51" s="405">
        <f>+'4. Tipo Recurso'!$G$19*1000</f>
        <v>1849.1507299999998</v>
      </c>
    </row>
    <row r="52" spans="1:8">
      <c r="A52" s="406" t="s">
        <v>251</v>
      </c>
      <c r="B52" s="320"/>
      <c r="C52" s="321"/>
      <c r="D52" s="321"/>
      <c r="E52" s="345"/>
      <c r="F52" s="322">
        <f>+'3. Tipo Generación'!D15*1000</f>
        <v>0</v>
      </c>
      <c r="G52" s="405">
        <f>+'4. Tipo Recurso'!$G$20*1000</f>
        <v>0</v>
      </c>
    </row>
    <row r="53" spans="1:8" ht="6.75" customHeight="1">
      <c r="A53" s="407"/>
      <c r="B53" s="407"/>
      <c r="C53" s="407"/>
      <c r="D53" s="407"/>
      <c r="E53" s="407"/>
      <c r="F53" s="407"/>
      <c r="G53" s="407"/>
    </row>
    <row r="54" spans="1:8" ht="23.25" customHeight="1">
      <c r="A54" s="899" t="s">
        <v>527</v>
      </c>
      <c r="B54" s="899"/>
      <c r="C54" s="899"/>
      <c r="D54" s="899"/>
      <c r="E54" s="899"/>
      <c r="F54" s="899"/>
      <c r="G54" s="899"/>
    </row>
    <row r="55" spans="1:8" ht="9.6" customHeight="1">
      <c r="A55" s="436"/>
      <c r="B55" s="436"/>
      <c r="C55" s="436"/>
      <c r="D55" s="436"/>
      <c r="E55" s="436"/>
      <c r="F55" s="436"/>
      <c r="G55" s="436"/>
      <c r="H55" s="39"/>
    </row>
    <row r="56" spans="1:8" ht="9.6" customHeight="1">
      <c r="B56" s="436"/>
      <c r="C56" s="436"/>
      <c r="D56" s="436"/>
      <c r="E56" s="436"/>
      <c r="F56" s="436"/>
      <c r="G56" s="436"/>
      <c r="H56" s="39"/>
    </row>
    <row r="57" spans="1:8" ht="9.6" customHeight="1">
      <c r="A57" s="436" t="s">
        <v>576</v>
      </c>
      <c r="B57" s="436"/>
      <c r="C57" s="436"/>
      <c r="D57" s="436"/>
      <c r="E57" s="436"/>
      <c r="F57" s="436"/>
      <c r="G57" s="436"/>
      <c r="H57" s="39"/>
    </row>
    <row r="58" spans="1:8" ht="9.6" customHeight="1">
      <c r="A58" s="436" t="s">
        <v>589</v>
      </c>
      <c r="B58" s="436"/>
      <c r="C58" s="436"/>
      <c r="D58" s="436"/>
      <c r="E58" s="436"/>
      <c r="F58" s="436"/>
      <c r="G58" s="436"/>
      <c r="H58" s="39"/>
    </row>
    <row r="59" spans="1:8" ht="9.6" customHeight="1">
      <c r="A59" s="436" t="s">
        <v>616</v>
      </c>
      <c r="B59" s="436"/>
      <c r="C59" s="436"/>
      <c r="D59" s="436"/>
      <c r="E59" s="436"/>
      <c r="F59" s="436"/>
      <c r="G59" s="436"/>
      <c r="H59" s="39"/>
    </row>
    <row r="60" spans="1:8" ht="9.6" customHeight="1">
      <c r="A60" s="436" t="s">
        <v>769</v>
      </c>
      <c r="B60" s="436"/>
      <c r="C60" s="436"/>
      <c r="D60" s="436"/>
      <c r="E60" s="436"/>
      <c r="F60" s="436"/>
      <c r="G60" s="436"/>
      <c r="H60" s="39"/>
    </row>
    <row r="61" spans="1:8" ht="9.6" customHeight="1">
      <c r="A61" s="436" t="s">
        <v>632</v>
      </c>
      <c r="B61" s="436"/>
      <c r="C61" s="436"/>
      <c r="D61" s="436"/>
      <c r="E61" s="436"/>
      <c r="F61" s="436"/>
      <c r="G61" s="436"/>
      <c r="H61" s="39"/>
    </row>
    <row r="62" spans="1:8" ht="9.6" customHeight="1">
      <c r="A62" s="436"/>
      <c r="B62" s="436"/>
      <c r="C62" s="436"/>
      <c r="D62" s="436"/>
      <c r="E62" s="436"/>
      <c r="F62" s="436"/>
      <c r="G62" s="436"/>
      <c r="H62" s="39"/>
    </row>
    <row r="63" spans="1:8" ht="9.6" customHeight="1">
      <c r="A63" s="436"/>
      <c r="B63" s="436"/>
      <c r="C63" s="436"/>
      <c r="D63" s="436"/>
      <c r="E63" s="436"/>
      <c r="F63" s="436"/>
      <c r="G63" s="436"/>
      <c r="H63" s="39"/>
    </row>
    <row r="64" spans="1:8" ht="9.6" customHeight="1">
      <c r="A64" s="436"/>
      <c r="B64" s="436"/>
      <c r="C64" s="436"/>
      <c r="D64" s="436"/>
      <c r="E64" s="436"/>
      <c r="F64" s="436"/>
      <c r="G64" s="436"/>
      <c r="H64" s="39"/>
    </row>
    <row r="65" spans="1:10" ht="9.6" customHeight="1">
      <c r="A65" s="436"/>
      <c r="B65" s="436"/>
      <c r="C65" s="436"/>
      <c r="D65" s="436"/>
      <c r="E65" s="436"/>
      <c r="F65" s="436"/>
      <c r="G65" s="436"/>
      <c r="H65" s="39"/>
    </row>
    <row r="66" spans="1:10" ht="9.6" customHeight="1">
      <c r="A66" s="436"/>
      <c r="B66" s="436"/>
      <c r="C66" s="436"/>
      <c r="D66" s="436"/>
      <c r="E66" s="436"/>
      <c r="F66" s="436"/>
      <c r="G66" s="436"/>
      <c r="H66" s="39"/>
      <c r="J66" s="686"/>
    </row>
    <row r="67" spans="1:10" ht="9.6" customHeight="1">
      <c r="A67" s="436"/>
      <c r="B67" s="436"/>
      <c r="C67" s="436"/>
      <c r="D67" s="436"/>
      <c r="E67" s="436"/>
      <c r="F67" s="436"/>
      <c r="G67" s="436"/>
      <c r="H67" s="39"/>
      <c r="J67" s="686"/>
    </row>
    <row r="68" spans="1:10" ht="9.6" customHeight="1">
      <c r="A68" s="436"/>
      <c r="B68" s="231"/>
      <c r="C68" s="231"/>
      <c r="D68" s="231"/>
      <c r="E68" s="231"/>
      <c r="F68" s="231"/>
      <c r="J68" s="686"/>
    </row>
    <row r="69" spans="1:10" ht="8.4" customHeight="1">
      <c r="A69" s="248"/>
      <c r="B69" s="231"/>
      <c r="C69" s="231"/>
      <c r="D69" s="231"/>
      <c r="E69" s="231"/>
      <c r="F69" s="231"/>
      <c r="J69" s="686"/>
    </row>
    <row r="70" spans="1:10">
      <c r="A70" s="248"/>
      <c r="B70" s="231"/>
      <c r="C70" s="231"/>
      <c r="D70" s="231"/>
      <c r="E70" s="231"/>
      <c r="F70" s="231"/>
    </row>
    <row r="71" spans="1:10">
      <c r="A71" s="248"/>
      <c r="B71" s="231"/>
      <c r="C71" s="231"/>
      <c r="D71" s="231"/>
      <c r="E71" s="231"/>
      <c r="F71" s="231"/>
    </row>
    <row r="72" spans="1:10">
      <c r="A72" s="248"/>
      <c r="B72" s="231"/>
      <c r="C72" s="231"/>
      <c r="D72" s="231"/>
      <c r="E72" s="231"/>
      <c r="F72" s="231"/>
    </row>
    <row r="73" spans="1:10">
      <c r="A73" s="248"/>
    </row>
    <row r="74" spans="1:10">
      <c r="A74" s="248"/>
    </row>
    <row r="75" spans="1:10">
      <c r="A75" s="248"/>
    </row>
  </sheetData>
  <mergeCells count="6">
    <mergeCell ref="A54:G54"/>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263"/>
  <sheetViews>
    <sheetView showGridLines="0" view="pageBreakPreview" topLeftCell="A45" zoomScale="115" zoomScaleNormal="100" zoomScaleSheetLayoutView="115" zoomScalePageLayoutView="145" workbookViewId="0">
      <selection activeCell="D22" sqref="D22"/>
    </sheetView>
  </sheetViews>
  <sheetFormatPr baseColWidth="10" defaultColWidth="9.28515625" defaultRowHeight="9.6"/>
  <cols>
    <col min="1" max="1" width="28.85546875" style="231" customWidth="1"/>
    <col min="2" max="2" width="24.7109375" style="231" customWidth="1"/>
    <col min="3" max="5" width="16.140625" style="231" customWidth="1"/>
    <col min="6" max="6" width="15.140625" style="231" customWidth="1"/>
    <col min="7" max="7" width="11.42578125" style="231" bestFit="1" customWidth="1"/>
    <col min="8" max="8" width="15.7109375" style="231" customWidth="1"/>
    <col min="9" max="9" width="11.5703125" style="231" bestFit="1" customWidth="1"/>
    <col min="10" max="11" width="9.28515625" style="231" customWidth="1"/>
    <col min="12" max="16384" width="9.28515625" style="231"/>
  </cols>
  <sheetData>
    <row r="1" spans="1:12" ht="11.25" customHeight="1">
      <c r="A1" s="414" t="s">
        <v>254</v>
      </c>
      <c r="B1" s="415"/>
      <c r="C1" s="415"/>
      <c r="D1" s="415"/>
      <c r="E1" s="415"/>
      <c r="F1" s="415"/>
    </row>
    <row r="2" spans="1:12" s="248" customFormat="1" ht="11.25" customHeight="1">
      <c r="A2" s="900" t="s">
        <v>191</v>
      </c>
      <c r="B2" s="903" t="s">
        <v>49</v>
      </c>
      <c r="C2" s="903" t="s">
        <v>255</v>
      </c>
      <c r="D2" s="903"/>
      <c r="E2" s="903"/>
      <c r="F2" s="906"/>
      <c r="G2" s="282"/>
      <c r="H2" s="282"/>
      <c r="I2" s="282"/>
      <c r="J2" s="282"/>
      <c r="K2" s="282"/>
    </row>
    <row r="3" spans="1:12" s="248" customFormat="1" ht="11.25" customHeight="1">
      <c r="A3" s="901"/>
      <c r="B3" s="904"/>
      <c r="C3" s="323" t="str">
        <f>UPPER('1. Resumen'!Q4)&amp;" "&amp;'1. Resumen'!Q5</f>
        <v>MAYO 2025</v>
      </c>
      <c r="D3" s="324" t="str">
        <f>UPPER('1. Resumen'!Q4)&amp;" "&amp;'1. Resumen'!Q5-1</f>
        <v>MAYO 2024</v>
      </c>
      <c r="E3" s="324">
        <v>2025</v>
      </c>
      <c r="F3" s="408" t="s">
        <v>577</v>
      </c>
      <c r="G3" s="283"/>
      <c r="H3" s="283"/>
      <c r="I3" s="283"/>
      <c r="J3" s="283"/>
      <c r="K3" s="283"/>
      <c r="L3" s="282"/>
    </row>
    <row r="4" spans="1:12" s="248" customFormat="1" ht="11.25" customHeight="1">
      <c r="A4" s="901"/>
      <c r="B4" s="904"/>
      <c r="C4" s="325">
        <f>+'8. Max Potencia'!D7</f>
        <v>45779.791666666664</v>
      </c>
      <c r="D4" s="325">
        <f>+'8. Max Potencia'!E7</f>
        <v>45428.78125</v>
      </c>
      <c r="E4" s="325">
        <v>45742.791666666664</v>
      </c>
      <c r="F4" s="409" t="s">
        <v>252</v>
      </c>
      <c r="G4" s="284"/>
      <c r="H4" s="284"/>
      <c r="I4" s="285"/>
      <c r="J4" s="285"/>
      <c r="K4" s="285"/>
      <c r="L4" s="282"/>
    </row>
    <row r="5" spans="1:12" s="248" customFormat="1" ht="11.25" customHeight="1">
      <c r="A5" s="902"/>
      <c r="B5" s="905"/>
      <c r="C5" s="326">
        <f>+'8. Max Potencia'!D9</f>
        <v>45779.791666666664</v>
      </c>
      <c r="D5" s="326">
        <f>+'8. Max Potencia'!E9</f>
        <v>45428.78125</v>
      </c>
      <c r="E5" s="326">
        <v>45742.791666666664</v>
      </c>
      <c r="F5" s="410" t="s">
        <v>253</v>
      </c>
      <c r="G5" s="284"/>
      <c r="H5" s="284"/>
      <c r="I5" s="284"/>
      <c r="J5" s="284"/>
      <c r="K5" s="284"/>
      <c r="L5" s="286"/>
    </row>
    <row r="6" spans="1:12" s="248" customFormat="1" ht="7.8" customHeight="1">
      <c r="A6" s="712" t="s">
        <v>543</v>
      </c>
      <c r="B6" s="713" t="s">
        <v>77</v>
      </c>
      <c r="C6" s="714">
        <v>12.60281</v>
      </c>
      <c r="D6" s="714">
        <v>18.400359999999999</v>
      </c>
      <c r="E6" s="714">
        <v>16.620809999999999</v>
      </c>
      <c r="F6" s="715">
        <f>+IF(D6=0,"",C6/D6-1)</f>
        <v>-0.31507807455941073</v>
      </c>
      <c r="G6" s="284"/>
      <c r="H6" s="443"/>
      <c r="I6" s="443"/>
      <c r="J6" s="284"/>
      <c r="K6" s="284"/>
      <c r="L6" s="287"/>
    </row>
    <row r="7" spans="1:12" s="248" customFormat="1" ht="7.8" customHeight="1">
      <c r="A7" s="704" t="s">
        <v>544</v>
      </c>
      <c r="B7" s="705"/>
      <c r="C7" s="706">
        <v>12.60281</v>
      </c>
      <c r="D7" s="706">
        <v>18.400359999999999</v>
      </c>
      <c r="E7" s="706">
        <v>16.620809999999999</v>
      </c>
      <c r="F7" s="716">
        <f t="shared" ref="F7:F70" si="0">+IF(D7=0,"",C7/D7-1)</f>
        <v>-0.31507807455941073</v>
      </c>
      <c r="G7" s="284"/>
      <c r="H7" s="443"/>
      <c r="I7" s="443"/>
      <c r="J7" s="284"/>
      <c r="K7" s="284"/>
      <c r="L7" s="288"/>
    </row>
    <row r="8" spans="1:12" s="248" customFormat="1" ht="7.8" customHeight="1">
      <c r="A8" s="700" t="s">
        <v>110</v>
      </c>
      <c r="B8" s="701" t="s">
        <v>80</v>
      </c>
      <c r="C8" s="702">
        <v>0</v>
      </c>
      <c r="D8" s="702">
        <v>0</v>
      </c>
      <c r="E8" s="702">
        <v>0</v>
      </c>
      <c r="F8" s="717" t="str">
        <f t="shared" si="0"/>
        <v/>
      </c>
      <c r="G8" s="284"/>
      <c r="H8" s="443"/>
      <c r="I8" s="443"/>
      <c r="J8" s="284"/>
      <c r="K8" s="284"/>
      <c r="L8" s="289"/>
    </row>
    <row r="9" spans="1:12" s="248" customFormat="1" ht="7.8" customHeight="1">
      <c r="A9" s="704" t="s">
        <v>785</v>
      </c>
      <c r="B9" s="705"/>
      <c r="C9" s="706">
        <v>0</v>
      </c>
      <c r="D9" s="706">
        <v>0</v>
      </c>
      <c r="E9" s="706">
        <v>0</v>
      </c>
      <c r="F9" s="716" t="str">
        <f t="shared" si="0"/>
        <v/>
      </c>
      <c r="G9" s="284"/>
      <c r="H9" s="443"/>
      <c r="I9" s="443"/>
      <c r="J9" s="284"/>
      <c r="K9" s="284"/>
      <c r="L9" s="288"/>
    </row>
    <row r="10" spans="1:12" s="248" customFormat="1" ht="7.8" customHeight="1">
      <c r="A10" s="708" t="s">
        <v>784</v>
      </c>
      <c r="B10" s="709" t="s">
        <v>341</v>
      </c>
      <c r="C10" s="710">
        <v>0</v>
      </c>
      <c r="D10" s="710">
        <v>0</v>
      </c>
      <c r="E10" s="710">
        <v>7.2752800000000004</v>
      </c>
      <c r="F10" s="718" t="str">
        <f t="shared" si="0"/>
        <v/>
      </c>
      <c r="G10" s="284"/>
      <c r="H10" s="443"/>
      <c r="I10" s="443"/>
      <c r="J10" s="284"/>
      <c r="K10" s="284"/>
      <c r="L10" s="288"/>
    </row>
    <row r="11" spans="1:12" s="248" customFormat="1" ht="7.8" customHeight="1">
      <c r="A11" s="704" t="s">
        <v>786</v>
      </c>
      <c r="B11" s="705"/>
      <c r="C11" s="706">
        <v>0</v>
      </c>
      <c r="D11" s="706">
        <v>0</v>
      </c>
      <c r="E11" s="706">
        <v>7.2752800000000004</v>
      </c>
      <c r="F11" s="716" t="str">
        <f t="shared" si="0"/>
        <v/>
      </c>
      <c r="G11" s="284"/>
      <c r="H11" s="443"/>
      <c r="I11" s="443"/>
      <c r="J11" s="284"/>
      <c r="K11" s="284"/>
      <c r="L11" s="288"/>
    </row>
    <row r="12" spans="1:12" s="248" customFormat="1" ht="7.8" customHeight="1">
      <c r="A12" s="708" t="s">
        <v>109</v>
      </c>
      <c r="B12" s="709" t="s">
        <v>57</v>
      </c>
      <c r="C12" s="710">
        <v>18.942999999999998</v>
      </c>
      <c r="D12" s="710">
        <v>19.97</v>
      </c>
      <c r="E12" s="710">
        <v>19.606999999999999</v>
      </c>
      <c r="F12" s="718">
        <f t="shared" si="0"/>
        <v>-5.1427140711066688E-2</v>
      </c>
      <c r="G12" s="284"/>
      <c r="H12" s="443"/>
      <c r="I12" s="443"/>
      <c r="J12" s="284"/>
      <c r="K12" s="284"/>
      <c r="L12" s="288"/>
    </row>
    <row r="13" spans="1:12" s="248" customFormat="1" ht="7.8" customHeight="1">
      <c r="A13" s="704" t="s">
        <v>787</v>
      </c>
      <c r="B13" s="705"/>
      <c r="C13" s="706">
        <v>18.942999999999998</v>
      </c>
      <c r="D13" s="706">
        <v>19.97</v>
      </c>
      <c r="E13" s="706">
        <v>19.606999999999999</v>
      </c>
      <c r="F13" s="716">
        <f t="shared" si="0"/>
        <v>-5.1427140711066688E-2</v>
      </c>
      <c r="G13" s="284"/>
      <c r="H13" s="443"/>
      <c r="I13" s="443"/>
      <c r="J13" s="284"/>
      <c r="K13" s="284"/>
      <c r="L13" s="288"/>
    </row>
    <row r="14" spans="1:12" s="248" customFormat="1" ht="7.8" customHeight="1">
      <c r="A14" s="708" t="s">
        <v>313</v>
      </c>
      <c r="B14" s="709" t="s">
        <v>788</v>
      </c>
      <c r="C14" s="710">
        <v>20.274450000000002</v>
      </c>
      <c r="D14" s="710">
        <v>12.174569999999999</v>
      </c>
      <c r="E14" s="710">
        <v>20.427379999999999</v>
      </c>
      <c r="F14" s="718">
        <f t="shared" si="0"/>
        <v>0.66531138266074308</v>
      </c>
      <c r="G14" s="284"/>
      <c r="H14" s="443"/>
      <c r="I14" s="443"/>
      <c r="J14" s="284"/>
      <c r="K14" s="284"/>
      <c r="L14" s="288"/>
    </row>
    <row r="15" spans="1:12" s="248" customFormat="1" ht="7.8" customHeight="1">
      <c r="A15" s="704" t="s">
        <v>789</v>
      </c>
      <c r="B15" s="705"/>
      <c r="C15" s="706">
        <v>20.274450000000002</v>
      </c>
      <c r="D15" s="706">
        <v>12.174569999999999</v>
      </c>
      <c r="E15" s="706">
        <v>20.427379999999999</v>
      </c>
      <c r="F15" s="716">
        <f t="shared" si="0"/>
        <v>0.66531138266074308</v>
      </c>
      <c r="G15" s="284"/>
      <c r="H15" s="443"/>
      <c r="I15" s="443"/>
      <c r="J15" s="284"/>
      <c r="K15" s="284"/>
      <c r="L15" s="288"/>
    </row>
    <row r="16" spans="1:12" s="248" customFormat="1" ht="7.8" customHeight="1">
      <c r="A16" s="708" t="s">
        <v>533</v>
      </c>
      <c r="B16" s="709" t="s">
        <v>545</v>
      </c>
      <c r="C16" s="710">
        <v>3.0644</v>
      </c>
      <c r="D16" s="710">
        <v>1.996</v>
      </c>
      <c r="E16" s="710">
        <v>3.0420699999999998</v>
      </c>
      <c r="F16" s="718">
        <f t="shared" si="0"/>
        <v>0.53527054108216432</v>
      </c>
      <c r="G16" s="284"/>
      <c r="H16" s="443"/>
      <c r="I16" s="443"/>
      <c r="J16" s="284"/>
      <c r="K16" s="284"/>
      <c r="L16" s="288"/>
    </row>
    <row r="17" spans="1:16" s="248" customFormat="1" ht="7.8" customHeight="1">
      <c r="A17" s="704" t="s">
        <v>546</v>
      </c>
      <c r="B17" s="705"/>
      <c r="C17" s="706">
        <v>3.0644</v>
      </c>
      <c r="D17" s="706">
        <v>1.996</v>
      </c>
      <c r="E17" s="706">
        <v>3.0420699999999998</v>
      </c>
      <c r="F17" s="716">
        <f t="shared" si="0"/>
        <v>0.53527054108216432</v>
      </c>
      <c r="G17" s="284"/>
      <c r="H17" s="443"/>
      <c r="I17" s="443"/>
      <c r="J17" s="284"/>
      <c r="K17" s="284"/>
      <c r="L17" s="288"/>
    </row>
    <row r="18" spans="1:16" s="248" customFormat="1" ht="7.8" customHeight="1">
      <c r="A18" s="708" t="s">
        <v>783</v>
      </c>
      <c r="B18" s="709" t="s">
        <v>69</v>
      </c>
      <c r="C18" s="710">
        <v>0</v>
      </c>
      <c r="D18" s="710">
        <v>0</v>
      </c>
      <c r="E18" s="710">
        <v>0</v>
      </c>
      <c r="F18" s="718" t="str">
        <f t="shared" si="0"/>
        <v/>
      </c>
      <c r="G18" s="284"/>
      <c r="H18" s="443"/>
      <c r="I18" s="443"/>
      <c r="J18" s="284"/>
      <c r="K18" s="284"/>
      <c r="L18" s="288"/>
    </row>
    <row r="19" spans="1:16" s="248" customFormat="1" ht="7.8" customHeight="1">
      <c r="A19" s="704" t="s">
        <v>790</v>
      </c>
      <c r="B19" s="705"/>
      <c r="C19" s="706">
        <v>0</v>
      </c>
      <c r="D19" s="706">
        <v>0</v>
      </c>
      <c r="E19" s="706">
        <v>0</v>
      </c>
      <c r="F19" s="716" t="str">
        <f t="shared" si="0"/>
        <v/>
      </c>
      <c r="G19" s="284"/>
      <c r="H19" s="443"/>
      <c r="I19" s="443"/>
      <c r="J19" s="284"/>
      <c r="K19" s="284"/>
      <c r="L19" s="289"/>
    </row>
    <row r="20" spans="1:16" s="248" customFormat="1" ht="7.8" customHeight="1">
      <c r="A20" s="708" t="s">
        <v>333</v>
      </c>
      <c r="B20" s="709" t="s">
        <v>339</v>
      </c>
      <c r="C20" s="710">
        <v>8.9</v>
      </c>
      <c r="D20" s="710">
        <v>9.8000000000000007</v>
      </c>
      <c r="E20" s="710">
        <v>0</v>
      </c>
      <c r="F20" s="718">
        <f t="shared" si="0"/>
        <v>-9.1836734693877542E-2</v>
      </c>
      <c r="G20" s="284"/>
      <c r="H20" s="443"/>
      <c r="I20" s="443"/>
      <c r="J20" s="284"/>
      <c r="K20" s="284"/>
      <c r="L20" s="289"/>
    </row>
    <row r="21" spans="1:16" s="248" customFormat="1" ht="7.8" customHeight="1">
      <c r="A21" s="704" t="s">
        <v>791</v>
      </c>
      <c r="B21" s="705"/>
      <c r="C21" s="706">
        <v>8.9</v>
      </c>
      <c r="D21" s="706">
        <v>9.8000000000000007</v>
      </c>
      <c r="E21" s="706">
        <v>0</v>
      </c>
      <c r="F21" s="716">
        <f t="shared" si="0"/>
        <v>-9.1836734693877542E-2</v>
      </c>
      <c r="G21" s="284"/>
      <c r="H21" s="443"/>
      <c r="I21" s="443"/>
      <c r="J21" s="284"/>
      <c r="K21" s="284"/>
      <c r="L21" s="289"/>
    </row>
    <row r="22" spans="1:16" s="248" customFormat="1" ht="7.8" customHeight="1">
      <c r="A22" s="708" t="s">
        <v>88</v>
      </c>
      <c r="B22" s="709" t="s">
        <v>792</v>
      </c>
      <c r="C22" s="710">
        <v>222.75839999999999</v>
      </c>
      <c r="D22" s="710">
        <v>219.83161000000001</v>
      </c>
      <c r="E22" s="710">
        <v>223.88641999999999</v>
      </c>
      <c r="F22" s="718">
        <f t="shared" si="0"/>
        <v>1.3313781398407443E-2</v>
      </c>
      <c r="G22" s="284"/>
      <c r="H22" s="443"/>
      <c r="I22" s="443"/>
      <c r="J22" s="284"/>
      <c r="K22" s="284"/>
      <c r="L22" s="284"/>
      <c r="M22" s="284"/>
      <c r="N22" s="284"/>
      <c r="O22" s="284"/>
      <c r="P22" s="284"/>
    </row>
    <row r="23" spans="1:16" s="248" customFormat="1" ht="7.8" customHeight="1">
      <c r="A23" s="704" t="s">
        <v>352</v>
      </c>
      <c r="B23" s="705"/>
      <c r="C23" s="706">
        <v>222.75839999999999</v>
      </c>
      <c r="D23" s="706">
        <v>219.83161000000001</v>
      </c>
      <c r="E23" s="706">
        <v>223.88641999999999</v>
      </c>
      <c r="F23" s="716">
        <f t="shared" si="0"/>
        <v>1.3313781398407443E-2</v>
      </c>
      <c r="G23" s="284"/>
      <c r="H23" s="443"/>
      <c r="I23" s="443"/>
      <c r="J23" s="284"/>
      <c r="K23" s="284"/>
      <c r="L23" s="284"/>
      <c r="M23" s="284"/>
      <c r="N23" s="284"/>
      <c r="O23" s="284"/>
      <c r="P23" s="284"/>
    </row>
    <row r="24" spans="1:16" s="248" customFormat="1" ht="7.8" customHeight="1">
      <c r="A24" s="708" t="s">
        <v>348</v>
      </c>
      <c r="B24" s="709" t="s">
        <v>232</v>
      </c>
      <c r="C24" s="710">
        <v>19.718809999999998</v>
      </c>
      <c r="D24" s="710">
        <v>19.64612</v>
      </c>
      <c r="E24" s="710">
        <v>19.745740000000001</v>
      </c>
      <c r="F24" s="718">
        <f t="shared" si="0"/>
        <v>3.699967219990441E-3</v>
      </c>
      <c r="G24" s="284"/>
      <c r="H24" s="443"/>
      <c r="I24" s="443"/>
      <c r="J24" s="284"/>
      <c r="K24" s="284"/>
      <c r="L24" s="288"/>
    </row>
    <row r="25" spans="1:16" s="248" customFormat="1" ht="7.8" customHeight="1">
      <c r="A25" s="704" t="s">
        <v>793</v>
      </c>
      <c r="B25" s="705"/>
      <c r="C25" s="706">
        <v>19.718809999999998</v>
      </c>
      <c r="D25" s="706">
        <v>19.64612</v>
      </c>
      <c r="E25" s="706">
        <v>19.745740000000001</v>
      </c>
      <c r="F25" s="716">
        <f t="shared" si="0"/>
        <v>3.699967219990441E-3</v>
      </c>
      <c r="G25" s="284"/>
      <c r="H25" s="443"/>
      <c r="I25" s="443"/>
      <c r="J25" s="284"/>
      <c r="K25" s="284"/>
      <c r="L25" s="288"/>
    </row>
    <row r="26" spans="1:16" s="248" customFormat="1" ht="7.8" customHeight="1">
      <c r="A26" s="708" t="s">
        <v>364</v>
      </c>
      <c r="B26" s="709" t="s">
        <v>366</v>
      </c>
      <c r="C26" s="710"/>
      <c r="D26" s="710">
        <v>1.0380100000000001</v>
      </c>
      <c r="E26" s="710">
        <v>0</v>
      </c>
      <c r="F26" s="718">
        <f t="shared" si="0"/>
        <v>-1</v>
      </c>
      <c r="G26" s="284"/>
      <c r="H26" s="443"/>
      <c r="I26" s="443"/>
      <c r="J26" s="284"/>
      <c r="K26" s="284"/>
      <c r="L26" s="288"/>
    </row>
    <row r="27" spans="1:16" s="248" customFormat="1" ht="7.8" customHeight="1">
      <c r="A27" s="708"/>
      <c r="B27" s="709" t="s">
        <v>367</v>
      </c>
      <c r="C27" s="710"/>
      <c r="D27" s="710">
        <v>1.6454</v>
      </c>
      <c r="E27" s="710">
        <v>0</v>
      </c>
      <c r="F27" s="718">
        <f t="shared" si="0"/>
        <v>-1</v>
      </c>
      <c r="G27" s="284"/>
      <c r="H27" s="443"/>
      <c r="I27" s="443"/>
      <c r="J27" s="284"/>
      <c r="K27" s="284"/>
      <c r="L27" s="288"/>
    </row>
    <row r="28" spans="1:16" s="248" customFormat="1" ht="7.8" customHeight="1">
      <c r="A28" s="704" t="s">
        <v>794</v>
      </c>
      <c r="B28" s="705"/>
      <c r="C28" s="706"/>
      <c r="D28" s="706">
        <v>2.6834100000000003</v>
      </c>
      <c r="E28" s="706">
        <v>0</v>
      </c>
      <c r="F28" s="716">
        <f t="shared" si="0"/>
        <v>-1</v>
      </c>
      <c r="G28" s="284"/>
      <c r="H28" s="443"/>
      <c r="I28" s="443"/>
      <c r="J28" s="284"/>
      <c r="K28" s="284"/>
      <c r="L28" s="288"/>
    </row>
    <row r="29" spans="1:16" s="248" customFormat="1" ht="7.8" customHeight="1">
      <c r="A29" s="708" t="s">
        <v>179</v>
      </c>
      <c r="B29" s="709" t="s">
        <v>200</v>
      </c>
      <c r="C29" s="710">
        <v>0</v>
      </c>
      <c r="D29" s="710">
        <v>0</v>
      </c>
      <c r="E29" s="710">
        <v>0</v>
      </c>
      <c r="F29" s="718" t="str">
        <f t="shared" si="0"/>
        <v/>
      </c>
      <c r="G29" s="284"/>
      <c r="H29" s="443"/>
      <c r="I29" s="443"/>
      <c r="J29" s="284"/>
      <c r="K29" s="284"/>
      <c r="L29" s="288"/>
    </row>
    <row r="30" spans="1:16" s="248" customFormat="1" ht="7.8" customHeight="1">
      <c r="A30" s="704" t="s">
        <v>795</v>
      </c>
      <c r="B30" s="705"/>
      <c r="C30" s="706">
        <v>0</v>
      </c>
      <c r="D30" s="706">
        <v>0</v>
      </c>
      <c r="E30" s="706">
        <v>0</v>
      </c>
      <c r="F30" s="716" t="str">
        <f t="shared" si="0"/>
        <v/>
      </c>
      <c r="G30" s="284"/>
      <c r="H30" s="443"/>
      <c r="I30" s="443"/>
      <c r="J30" s="284"/>
      <c r="K30" s="284"/>
      <c r="L30" s="288"/>
    </row>
    <row r="31" spans="1:16" s="248" customFormat="1" ht="7.8" customHeight="1">
      <c r="A31" s="708" t="s">
        <v>87</v>
      </c>
      <c r="B31" s="709" t="s">
        <v>201</v>
      </c>
      <c r="C31" s="710">
        <v>134.27601999999999</v>
      </c>
      <c r="D31" s="710">
        <v>73.131</v>
      </c>
      <c r="E31" s="710">
        <v>147.99299999999999</v>
      </c>
      <c r="F31" s="718">
        <f t="shared" si="0"/>
        <v>0.83610261038410516</v>
      </c>
      <c r="G31" s="284"/>
      <c r="H31" s="443"/>
      <c r="I31" s="443"/>
      <c r="J31" s="284"/>
      <c r="K31" s="284"/>
      <c r="L31" s="288"/>
    </row>
    <row r="32" spans="1:16" s="248" customFormat="1" ht="7.8" customHeight="1">
      <c r="A32" s="708"/>
      <c r="B32" s="709" t="s">
        <v>202</v>
      </c>
      <c r="C32" s="710">
        <v>42.30677</v>
      </c>
      <c r="D32" s="710">
        <v>26.359000000000002</v>
      </c>
      <c r="E32" s="710">
        <v>42.378999999999998</v>
      </c>
      <c r="F32" s="718">
        <f t="shared" si="0"/>
        <v>0.60502181418111456</v>
      </c>
      <c r="G32" s="284"/>
      <c r="H32" s="443"/>
      <c r="I32" s="443"/>
      <c r="J32" s="284"/>
      <c r="K32" s="284"/>
      <c r="L32" s="288"/>
    </row>
    <row r="33" spans="1:12" s="248" customFormat="1" ht="7.8" customHeight="1">
      <c r="A33" s="704" t="s">
        <v>796</v>
      </c>
      <c r="B33" s="705"/>
      <c r="C33" s="706">
        <v>176.58278999999999</v>
      </c>
      <c r="D33" s="706">
        <v>99.490000000000009</v>
      </c>
      <c r="E33" s="706">
        <v>190.37199999999999</v>
      </c>
      <c r="F33" s="716">
        <f t="shared" si="0"/>
        <v>0.77487978691325732</v>
      </c>
      <c r="G33" s="284"/>
      <c r="H33" s="443"/>
      <c r="I33" s="443"/>
      <c r="J33" s="284"/>
      <c r="K33" s="284"/>
      <c r="L33" s="290"/>
    </row>
    <row r="34" spans="1:12" s="248" customFormat="1" ht="7.8" customHeight="1">
      <c r="A34" s="708" t="s">
        <v>563</v>
      </c>
      <c r="B34" s="709" t="s">
        <v>381</v>
      </c>
      <c r="C34" s="710"/>
      <c r="D34" s="710">
        <v>0</v>
      </c>
      <c r="E34" s="710"/>
      <c r="F34" s="718" t="str">
        <f t="shared" si="0"/>
        <v/>
      </c>
      <c r="G34" s="284"/>
      <c r="H34" s="443"/>
      <c r="I34" s="443"/>
      <c r="J34" s="284"/>
      <c r="K34" s="284"/>
      <c r="L34" s="290"/>
    </row>
    <row r="35" spans="1:12" s="248" customFormat="1" ht="7.8" customHeight="1">
      <c r="A35" s="704" t="s">
        <v>855</v>
      </c>
      <c r="B35" s="705"/>
      <c r="C35" s="706"/>
      <c r="D35" s="706">
        <v>0</v>
      </c>
      <c r="E35" s="706"/>
      <c r="F35" s="716" t="str">
        <f t="shared" si="0"/>
        <v/>
      </c>
      <c r="G35" s="284"/>
      <c r="H35" s="443"/>
      <c r="I35" s="443"/>
      <c r="J35" s="284"/>
      <c r="K35" s="284"/>
      <c r="L35" s="290"/>
    </row>
    <row r="36" spans="1:12" s="248" customFormat="1" ht="7.8" customHeight="1">
      <c r="A36" s="708" t="s">
        <v>365</v>
      </c>
      <c r="B36" s="709" t="s">
        <v>368</v>
      </c>
      <c r="C36" s="710">
        <v>0</v>
      </c>
      <c r="D36" s="710">
        <v>0</v>
      </c>
      <c r="E36" s="710">
        <v>0</v>
      </c>
      <c r="F36" s="718" t="str">
        <f t="shared" si="0"/>
        <v/>
      </c>
      <c r="G36" s="284"/>
      <c r="H36" s="443"/>
      <c r="I36" s="443"/>
      <c r="J36" s="284"/>
      <c r="K36" s="284"/>
      <c r="L36" s="288"/>
    </row>
    <row r="37" spans="1:12" s="248" customFormat="1" ht="7.8" customHeight="1">
      <c r="A37" s="704" t="s">
        <v>797</v>
      </c>
      <c r="B37" s="705"/>
      <c r="C37" s="706">
        <v>0</v>
      </c>
      <c r="D37" s="706">
        <v>0</v>
      </c>
      <c r="E37" s="706">
        <v>0</v>
      </c>
      <c r="F37" s="716" t="str">
        <f t="shared" si="0"/>
        <v/>
      </c>
      <c r="G37" s="284"/>
      <c r="H37" s="443"/>
      <c r="I37" s="443"/>
      <c r="J37" s="284"/>
      <c r="K37" s="284"/>
      <c r="L37" s="288"/>
    </row>
    <row r="38" spans="1:12" s="248" customFormat="1" ht="7.8" customHeight="1">
      <c r="A38" s="708" t="s">
        <v>85</v>
      </c>
      <c r="B38" s="709" t="s">
        <v>203</v>
      </c>
      <c r="C38" s="710">
        <v>1.62294</v>
      </c>
      <c r="D38" s="710">
        <v>1.5708600000000001</v>
      </c>
      <c r="E38" s="710">
        <v>1.5550900000000001</v>
      </c>
      <c r="F38" s="718">
        <f t="shared" si="0"/>
        <v>3.3153813834460033E-2</v>
      </c>
      <c r="G38" s="284"/>
      <c r="H38" s="443"/>
      <c r="I38" s="443"/>
      <c r="J38" s="284"/>
      <c r="K38" s="284"/>
      <c r="L38" s="288"/>
    </row>
    <row r="39" spans="1:12" s="248" customFormat="1" ht="7.8" customHeight="1">
      <c r="A39" s="708"/>
      <c r="B39" s="709" t="s">
        <v>204</v>
      </c>
      <c r="C39" s="710">
        <v>0.54200000000000004</v>
      </c>
      <c r="D39" s="710">
        <v>0.55013999999999996</v>
      </c>
      <c r="E39" s="710">
        <v>0.3866</v>
      </c>
      <c r="F39" s="718">
        <f t="shared" si="0"/>
        <v>-1.4796233685970717E-2</v>
      </c>
      <c r="G39" s="284"/>
      <c r="H39" s="443"/>
      <c r="I39" s="443"/>
      <c r="J39" s="284"/>
      <c r="K39" s="284"/>
      <c r="L39" s="290"/>
    </row>
    <row r="40" spans="1:12" s="248" customFormat="1" ht="7.8" customHeight="1">
      <c r="A40" s="708"/>
      <c r="B40" s="709" t="s">
        <v>205</v>
      </c>
      <c r="C40" s="710">
        <v>4.5216899999999995</v>
      </c>
      <c r="D40" s="710">
        <v>4.6424699999999994</v>
      </c>
      <c r="E40" s="710">
        <v>4.5588800000000003</v>
      </c>
      <c r="F40" s="718">
        <f t="shared" si="0"/>
        <v>-2.6016323207258218E-2</v>
      </c>
      <c r="G40" s="284"/>
      <c r="H40" s="443"/>
      <c r="I40" s="443"/>
      <c r="J40" s="284"/>
      <c r="K40" s="284"/>
      <c r="L40" s="288"/>
    </row>
    <row r="41" spans="1:12" s="248" customFormat="1" ht="7.8" customHeight="1">
      <c r="A41" s="708"/>
      <c r="B41" s="709" t="s">
        <v>206</v>
      </c>
      <c r="C41" s="710">
        <v>6.1840299999999999</v>
      </c>
      <c r="D41" s="710">
        <v>12.242150000000001</v>
      </c>
      <c r="E41" s="710">
        <v>10.081320000000002</v>
      </c>
      <c r="F41" s="718">
        <f t="shared" si="0"/>
        <v>-0.49485752094199142</v>
      </c>
      <c r="G41" s="284"/>
      <c r="H41" s="443"/>
      <c r="I41" s="443"/>
      <c r="J41" s="284"/>
      <c r="K41" s="284"/>
      <c r="L41" s="288"/>
    </row>
    <row r="42" spans="1:12" s="248" customFormat="1" ht="7.8" customHeight="1">
      <c r="A42" s="708"/>
      <c r="B42" s="709" t="s">
        <v>207</v>
      </c>
      <c r="C42" s="710">
        <v>110.96366</v>
      </c>
      <c r="D42" s="710">
        <v>130.6293</v>
      </c>
      <c r="E42" s="710">
        <v>143.88864000000001</v>
      </c>
      <c r="F42" s="718">
        <f t="shared" si="0"/>
        <v>-0.15054539831416069</v>
      </c>
      <c r="G42" s="284"/>
      <c r="H42" s="443"/>
      <c r="I42" s="443"/>
      <c r="J42" s="284"/>
      <c r="K42" s="284"/>
      <c r="L42" s="288"/>
    </row>
    <row r="43" spans="1:12" s="248" customFormat="1" ht="7.8" customHeight="1">
      <c r="A43" s="708"/>
      <c r="B43" s="709" t="s">
        <v>208</v>
      </c>
      <c r="C43" s="710">
        <v>3.1023499999999999</v>
      </c>
      <c r="D43" s="710">
        <v>6.9609500000000004</v>
      </c>
      <c r="E43" s="710">
        <v>8.4815100000000001</v>
      </c>
      <c r="F43" s="718">
        <f t="shared" si="0"/>
        <v>-0.55432089010839047</v>
      </c>
      <c r="G43" s="284"/>
      <c r="H43" s="443"/>
      <c r="I43" s="443"/>
      <c r="J43" s="284"/>
      <c r="K43" s="284"/>
      <c r="L43" s="288"/>
    </row>
    <row r="44" spans="1:12" s="248" customFormat="1" ht="7.8" customHeight="1">
      <c r="A44" s="708"/>
      <c r="B44" s="709" t="s">
        <v>209</v>
      </c>
      <c r="C44" s="710">
        <v>0</v>
      </c>
      <c r="D44" s="710">
        <v>0</v>
      </c>
      <c r="E44" s="710">
        <v>0</v>
      </c>
      <c r="F44" s="718" t="str">
        <f t="shared" si="0"/>
        <v/>
      </c>
      <c r="G44" s="284"/>
      <c r="H44" s="443"/>
      <c r="I44" s="443"/>
      <c r="J44" s="284"/>
      <c r="K44" s="284"/>
      <c r="L44" s="288"/>
    </row>
    <row r="45" spans="1:12" s="248" customFormat="1" ht="7.8" customHeight="1">
      <c r="A45" s="708"/>
      <c r="B45" s="709" t="s">
        <v>210</v>
      </c>
      <c r="C45" s="710">
        <v>0</v>
      </c>
      <c r="D45" s="710">
        <v>0</v>
      </c>
      <c r="E45" s="710">
        <v>0</v>
      </c>
      <c r="F45" s="718" t="str">
        <f t="shared" si="0"/>
        <v/>
      </c>
      <c r="G45" s="284"/>
      <c r="H45" s="443"/>
      <c r="I45" s="443"/>
      <c r="J45" s="284"/>
      <c r="K45" s="284"/>
      <c r="L45" s="288"/>
    </row>
    <row r="46" spans="1:12" s="248" customFormat="1" ht="7.8" customHeight="1">
      <c r="A46" s="704" t="s">
        <v>353</v>
      </c>
      <c r="B46" s="705"/>
      <c r="C46" s="706">
        <v>126.93667000000001</v>
      </c>
      <c r="D46" s="706">
        <v>156.59586999999999</v>
      </c>
      <c r="E46" s="706">
        <v>168.95204000000001</v>
      </c>
      <c r="F46" s="716">
        <f t="shared" si="0"/>
        <v>-0.18939963103752344</v>
      </c>
      <c r="G46" s="284"/>
      <c r="H46" s="443"/>
      <c r="I46" s="443"/>
      <c r="J46" s="284"/>
      <c r="K46" s="284"/>
      <c r="L46" s="288"/>
    </row>
    <row r="47" spans="1:12" s="248" customFormat="1" ht="7.8" customHeight="1">
      <c r="A47" s="708" t="s">
        <v>103</v>
      </c>
      <c r="B47" s="709" t="s">
        <v>64</v>
      </c>
      <c r="C47" s="710">
        <v>5.173</v>
      </c>
      <c r="D47" s="710">
        <v>4.4079999999999995</v>
      </c>
      <c r="E47" s="710">
        <v>5.0061499999999999</v>
      </c>
      <c r="F47" s="718">
        <f t="shared" si="0"/>
        <v>0.17354809437386587</v>
      </c>
      <c r="G47" s="284"/>
      <c r="H47" s="443"/>
      <c r="I47" s="443"/>
      <c r="J47" s="284"/>
      <c r="K47" s="284"/>
      <c r="L47" s="288"/>
    </row>
    <row r="48" spans="1:12" s="248" customFormat="1" ht="7.8" customHeight="1">
      <c r="A48" s="704" t="s">
        <v>798</v>
      </c>
      <c r="B48" s="705"/>
      <c r="C48" s="706">
        <v>5.173</v>
      </c>
      <c r="D48" s="706">
        <v>4.4079999999999995</v>
      </c>
      <c r="E48" s="706">
        <v>5.0061499999999999</v>
      </c>
      <c r="F48" s="716">
        <f t="shared" si="0"/>
        <v>0.17354809437386587</v>
      </c>
      <c r="G48" s="284"/>
      <c r="H48" s="443"/>
      <c r="I48" s="443"/>
      <c r="J48" s="284"/>
      <c r="K48" s="284"/>
      <c r="L48" s="288"/>
    </row>
    <row r="49" spans="1:12" s="248" customFormat="1" ht="7.8" customHeight="1">
      <c r="A49" s="708" t="s">
        <v>547</v>
      </c>
      <c r="B49" s="709" t="s">
        <v>59</v>
      </c>
      <c r="C49" s="710">
        <v>9.8227100000000007</v>
      </c>
      <c r="D49" s="710">
        <v>4.4522000000000004</v>
      </c>
      <c r="E49" s="710">
        <v>9.8309700000000007</v>
      </c>
      <c r="F49" s="718">
        <f t="shared" si="0"/>
        <v>1.2062598266025786</v>
      </c>
      <c r="G49" s="284"/>
      <c r="H49" s="443"/>
      <c r="I49" s="443"/>
      <c r="J49" s="284"/>
      <c r="K49" s="284"/>
      <c r="L49" s="288"/>
    </row>
    <row r="50" spans="1:12" s="248" customFormat="1" ht="7.8" customHeight="1">
      <c r="A50" s="708"/>
      <c r="B50" s="709" t="s">
        <v>58</v>
      </c>
      <c r="C50" s="710">
        <v>9.9127799999999997</v>
      </c>
      <c r="D50" s="710">
        <v>4.9815399999999999</v>
      </c>
      <c r="E50" s="710">
        <v>9.8982600000000005</v>
      </c>
      <c r="F50" s="718">
        <f t="shared" si="0"/>
        <v>0.98990272084536102</v>
      </c>
      <c r="G50" s="284"/>
      <c r="H50" s="443"/>
      <c r="I50" s="443"/>
      <c r="J50" s="284"/>
      <c r="K50" s="284"/>
      <c r="L50" s="288"/>
    </row>
    <row r="51" spans="1:12" s="248" customFormat="1" ht="7.8" customHeight="1">
      <c r="A51" s="708"/>
      <c r="B51" s="709" t="s">
        <v>54</v>
      </c>
      <c r="C51" s="710">
        <v>16.42379</v>
      </c>
      <c r="D51" s="710">
        <v>10.58301</v>
      </c>
      <c r="E51" s="710">
        <v>20.183779999999999</v>
      </c>
      <c r="F51" s="718">
        <f t="shared" si="0"/>
        <v>0.5519015856547429</v>
      </c>
      <c r="G51" s="284"/>
      <c r="H51" s="443"/>
      <c r="I51" s="443"/>
      <c r="J51" s="284"/>
      <c r="K51" s="284"/>
      <c r="L51" s="291"/>
    </row>
    <row r="52" spans="1:12" s="248" customFormat="1" ht="7.8" customHeight="1">
      <c r="A52" s="708"/>
      <c r="B52" s="709" t="s">
        <v>52</v>
      </c>
      <c r="C52" s="710">
        <v>20.12914</v>
      </c>
      <c r="D52" s="710">
        <v>14.19225</v>
      </c>
      <c r="E52" s="710">
        <v>20.191549999999999</v>
      </c>
      <c r="F52" s="718">
        <f t="shared" si="0"/>
        <v>0.41831915305888789</v>
      </c>
      <c r="G52" s="284"/>
      <c r="H52" s="443"/>
      <c r="I52" s="443"/>
      <c r="J52" s="284"/>
      <c r="K52" s="284"/>
      <c r="L52" s="288"/>
    </row>
    <row r="53" spans="1:12" s="248" customFormat="1" ht="7.8" customHeight="1">
      <c r="A53" s="708"/>
      <c r="B53" s="709" t="s">
        <v>62</v>
      </c>
      <c r="C53" s="710">
        <v>5.7874499999999998</v>
      </c>
      <c r="D53" s="710">
        <v>4.2928100000000002</v>
      </c>
      <c r="E53" s="710">
        <v>5.8663400000000001</v>
      </c>
      <c r="F53" s="718">
        <f t="shared" si="0"/>
        <v>0.34817287510977635</v>
      </c>
      <c r="G53" s="284"/>
      <c r="H53" s="443"/>
      <c r="I53" s="443"/>
      <c r="J53" s="284"/>
      <c r="K53" s="284"/>
      <c r="L53" s="288"/>
    </row>
    <row r="54" spans="1:12" s="248" customFormat="1" ht="7.8" customHeight="1">
      <c r="A54" s="708"/>
      <c r="B54" s="709" t="s">
        <v>61</v>
      </c>
      <c r="C54" s="710">
        <v>6.8248499999999996</v>
      </c>
      <c r="D54" s="710">
        <v>4.9098199999999999</v>
      </c>
      <c r="E54" s="710">
        <v>6.6251300000000004</v>
      </c>
      <c r="F54" s="718">
        <f t="shared" si="0"/>
        <v>0.39004077542557569</v>
      </c>
      <c r="G54" s="284"/>
      <c r="H54" s="443"/>
      <c r="I54" s="443"/>
      <c r="J54" s="284"/>
      <c r="K54" s="284"/>
      <c r="L54" s="288"/>
    </row>
    <row r="55" spans="1:12" s="248" customFormat="1" ht="7.8" customHeight="1">
      <c r="A55" s="704" t="s">
        <v>548</v>
      </c>
      <c r="B55" s="705"/>
      <c r="C55" s="706">
        <v>68.900719999999993</v>
      </c>
      <c r="D55" s="706">
        <v>43.411630000000002</v>
      </c>
      <c r="E55" s="706">
        <v>72.596029999999999</v>
      </c>
      <c r="F55" s="716">
        <f t="shared" si="0"/>
        <v>0.58714888153243705</v>
      </c>
      <c r="G55" s="284"/>
      <c r="H55" s="443"/>
      <c r="I55" s="443"/>
      <c r="J55" s="284"/>
      <c r="K55" s="284"/>
      <c r="L55" s="288"/>
    </row>
    <row r="56" spans="1:12" s="248" customFormat="1" ht="7.8" customHeight="1">
      <c r="A56" s="708" t="s">
        <v>86</v>
      </c>
      <c r="B56" s="709" t="s">
        <v>211</v>
      </c>
      <c r="C56" s="710">
        <v>166.98700000000002</v>
      </c>
      <c r="D56" s="710">
        <v>166.655</v>
      </c>
      <c r="E56" s="710">
        <v>164.81</v>
      </c>
      <c r="F56" s="718">
        <f t="shared" si="0"/>
        <v>1.9921394497615097E-3</v>
      </c>
      <c r="G56" s="284"/>
      <c r="H56" s="443"/>
      <c r="I56" s="443"/>
      <c r="J56" s="284"/>
      <c r="K56" s="284"/>
      <c r="L56" s="288"/>
    </row>
    <row r="57" spans="1:12" s="248" customFormat="1" ht="7.8" customHeight="1">
      <c r="A57" s="704" t="s">
        <v>354</v>
      </c>
      <c r="B57" s="705"/>
      <c r="C57" s="706">
        <v>166.98700000000002</v>
      </c>
      <c r="D57" s="706">
        <v>166.655</v>
      </c>
      <c r="E57" s="706">
        <v>164.81</v>
      </c>
      <c r="F57" s="716">
        <f t="shared" si="0"/>
        <v>1.9921394497615097E-3</v>
      </c>
      <c r="G57" s="284"/>
      <c r="H57" s="443"/>
      <c r="I57" s="443"/>
      <c r="J57" s="284"/>
      <c r="K57" s="284"/>
      <c r="L57" s="288"/>
    </row>
    <row r="58" spans="1:12" s="248" customFormat="1" ht="7.8" customHeight="1">
      <c r="A58" s="708" t="s">
        <v>94</v>
      </c>
      <c r="B58" s="709" t="s">
        <v>212</v>
      </c>
      <c r="C58" s="710">
        <v>7.4388900000000007</v>
      </c>
      <c r="D58" s="710">
        <v>6.8137299999999996</v>
      </c>
      <c r="E58" s="710">
        <v>7.3270399999999993</v>
      </c>
      <c r="F58" s="718">
        <f t="shared" si="0"/>
        <v>9.1750039992779531E-2</v>
      </c>
      <c r="G58" s="284"/>
      <c r="H58" s="443"/>
      <c r="I58" s="443"/>
      <c r="J58" s="284"/>
      <c r="K58" s="284"/>
    </row>
    <row r="59" spans="1:12" s="248" customFormat="1" ht="7.8" customHeight="1">
      <c r="A59" s="708"/>
      <c r="B59" s="709" t="s">
        <v>382</v>
      </c>
      <c r="C59" s="710">
        <v>3.57768</v>
      </c>
      <c r="D59" s="710">
        <v>0</v>
      </c>
      <c r="E59" s="710">
        <v>3.1554099999999998</v>
      </c>
      <c r="F59" s="718" t="str">
        <f t="shared" si="0"/>
        <v/>
      </c>
      <c r="G59" s="284"/>
      <c r="H59" s="443"/>
      <c r="I59" s="443"/>
      <c r="J59" s="284"/>
      <c r="K59" s="284"/>
    </row>
    <row r="60" spans="1:12" s="248" customFormat="1" ht="7.8" customHeight="1">
      <c r="A60" s="708"/>
      <c r="B60" s="709" t="s">
        <v>213</v>
      </c>
      <c r="C60" s="710">
        <v>22.133280000000003</v>
      </c>
      <c r="D60" s="710">
        <v>0</v>
      </c>
      <c r="E60" s="710">
        <v>0</v>
      </c>
      <c r="F60" s="718" t="str">
        <f t="shared" si="0"/>
        <v/>
      </c>
      <c r="G60" s="284"/>
      <c r="H60" s="443"/>
      <c r="I60" s="443"/>
      <c r="J60" s="284"/>
      <c r="K60" s="284"/>
    </row>
    <row r="61" spans="1:12" s="248" customFormat="1" ht="7.8" customHeight="1">
      <c r="A61" s="704" t="s">
        <v>355</v>
      </c>
      <c r="B61" s="705"/>
      <c r="C61" s="706">
        <v>33.149850000000001</v>
      </c>
      <c r="D61" s="706">
        <v>6.8137299999999996</v>
      </c>
      <c r="E61" s="706">
        <v>10.48245</v>
      </c>
      <c r="F61" s="716">
        <f t="shared" si="0"/>
        <v>3.8651546216242796</v>
      </c>
      <c r="G61" s="284"/>
      <c r="H61" s="443"/>
      <c r="I61" s="443"/>
      <c r="J61" s="284"/>
      <c r="K61" s="284"/>
    </row>
    <row r="62" spans="1:12" s="248" customFormat="1" ht="7.8" customHeight="1">
      <c r="A62" s="708" t="s">
        <v>104</v>
      </c>
      <c r="B62" s="709" t="s">
        <v>67</v>
      </c>
      <c r="C62" s="710">
        <v>3.327</v>
      </c>
      <c r="D62" s="710">
        <v>2.54</v>
      </c>
      <c r="E62" s="710">
        <v>3.5659999999999998</v>
      </c>
      <c r="F62" s="718">
        <f t="shared" si="0"/>
        <v>0.3098425196850394</v>
      </c>
      <c r="G62" s="284"/>
      <c r="H62" s="443"/>
      <c r="I62" s="443"/>
      <c r="J62" s="284"/>
      <c r="K62" s="284"/>
    </row>
    <row r="63" spans="1:12" s="248" customFormat="1" ht="7.8" customHeight="1">
      <c r="A63" s="704" t="s">
        <v>799</v>
      </c>
      <c r="B63" s="705"/>
      <c r="C63" s="706">
        <v>3.327</v>
      </c>
      <c r="D63" s="706">
        <v>2.54</v>
      </c>
      <c r="E63" s="706">
        <v>3.5659999999999998</v>
      </c>
      <c r="F63" s="716">
        <f t="shared" si="0"/>
        <v>0.3098425196850394</v>
      </c>
      <c r="G63" s="284"/>
      <c r="H63" s="443"/>
      <c r="I63" s="443"/>
      <c r="J63" s="284"/>
      <c r="K63" s="284"/>
    </row>
    <row r="64" spans="1:12" s="248" customFormat="1" ht="7.8" customHeight="1">
      <c r="A64" s="708" t="s">
        <v>83</v>
      </c>
      <c r="B64" s="709" t="s">
        <v>214</v>
      </c>
      <c r="C64" s="710">
        <v>646.3110999999999</v>
      </c>
      <c r="D64" s="710">
        <v>657.67407000000003</v>
      </c>
      <c r="E64" s="710">
        <v>652.4547</v>
      </c>
      <c r="F64" s="718">
        <f t="shared" si="0"/>
        <v>-1.7277509511664513E-2</v>
      </c>
      <c r="G64" s="284"/>
      <c r="H64" s="443"/>
      <c r="I64" s="443"/>
      <c r="J64" s="284"/>
      <c r="K64" s="284"/>
    </row>
    <row r="65" spans="1:11" s="248" customFormat="1" ht="7.8" customHeight="1">
      <c r="A65" s="708"/>
      <c r="B65" s="709" t="s">
        <v>215</v>
      </c>
      <c r="C65" s="710">
        <v>215.79560000000001</v>
      </c>
      <c r="D65" s="710">
        <v>221.05607000000001</v>
      </c>
      <c r="E65" s="710">
        <v>217.03210000000001</v>
      </c>
      <c r="F65" s="718">
        <f t="shared" si="0"/>
        <v>-2.3796994129136495E-2</v>
      </c>
      <c r="G65" s="284"/>
      <c r="H65" s="443"/>
      <c r="I65" s="443"/>
      <c r="J65" s="284"/>
      <c r="K65" s="284"/>
    </row>
    <row r="66" spans="1:11" s="248" customFormat="1" ht="7.8" customHeight="1">
      <c r="A66" s="708"/>
      <c r="B66" s="709" t="s">
        <v>383</v>
      </c>
      <c r="C66" s="710">
        <v>0</v>
      </c>
      <c r="D66" s="710">
        <v>0</v>
      </c>
      <c r="E66" s="710">
        <v>0</v>
      </c>
      <c r="F66" s="718" t="str">
        <f t="shared" si="0"/>
        <v/>
      </c>
      <c r="G66" s="284"/>
      <c r="H66" s="443"/>
      <c r="I66" s="443"/>
      <c r="J66" s="284"/>
      <c r="K66" s="284"/>
    </row>
    <row r="67" spans="1:11" s="248" customFormat="1" ht="7.8" customHeight="1">
      <c r="A67" s="704" t="s">
        <v>356</v>
      </c>
      <c r="B67" s="705"/>
      <c r="C67" s="706">
        <v>862.10669999999993</v>
      </c>
      <c r="D67" s="706">
        <v>878.73014000000001</v>
      </c>
      <c r="E67" s="706">
        <v>869.48680000000002</v>
      </c>
      <c r="F67" s="716">
        <f t="shared" si="0"/>
        <v>-1.8917571212477169E-2</v>
      </c>
      <c r="G67" s="284"/>
      <c r="H67" s="443"/>
      <c r="I67" s="443"/>
      <c r="J67" s="284"/>
      <c r="K67" s="284"/>
    </row>
    <row r="68" spans="1:11" s="248" customFormat="1" ht="7.8" customHeight="1">
      <c r="A68" s="708" t="s">
        <v>180</v>
      </c>
      <c r="B68" s="709" t="s">
        <v>216</v>
      </c>
      <c r="C68" s="710">
        <v>229.79891000000001</v>
      </c>
      <c r="D68" s="710">
        <v>223.05159</v>
      </c>
      <c r="E68" s="710">
        <v>459.60792000000004</v>
      </c>
      <c r="F68" s="718">
        <f t="shared" si="0"/>
        <v>3.0250042153925127E-2</v>
      </c>
      <c r="G68" s="284"/>
      <c r="H68" s="443"/>
      <c r="I68" s="443"/>
      <c r="J68" s="284"/>
      <c r="K68" s="284"/>
    </row>
    <row r="69" spans="1:11" s="248" customFormat="1" ht="7.8" customHeight="1">
      <c r="A69" s="708"/>
      <c r="B69" s="709" t="s">
        <v>800</v>
      </c>
      <c r="C69" s="710">
        <v>6.5391599999999999</v>
      </c>
      <c r="D69" s="710">
        <v>6.4951299999999996</v>
      </c>
      <c r="E69" s="710">
        <v>6.4478</v>
      </c>
      <c r="F69" s="718">
        <f t="shared" si="0"/>
        <v>6.7789251331382694E-3</v>
      </c>
      <c r="G69" s="284"/>
      <c r="H69" s="444"/>
      <c r="I69" s="443"/>
      <c r="J69" s="284"/>
      <c r="K69" s="284"/>
    </row>
    <row r="70" spans="1:11" s="248" customFormat="1" ht="7.8" customHeight="1">
      <c r="A70" s="704" t="s">
        <v>801</v>
      </c>
      <c r="B70" s="705"/>
      <c r="C70" s="706">
        <v>236.33807000000002</v>
      </c>
      <c r="D70" s="706">
        <v>229.54671999999999</v>
      </c>
      <c r="E70" s="706">
        <v>466.05572000000001</v>
      </c>
      <c r="F70" s="716">
        <f t="shared" si="0"/>
        <v>2.9585916104573506E-2</v>
      </c>
      <c r="G70" s="284"/>
      <c r="H70" s="444"/>
      <c r="I70" s="443"/>
      <c r="J70" s="284"/>
      <c r="K70" s="284"/>
    </row>
    <row r="71" spans="1:11" s="248" customFormat="1" ht="7.8" customHeight="1">
      <c r="A71" s="708" t="s">
        <v>181</v>
      </c>
      <c r="B71" s="709" t="s">
        <v>217</v>
      </c>
      <c r="C71" s="710">
        <v>47.61741</v>
      </c>
      <c r="D71" s="710">
        <v>26.144580000000001</v>
      </c>
      <c r="E71" s="710">
        <v>95.037180000000006</v>
      </c>
      <c r="F71" s="718">
        <f t="shared" ref="F71:F90" si="1">+IF(D71=0,"",C71/D71-1)</f>
        <v>0.82131095622878614</v>
      </c>
      <c r="G71" s="284"/>
      <c r="H71" s="444"/>
      <c r="I71" s="443"/>
      <c r="J71" s="284"/>
      <c r="K71" s="284"/>
    </row>
    <row r="72" spans="1:11" s="248" customFormat="1" ht="7.8" customHeight="1">
      <c r="A72" s="704" t="s">
        <v>802</v>
      </c>
      <c r="B72" s="705"/>
      <c r="C72" s="706">
        <v>47.61741</v>
      </c>
      <c r="D72" s="706">
        <v>26.144580000000001</v>
      </c>
      <c r="E72" s="706">
        <v>95.037180000000006</v>
      </c>
      <c r="F72" s="716">
        <f t="shared" si="1"/>
        <v>0.82131095622878614</v>
      </c>
      <c r="G72" s="292"/>
      <c r="H72" s="444"/>
      <c r="I72" s="443"/>
      <c r="J72" s="284"/>
      <c r="K72" s="284"/>
    </row>
    <row r="73" spans="1:11" s="248" customFormat="1" ht="7.8" customHeight="1">
      <c r="A73" s="708" t="s">
        <v>82</v>
      </c>
      <c r="B73" s="709" t="s">
        <v>549</v>
      </c>
      <c r="C73" s="710"/>
      <c r="D73" s="710">
        <v>77.692999999999998</v>
      </c>
      <c r="E73" s="710"/>
      <c r="F73" s="718">
        <f t="shared" si="1"/>
        <v>-1</v>
      </c>
      <c r="G73" s="292"/>
      <c r="H73" s="444"/>
      <c r="I73" s="443"/>
      <c r="J73" s="284"/>
      <c r="K73" s="284"/>
    </row>
    <row r="74" spans="1:11" s="248" customFormat="1" ht="7.8" customHeight="1">
      <c r="A74" s="708"/>
      <c r="B74" s="709" t="s">
        <v>316</v>
      </c>
      <c r="C74" s="710"/>
      <c r="D74" s="710">
        <v>100.047</v>
      </c>
      <c r="E74" s="710"/>
      <c r="F74" s="718">
        <f t="shared" si="1"/>
        <v>-1</v>
      </c>
      <c r="G74" s="292"/>
      <c r="H74" s="443"/>
      <c r="I74" s="443"/>
      <c r="J74" s="284"/>
      <c r="K74" s="284"/>
    </row>
    <row r="75" spans="1:11" s="248" customFormat="1" ht="7.8" customHeight="1">
      <c r="A75" s="708"/>
      <c r="B75" s="709" t="s">
        <v>340</v>
      </c>
      <c r="C75" s="710"/>
      <c r="D75" s="710">
        <v>70.906000000000006</v>
      </c>
      <c r="E75" s="710"/>
      <c r="F75" s="718">
        <f t="shared" si="1"/>
        <v>-1</v>
      </c>
      <c r="G75" s="292"/>
      <c r="H75" s="443"/>
      <c r="I75" s="443"/>
      <c r="J75" s="284"/>
      <c r="K75" s="284"/>
    </row>
    <row r="76" spans="1:11" s="248" customFormat="1" ht="7.8" customHeight="1">
      <c r="A76" s="708"/>
      <c r="B76" s="709" t="s">
        <v>312</v>
      </c>
      <c r="C76" s="710"/>
      <c r="D76" s="710">
        <v>0.64600000000000002</v>
      </c>
      <c r="E76" s="710"/>
      <c r="F76" s="718">
        <f t="shared" si="1"/>
        <v>-1</v>
      </c>
      <c r="G76" s="284"/>
      <c r="H76" s="443"/>
      <c r="I76" s="443"/>
      <c r="J76" s="284"/>
      <c r="K76" s="284"/>
    </row>
    <row r="77" spans="1:11" s="248" customFormat="1" ht="7.8" customHeight="1">
      <c r="A77" s="708"/>
      <c r="B77" s="709" t="s">
        <v>218</v>
      </c>
      <c r="C77" s="710"/>
      <c r="D77" s="710">
        <v>30.323</v>
      </c>
      <c r="E77" s="710"/>
      <c r="F77" s="718">
        <f t="shared" si="1"/>
        <v>-1</v>
      </c>
      <c r="G77" s="284"/>
      <c r="H77" s="443"/>
      <c r="I77" s="443"/>
      <c r="J77" s="284"/>
      <c r="K77" s="284"/>
    </row>
    <row r="78" spans="1:11" s="248" customFormat="1" ht="7.8" customHeight="1">
      <c r="A78" s="708"/>
      <c r="B78" s="709" t="s">
        <v>219</v>
      </c>
      <c r="C78" s="710"/>
      <c r="D78" s="710">
        <v>147.01100000000002</v>
      </c>
      <c r="E78" s="710"/>
      <c r="F78" s="718">
        <f t="shared" si="1"/>
        <v>-1</v>
      </c>
      <c r="G78" s="284"/>
      <c r="H78" s="443"/>
      <c r="I78" s="443"/>
      <c r="J78" s="284"/>
      <c r="K78" s="284"/>
    </row>
    <row r="79" spans="1:11" s="248" customFormat="1" ht="7.8" customHeight="1">
      <c r="A79" s="708"/>
      <c r="B79" s="709" t="s">
        <v>220</v>
      </c>
      <c r="C79" s="710"/>
      <c r="D79" s="710">
        <v>122.071</v>
      </c>
      <c r="E79" s="710"/>
      <c r="F79" s="718">
        <f t="shared" si="1"/>
        <v>-1</v>
      </c>
      <c r="G79" s="293"/>
      <c r="H79" s="443"/>
      <c r="I79" s="443"/>
      <c r="J79" s="284"/>
      <c r="K79" s="284"/>
    </row>
    <row r="80" spans="1:11" s="248" customFormat="1" ht="7.8" customHeight="1">
      <c r="A80" s="708"/>
      <c r="B80" s="709" t="s">
        <v>221</v>
      </c>
      <c r="C80" s="710"/>
      <c r="D80" s="710">
        <v>46.683</v>
      </c>
      <c r="E80" s="710"/>
      <c r="F80" s="718">
        <f t="shared" si="1"/>
        <v>-1</v>
      </c>
      <c r="G80" s="293"/>
      <c r="H80" s="231"/>
      <c r="I80" s="443"/>
      <c r="J80" s="284"/>
      <c r="K80" s="284"/>
    </row>
    <row r="81" spans="1:11" s="248" customFormat="1" ht="7.8" customHeight="1">
      <c r="A81" s="708"/>
      <c r="B81" s="709" t="s">
        <v>833</v>
      </c>
      <c r="C81" s="710"/>
      <c r="D81" s="710">
        <v>0</v>
      </c>
      <c r="E81" s="710"/>
      <c r="F81" s="718" t="str">
        <f t="shared" si="1"/>
        <v/>
      </c>
      <c r="G81" s="293"/>
      <c r="H81" s="231"/>
      <c r="I81" s="443"/>
      <c r="J81" s="284"/>
      <c r="K81" s="284"/>
    </row>
    <row r="82" spans="1:11" s="248" customFormat="1" ht="7.8" customHeight="1">
      <c r="A82" s="708"/>
      <c r="B82" s="709" t="s">
        <v>317</v>
      </c>
      <c r="C82" s="710"/>
      <c r="D82" s="710">
        <v>0</v>
      </c>
      <c r="E82" s="710"/>
      <c r="F82" s="718" t="str">
        <f t="shared" si="1"/>
        <v/>
      </c>
      <c r="G82" s="293"/>
      <c r="H82" s="231"/>
      <c r="I82" s="443"/>
      <c r="J82" s="284"/>
      <c r="K82" s="284"/>
    </row>
    <row r="83" spans="1:11" s="248" customFormat="1" ht="7.8" customHeight="1">
      <c r="A83" s="708"/>
      <c r="B83" s="709" t="s">
        <v>834</v>
      </c>
      <c r="C83" s="710"/>
      <c r="D83" s="710">
        <v>0</v>
      </c>
      <c r="E83" s="710"/>
      <c r="F83" s="718" t="str">
        <f t="shared" si="1"/>
        <v/>
      </c>
      <c r="G83" s="293"/>
      <c r="H83" s="231"/>
      <c r="I83" s="443"/>
      <c r="J83" s="284"/>
      <c r="K83" s="284"/>
    </row>
    <row r="84" spans="1:11" s="248" customFormat="1" ht="7.8" customHeight="1">
      <c r="A84" s="708"/>
      <c r="B84" s="709" t="s">
        <v>222</v>
      </c>
      <c r="C84" s="710"/>
      <c r="D84" s="710">
        <v>0</v>
      </c>
      <c r="E84" s="710"/>
      <c r="F84" s="718" t="str">
        <f t="shared" si="1"/>
        <v/>
      </c>
      <c r="G84" s="293"/>
      <c r="H84" s="231"/>
      <c r="I84" s="443"/>
      <c r="J84" s="284"/>
      <c r="K84" s="284"/>
    </row>
    <row r="85" spans="1:11" s="248" customFormat="1" ht="7.8" customHeight="1">
      <c r="A85" s="708"/>
      <c r="B85" s="709" t="s">
        <v>223</v>
      </c>
      <c r="C85" s="710"/>
      <c r="D85" s="710">
        <v>434.70399999999995</v>
      </c>
      <c r="E85" s="710"/>
      <c r="F85" s="718">
        <f t="shared" si="1"/>
        <v>-1</v>
      </c>
      <c r="G85" s="293"/>
      <c r="H85" s="231"/>
      <c r="I85" s="443"/>
      <c r="J85" s="284"/>
      <c r="K85" s="284"/>
    </row>
    <row r="86" spans="1:11" s="248" customFormat="1" ht="7.8" customHeight="1">
      <c r="A86" s="704" t="s">
        <v>856</v>
      </c>
      <c r="B86" s="705"/>
      <c r="C86" s="706"/>
      <c r="D86" s="706">
        <v>1030.0839999999998</v>
      </c>
      <c r="E86" s="706"/>
      <c r="F86" s="716">
        <f t="shared" si="1"/>
        <v>-1</v>
      </c>
      <c r="G86" s="293"/>
      <c r="H86" s="231"/>
      <c r="I86" s="443"/>
      <c r="J86" s="284"/>
      <c r="K86" s="284"/>
    </row>
    <row r="87" spans="1:11" s="248" customFormat="1" ht="7.8" customHeight="1">
      <c r="A87" s="708" t="s">
        <v>90</v>
      </c>
      <c r="B87" s="709" t="s">
        <v>224</v>
      </c>
      <c r="C87" s="710">
        <v>46.61</v>
      </c>
      <c r="D87" s="710">
        <v>0</v>
      </c>
      <c r="E87" s="710">
        <v>46.370269999999998</v>
      </c>
      <c r="F87" s="718" t="str">
        <f t="shared" si="1"/>
        <v/>
      </c>
      <c r="G87" s="293"/>
      <c r="H87" s="231"/>
      <c r="I87" s="443"/>
      <c r="J87" s="284"/>
      <c r="K87" s="284"/>
    </row>
    <row r="88" spans="1:11" s="248" customFormat="1" ht="7.8" customHeight="1">
      <c r="A88" s="708"/>
      <c r="B88" s="709" t="s">
        <v>225</v>
      </c>
      <c r="C88" s="710">
        <v>0</v>
      </c>
      <c r="D88" s="710">
        <v>35.156999999999996</v>
      </c>
      <c r="E88" s="710">
        <v>0</v>
      </c>
      <c r="F88" s="718">
        <f t="shared" si="1"/>
        <v>-1</v>
      </c>
      <c r="G88" s="293"/>
      <c r="H88" s="231"/>
      <c r="I88" s="443"/>
      <c r="J88" s="284"/>
      <c r="K88" s="284"/>
    </row>
    <row r="89" spans="1:11" s="248" customFormat="1" ht="7.8" customHeight="1">
      <c r="A89" s="708"/>
      <c r="B89" s="709" t="s">
        <v>803</v>
      </c>
      <c r="C89" s="710">
        <v>0</v>
      </c>
      <c r="D89" s="710">
        <v>0</v>
      </c>
      <c r="E89" s="710">
        <v>0</v>
      </c>
      <c r="F89" s="718" t="str">
        <f t="shared" si="1"/>
        <v/>
      </c>
      <c r="G89" s="293"/>
      <c r="H89" s="231"/>
      <c r="I89" s="443"/>
      <c r="J89" s="284"/>
      <c r="K89" s="284"/>
    </row>
    <row r="90" spans="1:11" s="248" customFormat="1" ht="9" customHeight="1">
      <c r="A90" s="704" t="s">
        <v>804</v>
      </c>
      <c r="B90" s="705"/>
      <c r="C90" s="706">
        <v>46.61</v>
      </c>
      <c r="D90" s="706">
        <v>35.156999999999996</v>
      </c>
      <c r="E90" s="706">
        <v>46.370269999999998</v>
      </c>
      <c r="F90" s="716">
        <f t="shared" si="1"/>
        <v>0.3257672725204086</v>
      </c>
      <c r="G90" s="293"/>
      <c r="H90" s="231"/>
      <c r="I90" s="443"/>
      <c r="J90" s="284"/>
      <c r="K90" s="284"/>
    </row>
    <row r="91" spans="1:11" s="248" customFormat="1" ht="9" customHeight="1">
      <c r="A91" s="708"/>
      <c r="B91" s="709"/>
      <c r="C91" s="710"/>
      <c r="D91" s="710"/>
      <c r="E91" s="710"/>
      <c r="F91" s="718"/>
      <c r="I91" s="443"/>
    </row>
    <row r="92" spans="1:11" s="248" customFormat="1" ht="9" customHeight="1">
      <c r="I92" s="443"/>
    </row>
    <row r="93" spans="1:11" s="248" customFormat="1" ht="9" customHeight="1">
      <c r="A93" s="231"/>
      <c r="B93" s="231"/>
      <c r="C93" s="231"/>
      <c r="D93" s="231"/>
      <c r="E93" s="231"/>
      <c r="F93" s="231"/>
      <c r="I93" s="443"/>
    </row>
    <row r="94" spans="1:11" s="248" customFormat="1" ht="9" customHeight="1">
      <c r="A94" s="231"/>
      <c r="B94" s="231"/>
      <c r="C94" s="231"/>
      <c r="D94" s="231"/>
      <c r="E94" s="231"/>
      <c r="F94" s="231"/>
      <c r="I94" s="443"/>
    </row>
    <row r="95" spans="1:11" s="248" customFormat="1" ht="9" customHeight="1">
      <c r="A95" s="231"/>
      <c r="B95" s="231"/>
      <c r="C95" s="231"/>
      <c r="D95" s="231"/>
      <c r="E95" s="231"/>
      <c r="F95" s="231"/>
      <c r="I95" s="443"/>
    </row>
    <row r="96" spans="1:11" s="248" customFormat="1" ht="9" customHeight="1">
      <c r="A96" s="231"/>
      <c r="B96" s="231"/>
      <c r="C96" s="231"/>
      <c r="D96" s="231"/>
      <c r="E96" s="231"/>
      <c r="F96" s="231"/>
      <c r="I96" s="443"/>
    </row>
    <row r="97" spans="1:9" s="248" customFormat="1" ht="9" customHeight="1">
      <c r="A97" s="231"/>
      <c r="B97" s="231"/>
      <c r="C97" s="231"/>
      <c r="D97" s="231"/>
      <c r="E97" s="231"/>
      <c r="F97" s="231"/>
      <c r="I97" s="443"/>
    </row>
    <row r="98" spans="1:9" s="248" customFormat="1" ht="9" customHeight="1">
      <c r="A98" s="231"/>
      <c r="B98" s="231"/>
      <c r="C98" s="231"/>
      <c r="D98" s="231"/>
      <c r="E98" s="231"/>
      <c r="F98" s="231"/>
      <c r="I98" s="443"/>
    </row>
    <row r="99" spans="1:9" s="248" customFormat="1" ht="9" customHeight="1">
      <c r="A99" s="231"/>
      <c r="B99" s="231"/>
      <c r="C99" s="231"/>
      <c r="D99" s="231"/>
      <c r="E99" s="231"/>
      <c r="F99" s="231"/>
      <c r="I99" s="443"/>
    </row>
    <row r="100" spans="1:9" s="248" customFormat="1" ht="9" customHeight="1">
      <c r="A100" s="231"/>
      <c r="B100" s="231"/>
      <c r="C100" s="231"/>
      <c r="D100" s="231"/>
      <c r="E100" s="231"/>
      <c r="F100" s="231"/>
      <c r="I100" s="443"/>
    </row>
    <row r="101" spans="1:9" s="248" customFormat="1" ht="9" customHeight="1">
      <c r="A101" s="231"/>
      <c r="B101" s="231"/>
      <c r="C101" s="231"/>
      <c r="D101" s="231"/>
      <c r="E101" s="231"/>
      <c r="F101" s="231"/>
      <c r="I101" s="443"/>
    </row>
    <row r="102" spans="1:9" s="248" customFormat="1" ht="9" customHeight="1">
      <c r="A102" s="231"/>
      <c r="B102" s="231"/>
      <c r="C102" s="231"/>
      <c r="D102" s="231"/>
      <c r="E102" s="231"/>
      <c r="F102" s="231"/>
      <c r="I102" s="443"/>
    </row>
    <row r="103" spans="1:9" s="248" customFormat="1" ht="9" customHeight="1">
      <c r="A103" s="231"/>
      <c r="B103" s="231"/>
      <c r="C103" s="231"/>
      <c r="D103" s="231"/>
      <c r="E103" s="231"/>
      <c r="F103" s="231"/>
      <c r="I103" s="443"/>
    </row>
    <row r="104" spans="1:9" s="248" customFormat="1" ht="9" customHeight="1">
      <c r="A104" s="231"/>
      <c r="B104" s="231"/>
      <c r="C104" s="231"/>
      <c r="D104" s="231"/>
      <c r="E104" s="231"/>
      <c r="F104" s="231"/>
      <c r="I104" s="443"/>
    </row>
    <row r="105" spans="1:9" s="248" customFormat="1" ht="9" customHeight="1">
      <c r="A105" s="231"/>
      <c r="B105" s="231"/>
      <c r="C105" s="231"/>
      <c r="D105" s="231"/>
      <c r="E105" s="231"/>
      <c r="F105" s="231"/>
      <c r="I105" s="443"/>
    </row>
    <row r="106" spans="1:9" s="248" customFormat="1" ht="9" customHeight="1">
      <c r="A106" s="231"/>
      <c r="B106" s="231"/>
      <c r="C106" s="231"/>
      <c r="D106" s="231"/>
      <c r="E106" s="231"/>
      <c r="F106" s="231"/>
      <c r="I106" s="443"/>
    </row>
    <row r="107" spans="1:9" s="248" customFormat="1" ht="9" customHeight="1">
      <c r="A107" s="231"/>
      <c r="B107" s="231"/>
      <c r="C107" s="231"/>
      <c r="D107" s="231"/>
      <c r="E107" s="231"/>
      <c r="F107" s="231"/>
      <c r="I107" s="443"/>
    </row>
    <row r="108" spans="1:9" s="248" customFormat="1" ht="9" customHeight="1">
      <c r="A108" s="231"/>
      <c r="B108" s="231"/>
      <c r="C108" s="231"/>
      <c r="D108" s="231"/>
      <c r="E108" s="231"/>
      <c r="F108" s="231"/>
      <c r="I108" s="443"/>
    </row>
    <row r="109" spans="1:9" s="248" customFormat="1" ht="9" customHeight="1">
      <c r="A109" s="231"/>
      <c r="B109" s="231"/>
      <c r="C109" s="231"/>
      <c r="D109" s="231"/>
      <c r="E109" s="231"/>
      <c r="F109" s="231"/>
      <c r="I109" s="443"/>
    </row>
    <row r="110" spans="1:9" s="248" customFormat="1" ht="9" customHeight="1">
      <c r="A110" s="231"/>
      <c r="B110" s="231"/>
      <c r="C110" s="231"/>
      <c r="D110" s="231"/>
      <c r="E110" s="231"/>
      <c r="F110" s="231"/>
      <c r="I110" s="443"/>
    </row>
    <row r="111" spans="1:9" s="248" customFormat="1" ht="9" customHeight="1">
      <c r="A111" s="231"/>
      <c r="B111" s="231"/>
      <c r="C111" s="231"/>
      <c r="D111" s="231"/>
      <c r="E111" s="231"/>
      <c r="F111" s="231"/>
      <c r="I111" s="443"/>
    </row>
    <row r="112" spans="1:9" s="248" customFormat="1" ht="9" customHeight="1">
      <c r="A112" s="231"/>
      <c r="B112" s="231"/>
      <c r="C112" s="231"/>
      <c r="D112" s="231"/>
      <c r="E112" s="231"/>
      <c r="F112" s="231"/>
      <c r="I112" s="443"/>
    </row>
    <row r="113" spans="1:9" s="248" customFormat="1" ht="9" customHeight="1">
      <c r="A113" s="231"/>
      <c r="B113" s="231"/>
      <c r="C113" s="231"/>
      <c r="D113" s="231"/>
      <c r="E113" s="231"/>
      <c r="F113" s="231"/>
      <c r="I113" s="443"/>
    </row>
    <row r="114" spans="1:9" s="248" customFormat="1" ht="9" customHeight="1">
      <c r="A114" s="231"/>
      <c r="B114" s="231"/>
      <c r="C114" s="231"/>
      <c r="D114" s="231"/>
      <c r="E114" s="231"/>
      <c r="F114" s="231"/>
      <c r="I114" s="443"/>
    </row>
    <row r="115" spans="1:9" s="248" customFormat="1" ht="9" customHeight="1">
      <c r="A115" s="231"/>
      <c r="B115" s="231"/>
      <c r="C115" s="231"/>
      <c r="D115" s="231"/>
      <c r="E115" s="231"/>
      <c r="F115" s="231"/>
      <c r="I115" s="443"/>
    </row>
    <row r="116" spans="1:9" s="248" customFormat="1" ht="9" customHeight="1">
      <c r="A116" s="231"/>
      <c r="B116" s="231"/>
      <c r="C116" s="231"/>
      <c r="D116" s="231"/>
      <c r="E116" s="231"/>
      <c r="F116" s="231"/>
      <c r="I116" s="443"/>
    </row>
    <row r="117" spans="1:9" s="248" customFormat="1" ht="9" customHeight="1">
      <c r="A117" s="231"/>
      <c r="B117" s="231"/>
      <c r="C117" s="231"/>
      <c r="D117" s="231"/>
      <c r="E117" s="231"/>
      <c r="F117" s="231"/>
      <c r="I117" s="443"/>
    </row>
    <row r="118" spans="1:9" s="248" customFormat="1" ht="9" customHeight="1">
      <c r="A118" s="231"/>
      <c r="B118" s="231"/>
      <c r="C118" s="231"/>
      <c r="D118" s="231"/>
      <c r="E118" s="231"/>
      <c r="F118" s="231"/>
      <c r="I118" s="443"/>
    </row>
    <row r="119" spans="1:9" s="248" customFormat="1" ht="9" customHeight="1">
      <c r="A119" s="231"/>
      <c r="B119" s="231"/>
      <c r="C119" s="231"/>
      <c r="D119" s="231"/>
      <c r="E119" s="231"/>
      <c r="F119" s="231"/>
      <c r="I119" s="443"/>
    </row>
    <row r="120" spans="1:9" s="248" customFormat="1" ht="9" customHeight="1">
      <c r="A120" s="231"/>
      <c r="B120" s="231"/>
      <c r="C120" s="231"/>
      <c r="D120" s="231"/>
      <c r="E120" s="231"/>
      <c r="F120" s="231"/>
      <c r="I120" s="443"/>
    </row>
    <row r="121" spans="1:9" s="248" customFormat="1" ht="9" customHeight="1">
      <c r="A121" s="231"/>
      <c r="B121" s="231"/>
      <c r="C121" s="231"/>
      <c r="D121" s="231"/>
      <c r="E121" s="231"/>
      <c r="F121" s="231"/>
      <c r="I121" s="443"/>
    </row>
    <row r="122" spans="1:9" s="248" customFormat="1" ht="9" customHeight="1">
      <c r="A122" s="231"/>
      <c r="B122" s="231"/>
      <c r="C122" s="231"/>
      <c r="D122" s="231"/>
      <c r="E122" s="231"/>
      <c r="F122" s="231"/>
      <c r="I122" s="443"/>
    </row>
    <row r="123" spans="1:9" s="248" customFormat="1" ht="9" customHeight="1">
      <c r="A123" s="231"/>
      <c r="B123" s="231"/>
      <c r="C123" s="231"/>
      <c r="D123" s="231"/>
      <c r="E123" s="231"/>
      <c r="F123" s="231"/>
      <c r="I123" s="443"/>
    </row>
    <row r="124" spans="1:9" s="248" customFormat="1" ht="9" customHeight="1">
      <c r="A124" s="231"/>
      <c r="B124" s="231"/>
      <c r="C124" s="231"/>
      <c r="D124" s="231"/>
      <c r="E124" s="231"/>
      <c r="F124" s="231"/>
      <c r="I124" s="443"/>
    </row>
    <row r="125" spans="1:9" s="248" customFormat="1" ht="9" customHeight="1">
      <c r="A125" s="231"/>
      <c r="B125" s="231"/>
      <c r="C125" s="231"/>
      <c r="D125" s="231"/>
      <c r="E125" s="231"/>
      <c r="F125" s="231"/>
      <c r="I125" s="443"/>
    </row>
    <row r="126" spans="1:9" s="248" customFormat="1" ht="9" customHeight="1">
      <c r="A126" s="231"/>
      <c r="B126" s="231"/>
      <c r="C126" s="231"/>
      <c r="D126" s="231"/>
      <c r="E126" s="231"/>
      <c r="F126" s="231"/>
      <c r="I126" s="443"/>
    </row>
    <row r="127" spans="1:9" s="248" customFormat="1" ht="9" customHeight="1">
      <c r="A127" s="231"/>
      <c r="B127" s="231"/>
      <c r="C127" s="231"/>
      <c r="D127" s="231"/>
      <c r="E127" s="231"/>
      <c r="F127" s="231"/>
      <c r="I127" s="443"/>
    </row>
    <row r="128" spans="1:9" s="248" customFormat="1" ht="9" customHeight="1">
      <c r="A128" s="231"/>
      <c r="B128" s="231"/>
      <c r="C128" s="231"/>
      <c r="D128" s="231"/>
      <c r="E128" s="231"/>
      <c r="F128" s="231"/>
      <c r="I128" s="443"/>
    </row>
    <row r="129" spans="1:9" s="248" customFormat="1" ht="9" customHeight="1">
      <c r="A129" s="231"/>
      <c r="B129" s="231"/>
      <c r="C129" s="231"/>
      <c r="D129" s="231"/>
      <c r="E129" s="231"/>
      <c r="F129" s="231"/>
      <c r="I129" s="443"/>
    </row>
    <row r="130" spans="1:9" s="248" customFormat="1" ht="9" customHeight="1">
      <c r="A130" s="231"/>
      <c r="B130" s="231"/>
      <c r="C130" s="231"/>
      <c r="D130" s="231"/>
      <c r="E130" s="231"/>
      <c r="F130" s="231"/>
      <c r="I130" s="443"/>
    </row>
    <row r="131" spans="1:9" s="248" customFormat="1" ht="9" customHeight="1">
      <c r="A131" s="231"/>
      <c r="B131" s="231"/>
      <c r="C131" s="231"/>
      <c r="D131" s="231"/>
      <c r="E131" s="231"/>
      <c r="F131" s="231"/>
      <c r="I131" s="443"/>
    </row>
    <row r="132" spans="1:9" s="248" customFormat="1" ht="9" customHeight="1">
      <c r="A132" s="231"/>
      <c r="B132" s="231"/>
      <c r="C132" s="231"/>
      <c r="D132" s="231"/>
      <c r="E132" s="231"/>
      <c r="F132" s="231"/>
      <c r="I132" s="443"/>
    </row>
    <row r="133" spans="1:9" s="248" customFormat="1" ht="9" customHeight="1">
      <c r="A133" s="231"/>
      <c r="B133" s="231"/>
      <c r="C133" s="231"/>
      <c r="D133" s="231"/>
      <c r="E133" s="231"/>
      <c r="F133" s="231"/>
      <c r="I133" s="443"/>
    </row>
    <row r="134" spans="1:9" s="248" customFormat="1" ht="9" customHeight="1">
      <c r="A134" s="231"/>
      <c r="B134" s="231"/>
      <c r="C134" s="231"/>
      <c r="D134" s="231"/>
      <c r="E134" s="231"/>
      <c r="F134" s="231"/>
      <c r="I134" s="443"/>
    </row>
    <row r="135" spans="1:9" s="248" customFormat="1" ht="9" customHeight="1">
      <c r="A135" s="231"/>
      <c r="B135" s="231"/>
      <c r="C135" s="231"/>
      <c r="D135" s="231"/>
      <c r="E135" s="231"/>
      <c r="F135" s="231"/>
      <c r="I135" s="443"/>
    </row>
    <row r="136" spans="1:9" s="248" customFormat="1" ht="9" customHeight="1">
      <c r="A136" s="231"/>
      <c r="B136" s="231"/>
      <c r="C136" s="231"/>
      <c r="D136" s="231"/>
      <c r="E136" s="231"/>
      <c r="F136" s="231"/>
      <c r="I136" s="443"/>
    </row>
    <row r="137" spans="1:9" s="248" customFormat="1" ht="9" customHeight="1">
      <c r="A137" s="231"/>
      <c r="B137" s="231"/>
      <c r="C137" s="231"/>
      <c r="D137" s="231"/>
      <c r="E137" s="231"/>
      <c r="F137" s="231"/>
      <c r="I137" s="443"/>
    </row>
    <row r="138" spans="1:9" s="248" customFormat="1" ht="9" customHeight="1">
      <c r="A138" s="231"/>
      <c r="B138" s="231"/>
      <c r="C138" s="231"/>
      <c r="D138" s="231"/>
      <c r="E138" s="231"/>
      <c r="F138" s="231"/>
      <c r="I138" s="443"/>
    </row>
    <row r="139" spans="1:9" s="248" customFormat="1" ht="9" customHeight="1">
      <c r="A139" s="231"/>
      <c r="B139" s="231"/>
      <c r="C139" s="231"/>
      <c r="D139" s="231"/>
      <c r="E139" s="231"/>
      <c r="F139" s="231"/>
      <c r="I139" s="443"/>
    </row>
    <row r="140" spans="1:9" s="248" customFormat="1" ht="9" customHeight="1">
      <c r="A140" s="231"/>
      <c r="B140" s="231"/>
      <c r="C140" s="231"/>
      <c r="D140" s="231"/>
      <c r="E140" s="231"/>
      <c r="F140" s="231"/>
      <c r="I140" s="443"/>
    </row>
    <row r="141" spans="1:9" s="248" customFormat="1" ht="9" customHeight="1">
      <c r="A141" s="231"/>
      <c r="B141" s="231"/>
      <c r="C141" s="231"/>
      <c r="D141" s="231"/>
      <c r="E141" s="231"/>
      <c r="F141" s="231"/>
      <c r="I141" s="443"/>
    </row>
    <row r="142" spans="1:9" s="248" customFormat="1" ht="9" customHeight="1">
      <c r="A142" s="231"/>
      <c r="B142" s="231"/>
      <c r="C142" s="231"/>
      <c r="D142" s="231"/>
      <c r="E142" s="231"/>
      <c r="F142" s="231"/>
      <c r="I142" s="443"/>
    </row>
    <row r="143" spans="1:9" s="248" customFormat="1" ht="9" customHeight="1">
      <c r="A143" s="231"/>
      <c r="B143" s="231"/>
      <c r="C143" s="231"/>
      <c r="D143" s="231"/>
      <c r="E143" s="231"/>
      <c r="F143" s="231"/>
      <c r="I143" s="443"/>
    </row>
    <row r="144" spans="1:9" s="248" customFormat="1" ht="9" customHeight="1">
      <c r="A144" s="231"/>
      <c r="B144" s="231"/>
      <c r="C144" s="231"/>
      <c r="D144" s="231"/>
      <c r="E144" s="231"/>
      <c r="F144" s="231"/>
      <c r="I144" s="443"/>
    </row>
    <row r="145" spans="1:9" s="248" customFormat="1" ht="9" customHeight="1">
      <c r="A145" s="231"/>
      <c r="B145" s="231"/>
      <c r="C145" s="231"/>
      <c r="D145" s="231"/>
      <c r="E145" s="231"/>
      <c r="F145" s="231"/>
      <c r="I145" s="443"/>
    </row>
    <row r="146" spans="1:9" s="248" customFormat="1" ht="9" customHeight="1">
      <c r="A146" s="231"/>
      <c r="B146" s="231"/>
      <c r="C146" s="231"/>
      <c r="D146" s="231"/>
      <c r="E146" s="231"/>
      <c r="F146" s="231"/>
      <c r="I146" s="443"/>
    </row>
    <row r="147" spans="1:9" s="248" customFormat="1" ht="9" customHeight="1">
      <c r="A147" s="231"/>
      <c r="B147" s="231"/>
      <c r="C147" s="231"/>
      <c r="D147" s="231"/>
      <c r="E147" s="231"/>
      <c r="F147" s="231"/>
      <c r="I147" s="443"/>
    </row>
    <row r="148" spans="1:9" s="248" customFormat="1" ht="9" customHeight="1">
      <c r="A148" s="231"/>
      <c r="B148" s="231"/>
      <c r="C148" s="231"/>
      <c r="D148" s="231"/>
      <c r="E148" s="231"/>
      <c r="F148" s="231"/>
      <c r="I148" s="443"/>
    </row>
    <row r="149" spans="1:9" s="248" customFormat="1" ht="10.5" customHeight="1">
      <c r="A149" s="231"/>
      <c r="B149" s="231"/>
      <c r="C149" s="231"/>
      <c r="D149" s="231"/>
      <c r="E149" s="231"/>
      <c r="F149" s="231"/>
      <c r="I149" s="443"/>
    </row>
    <row r="150" spans="1:9" s="248" customFormat="1" ht="10.5" customHeight="1">
      <c r="A150" s="231"/>
      <c r="B150" s="231"/>
      <c r="C150" s="231"/>
      <c r="D150" s="231"/>
      <c r="E150" s="231"/>
      <c r="F150" s="231"/>
      <c r="I150" s="443"/>
    </row>
    <row r="151" spans="1:9" s="248" customFormat="1" ht="10.5" customHeight="1">
      <c r="A151" s="231"/>
      <c r="B151" s="231"/>
      <c r="C151" s="231"/>
      <c r="D151" s="231"/>
      <c r="E151" s="231"/>
      <c r="F151" s="231"/>
      <c r="I151" s="443"/>
    </row>
    <row r="152" spans="1:9" s="248" customFormat="1" ht="10.5" customHeight="1">
      <c r="A152" s="231"/>
      <c r="B152" s="231"/>
      <c r="C152" s="231"/>
      <c r="D152" s="231"/>
      <c r="E152" s="231"/>
      <c r="F152" s="231"/>
      <c r="I152" s="443"/>
    </row>
    <row r="153" spans="1:9" s="248" customFormat="1" ht="10.5" customHeight="1">
      <c r="A153" s="231"/>
      <c r="B153" s="231"/>
      <c r="C153" s="231"/>
      <c r="D153" s="231"/>
      <c r="E153" s="231"/>
      <c r="F153" s="231"/>
      <c r="I153" s="443"/>
    </row>
    <row r="154" spans="1:9" s="248" customFormat="1" ht="10.5" customHeight="1">
      <c r="A154" s="231"/>
      <c r="B154" s="231"/>
      <c r="C154" s="231"/>
      <c r="D154" s="231"/>
      <c r="E154" s="231"/>
      <c r="F154" s="231"/>
      <c r="I154" s="443"/>
    </row>
    <row r="155" spans="1:9" s="248" customFormat="1" ht="10.5" customHeight="1">
      <c r="A155" s="231"/>
      <c r="B155" s="231"/>
      <c r="C155" s="231"/>
      <c r="D155" s="231"/>
      <c r="E155" s="231"/>
      <c r="F155" s="231"/>
      <c r="I155" s="443"/>
    </row>
    <row r="156" spans="1:9" s="248" customFormat="1" ht="10.5" customHeight="1">
      <c r="A156" s="231"/>
      <c r="B156" s="231"/>
      <c r="C156" s="231"/>
      <c r="D156" s="231"/>
      <c r="E156" s="231"/>
      <c r="F156" s="231"/>
      <c r="I156" s="443"/>
    </row>
    <row r="157" spans="1:9" s="248" customFormat="1" ht="10.5" customHeight="1">
      <c r="A157" s="231"/>
      <c r="B157" s="231"/>
      <c r="C157" s="231"/>
      <c r="D157" s="231"/>
      <c r="E157" s="231"/>
      <c r="F157" s="231"/>
      <c r="I157" s="443"/>
    </row>
    <row r="158" spans="1:9" s="248" customFormat="1" ht="10.5" customHeight="1">
      <c r="A158" s="231"/>
      <c r="B158" s="231"/>
      <c r="C158" s="231"/>
      <c r="D158" s="231"/>
      <c r="E158" s="231"/>
      <c r="F158" s="231"/>
      <c r="I158" s="443"/>
    </row>
    <row r="159" spans="1:9" s="248" customFormat="1" ht="10.5" customHeight="1">
      <c r="A159" s="231"/>
      <c r="B159" s="231"/>
      <c r="C159" s="231"/>
      <c r="D159" s="231"/>
      <c r="E159" s="231"/>
      <c r="F159" s="231"/>
      <c r="I159" s="443"/>
    </row>
    <row r="160" spans="1:9" s="248" customFormat="1" ht="10.5" customHeight="1">
      <c r="A160" s="231"/>
      <c r="B160" s="231"/>
      <c r="C160" s="231"/>
      <c r="D160" s="231"/>
      <c r="E160" s="231"/>
      <c r="F160" s="231"/>
      <c r="I160" s="443"/>
    </row>
    <row r="161" spans="1:9" s="248" customFormat="1" ht="10.5" customHeight="1">
      <c r="A161" s="231"/>
      <c r="B161" s="231"/>
      <c r="C161" s="231"/>
      <c r="D161" s="231"/>
      <c r="E161" s="231"/>
      <c r="F161" s="231"/>
      <c r="I161" s="443"/>
    </row>
    <row r="162" spans="1:9" s="248" customFormat="1" ht="10.5" customHeight="1">
      <c r="A162" s="231"/>
      <c r="B162" s="231"/>
      <c r="C162" s="231"/>
      <c r="D162" s="231"/>
      <c r="E162" s="231"/>
      <c r="F162" s="231"/>
      <c r="I162" s="443"/>
    </row>
    <row r="163" spans="1:9" s="248" customFormat="1" ht="10.5" customHeight="1">
      <c r="A163" s="231"/>
      <c r="B163" s="231"/>
      <c r="C163" s="231"/>
      <c r="D163" s="231"/>
      <c r="E163" s="231"/>
      <c r="F163" s="231"/>
      <c r="I163" s="443"/>
    </row>
    <row r="164" spans="1:9" s="248" customFormat="1" ht="10.5" customHeight="1">
      <c r="A164" s="231"/>
      <c r="B164" s="231"/>
      <c r="C164" s="231"/>
      <c r="D164" s="231"/>
      <c r="E164" s="231"/>
      <c r="F164" s="231"/>
      <c r="I164" s="443"/>
    </row>
    <row r="165" spans="1:9" s="248" customFormat="1" ht="10.5" customHeight="1">
      <c r="A165" s="231"/>
      <c r="B165" s="231"/>
      <c r="C165" s="231"/>
      <c r="D165" s="231"/>
      <c r="E165" s="231"/>
      <c r="F165" s="231"/>
      <c r="I165" s="443"/>
    </row>
    <row r="166" spans="1:9" s="248" customFormat="1" ht="10.5" customHeight="1">
      <c r="A166" s="231"/>
      <c r="B166" s="231"/>
      <c r="C166" s="231"/>
      <c r="D166" s="231"/>
      <c r="E166" s="231"/>
      <c r="F166" s="231"/>
      <c r="I166" s="443"/>
    </row>
    <row r="167" spans="1:9" s="248" customFormat="1" ht="10.5" customHeight="1">
      <c r="A167" s="231"/>
      <c r="B167" s="231"/>
      <c r="C167" s="231"/>
      <c r="D167" s="231"/>
      <c r="E167" s="231"/>
      <c r="F167" s="231"/>
      <c r="I167" s="443"/>
    </row>
    <row r="168" spans="1:9" s="248" customFormat="1" ht="10.5" customHeight="1">
      <c r="A168" s="231"/>
      <c r="B168" s="231"/>
      <c r="C168" s="231"/>
      <c r="D168" s="231"/>
      <c r="E168" s="231"/>
      <c r="F168" s="231"/>
      <c r="I168" s="443"/>
    </row>
    <row r="169" spans="1:9" s="248" customFormat="1" ht="10.5" customHeight="1">
      <c r="A169" s="231"/>
      <c r="B169" s="231"/>
      <c r="C169" s="231"/>
      <c r="D169" s="231"/>
      <c r="E169" s="231"/>
      <c r="F169" s="231"/>
      <c r="I169" s="443"/>
    </row>
    <row r="170" spans="1:9" s="248" customFormat="1" ht="10.5" customHeight="1">
      <c r="A170" s="231"/>
      <c r="B170" s="231"/>
      <c r="C170" s="231"/>
      <c r="D170" s="231"/>
      <c r="E170" s="231"/>
      <c r="F170" s="231"/>
      <c r="I170" s="443"/>
    </row>
    <row r="171" spans="1:9" s="248" customFormat="1" ht="10.5" customHeight="1">
      <c r="A171" s="231"/>
      <c r="B171" s="231"/>
      <c r="C171" s="231"/>
      <c r="D171" s="231"/>
      <c r="E171" s="231"/>
      <c r="F171" s="231"/>
      <c r="I171" s="443"/>
    </row>
    <row r="172" spans="1:9" s="248" customFormat="1" ht="10.5" customHeight="1">
      <c r="A172" s="231"/>
      <c r="B172" s="231"/>
      <c r="C172" s="231"/>
      <c r="D172" s="231"/>
      <c r="E172" s="231"/>
      <c r="F172" s="231"/>
      <c r="I172" s="443"/>
    </row>
    <row r="173" spans="1:9" s="248" customFormat="1" ht="10.5" customHeight="1">
      <c r="A173" s="231"/>
      <c r="B173" s="231"/>
      <c r="C173" s="231"/>
      <c r="D173" s="231"/>
      <c r="E173" s="231"/>
      <c r="F173" s="231"/>
      <c r="I173" s="443"/>
    </row>
    <row r="174" spans="1:9" s="248" customFormat="1" ht="10.5" customHeight="1">
      <c r="A174" s="231"/>
      <c r="B174" s="231"/>
      <c r="C174" s="231"/>
      <c r="D174" s="231"/>
      <c r="E174" s="231"/>
      <c r="F174" s="231"/>
      <c r="I174" s="443"/>
    </row>
    <row r="175" spans="1:9" s="248" customFormat="1" ht="10.5" customHeight="1">
      <c r="A175" s="231"/>
      <c r="B175" s="231"/>
      <c r="C175" s="231"/>
      <c r="D175" s="231"/>
      <c r="E175" s="231"/>
      <c r="F175" s="231"/>
      <c r="I175" s="443"/>
    </row>
    <row r="176" spans="1:9" s="248" customFormat="1" ht="10.5" customHeight="1">
      <c r="A176" s="231"/>
      <c r="B176" s="231"/>
      <c r="C176" s="231"/>
      <c r="D176" s="231"/>
      <c r="E176" s="231"/>
      <c r="F176" s="231"/>
      <c r="I176" s="443"/>
    </row>
    <row r="177" spans="1:9" s="248" customFormat="1" ht="10.5" customHeight="1">
      <c r="A177" s="231"/>
      <c r="B177" s="231"/>
      <c r="C177" s="231"/>
      <c r="D177" s="231"/>
      <c r="E177" s="231"/>
      <c r="F177" s="231"/>
      <c r="I177" s="443"/>
    </row>
    <row r="178" spans="1:9" s="248" customFormat="1" ht="10.5" customHeight="1">
      <c r="A178" s="231"/>
      <c r="B178" s="231"/>
      <c r="C178" s="231"/>
      <c r="D178" s="231"/>
      <c r="E178" s="231"/>
      <c r="F178" s="231"/>
      <c r="I178" s="443"/>
    </row>
    <row r="179" spans="1:9" s="248" customFormat="1">
      <c r="A179" s="231"/>
      <c r="B179" s="231"/>
      <c r="C179" s="231"/>
      <c r="D179" s="231"/>
      <c r="E179" s="231"/>
      <c r="F179" s="231"/>
      <c r="I179" s="443"/>
    </row>
    <row r="180" spans="1:9" s="248" customFormat="1">
      <c r="A180" s="231"/>
      <c r="B180" s="231"/>
      <c r="C180" s="231"/>
      <c r="D180" s="231"/>
      <c r="E180" s="231"/>
      <c r="F180" s="231"/>
      <c r="I180" s="443"/>
    </row>
    <row r="181" spans="1:9" s="248" customFormat="1">
      <c r="A181" s="231"/>
      <c r="B181" s="231"/>
      <c r="C181" s="231"/>
      <c r="D181" s="231"/>
      <c r="E181" s="231"/>
      <c r="F181" s="231"/>
      <c r="I181" s="443"/>
    </row>
    <row r="182" spans="1:9" s="248" customFormat="1">
      <c r="A182" s="231"/>
      <c r="B182" s="231"/>
      <c r="C182" s="231"/>
      <c r="D182" s="231"/>
      <c r="E182" s="231"/>
      <c r="F182" s="231"/>
      <c r="I182" s="443"/>
    </row>
    <row r="183" spans="1:9" s="248" customFormat="1">
      <c r="A183" s="231"/>
      <c r="B183" s="231"/>
      <c r="C183" s="231"/>
      <c r="D183" s="231"/>
      <c r="E183" s="231"/>
      <c r="F183" s="231"/>
      <c r="I183" s="443"/>
    </row>
    <row r="184" spans="1:9" s="248" customFormat="1">
      <c r="A184" s="231"/>
      <c r="B184" s="231"/>
      <c r="C184" s="231"/>
      <c r="D184" s="231"/>
      <c r="E184" s="231"/>
      <c r="F184" s="231"/>
      <c r="I184" s="443"/>
    </row>
    <row r="185" spans="1:9" s="248" customFormat="1">
      <c r="A185" s="231"/>
      <c r="B185" s="231"/>
      <c r="C185" s="231"/>
      <c r="D185" s="231"/>
      <c r="E185" s="231"/>
      <c r="F185" s="231"/>
      <c r="I185" s="443"/>
    </row>
    <row r="186" spans="1:9" s="248" customFormat="1">
      <c r="A186" s="231"/>
      <c r="B186" s="231"/>
      <c r="C186" s="231"/>
      <c r="D186" s="231"/>
      <c r="E186" s="231"/>
      <c r="F186" s="231"/>
      <c r="I186" s="443"/>
    </row>
    <row r="187" spans="1:9" s="248" customFormat="1">
      <c r="A187" s="231"/>
      <c r="B187" s="231"/>
      <c r="C187" s="231"/>
      <c r="D187" s="231"/>
      <c r="E187" s="231"/>
      <c r="F187" s="231"/>
      <c r="I187" s="443"/>
    </row>
    <row r="188" spans="1:9" s="248" customFormat="1">
      <c r="A188" s="231"/>
      <c r="B188" s="231"/>
      <c r="C188" s="231"/>
      <c r="D188" s="231"/>
      <c r="E188" s="231"/>
      <c r="F188" s="231"/>
      <c r="I188" s="443"/>
    </row>
    <row r="189" spans="1:9" s="248" customFormat="1">
      <c r="A189" s="231"/>
      <c r="B189" s="231"/>
      <c r="C189" s="231"/>
      <c r="D189" s="231"/>
      <c r="E189" s="231"/>
      <c r="F189" s="231"/>
      <c r="I189" s="443"/>
    </row>
    <row r="190" spans="1:9" s="248" customFormat="1">
      <c r="A190" s="231"/>
      <c r="B190" s="231"/>
      <c r="C190" s="231"/>
      <c r="D190" s="231"/>
      <c r="E190" s="231"/>
      <c r="F190" s="231"/>
      <c r="I190" s="443"/>
    </row>
    <row r="191" spans="1:9" s="248" customFormat="1">
      <c r="A191" s="231"/>
      <c r="B191" s="231"/>
      <c r="C191" s="231"/>
      <c r="D191" s="231"/>
      <c r="E191" s="231"/>
      <c r="F191" s="231"/>
      <c r="I191" s="443"/>
    </row>
    <row r="192" spans="1:9" s="248" customFormat="1">
      <c r="A192" s="231"/>
      <c r="B192" s="231"/>
      <c r="C192" s="231"/>
      <c r="D192" s="231"/>
      <c r="E192" s="231"/>
      <c r="F192" s="231"/>
      <c r="I192" s="443"/>
    </row>
    <row r="193" spans="1:9" s="248" customFormat="1">
      <c r="A193" s="231"/>
      <c r="B193" s="231"/>
      <c r="C193" s="231"/>
      <c r="D193" s="231"/>
      <c r="E193" s="231"/>
      <c r="F193" s="231"/>
      <c r="I193" s="443"/>
    </row>
    <row r="194" spans="1:9" s="248" customFormat="1">
      <c r="A194" s="231"/>
      <c r="B194" s="231"/>
      <c r="C194" s="231"/>
      <c r="D194" s="231"/>
      <c r="E194" s="231"/>
      <c r="F194" s="231"/>
      <c r="I194" s="443"/>
    </row>
    <row r="195" spans="1:9" s="248" customFormat="1">
      <c r="A195" s="231"/>
      <c r="B195" s="231"/>
      <c r="C195" s="231"/>
      <c r="D195" s="231"/>
      <c r="E195" s="231"/>
      <c r="F195" s="231"/>
      <c r="I195" s="443"/>
    </row>
    <row r="196" spans="1:9" s="248" customFormat="1">
      <c r="A196" s="231"/>
      <c r="B196" s="231"/>
      <c r="C196" s="231"/>
      <c r="D196" s="231"/>
      <c r="E196" s="231"/>
      <c r="F196" s="231"/>
      <c r="I196" s="443"/>
    </row>
    <row r="197" spans="1:9" s="248" customFormat="1">
      <c r="A197" s="231"/>
      <c r="B197" s="231"/>
      <c r="C197" s="231"/>
      <c r="D197" s="231"/>
      <c r="E197" s="231"/>
      <c r="F197" s="231"/>
      <c r="I197" s="443"/>
    </row>
    <row r="198" spans="1:9" s="248" customFormat="1">
      <c r="A198" s="231"/>
      <c r="B198" s="231"/>
      <c r="C198" s="231"/>
      <c r="D198" s="231"/>
      <c r="E198" s="231"/>
      <c r="F198" s="231"/>
      <c r="I198" s="443"/>
    </row>
    <row r="199" spans="1:9" s="248" customFormat="1">
      <c r="A199" s="231"/>
      <c r="B199" s="231"/>
      <c r="C199" s="231"/>
      <c r="D199" s="231"/>
      <c r="E199" s="231"/>
      <c r="F199" s="231"/>
      <c r="I199" s="443"/>
    </row>
    <row r="200" spans="1:9">
      <c r="I200" s="443"/>
    </row>
    <row r="201" spans="1:9">
      <c r="I201" s="443"/>
    </row>
    <row r="202" spans="1:9">
      <c r="I202" s="443"/>
    </row>
    <row r="203" spans="1:9">
      <c r="I203" s="443"/>
    </row>
    <row r="204" spans="1:9">
      <c r="I204" s="443"/>
    </row>
    <row r="205" spans="1:9">
      <c r="I205" s="443"/>
    </row>
    <row r="206" spans="1:9">
      <c r="I206" s="443"/>
    </row>
    <row r="207" spans="1:9">
      <c r="I207" s="443"/>
    </row>
    <row r="208" spans="1:9">
      <c r="I208" s="443"/>
    </row>
    <row r="209" spans="9:9">
      <c r="I209" s="443"/>
    </row>
    <row r="210" spans="9:9">
      <c r="I210" s="443"/>
    </row>
    <row r="211" spans="9:9">
      <c r="I211" s="443"/>
    </row>
    <row r="212" spans="9:9">
      <c r="I212" s="443"/>
    </row>
    <row r="213" spans="9:9">
      <c r="I213" s="443"/>
    </row>
    <row r="214" spans="9:9">
      <c r="I214" s="443"/>
    </row>
    <row r="215" spans="9:9">
      <c r="I215" s="443"/>
    </row>
    <row r="216" spans="9:9">
      <c r="I216" s="443"/>
    </row>
    <row r="217" spans="9:9">
      <c r="I217" s="443"/>
    </row>
    <row r="218" spans="9:9">
      <c r="I218" s="443"/>
    </row>
    <row r="219" spans="9:9">
      <c r="I219" s="443"/>
    </row>
    <row r="220" spans="9:9">
      <c r="I220" s="443"/>
    </row>
    <row r="221" spans="9:9">
      <c r="I221" s="443"/>
    </row>
    <row r="222" spans="9:9">
      <c r="I222" s="443"/>
    </row>
    <row r="223" spans="9:9">
      <c r="I223" s="443"/>
    </row>
    <row r="224" spans="9:9">
      <c r="I224" s="443"/>
    </row>
    <row r="225" spans="9:9">
      <c r="I225" s="443"/>
    </row>
    <row r="226" spans="9:9">
      <c r="I226" s="443"/>
    </row>
    <row r="227" spans="9:9">
      <c r="I227" s="443"/>
    </row>
    <row r="228" spans="9:9">
      <c r="I228" s="443"/>
    </row>
    <row r="229" spans="9:9">
      <c r="I229" s="443"/>
    </row>
    <row r="230" spans="9:9">
      <c r="I230" s="443"/>
    </row>
    <row r="231" spans="9:9">
      <c r="I231" s="443"/>
    </row>
    <row r="232" spans="9:9">
      <c r="I232" s="443"/>
    </row>
    <row r="233" spans="9:9">
      <c r="I233" s="443"/>
    </row>
    <row r="234" spans="9:9">
      <c r="I234" s="443"/>
    </row>
    <row r="235" spans="9:9">
      <c r="I235" s="443"/>
    </row>
    <row r="236" spans="9:9">
      <c r="I236" s="443"/>
    </row>
    <row r="237" spans="9:9">
      <c r="I237" s="443"/>
    </row>
    <row r="238" spans="9:9">
      <c r="I238" s="443"/>
    </row>
    <row r="239" spans="9:9">
      <c r="I239" s="443"/>
    </row>
    <row r="240" spans="9:9">
      <c r="I240" s="443"/>
    </row>
    <row r="241" spans="9:9">
      <c r="I241" s="443"/>
    </row>
    <row r="242" spans="9:9">
      <c r="I242" s="443"/>
    </row>
    <row r="243" spans="9:9">
      <c r="I243" s="443"/>
    </row>
    <row r="244" spans="9:9">
      <c r="I244" s="443"/>
    </row>
    <row r="245" spans="9:9">
      <c r="I245" s="443"/>
    </row>
    <row r="246" spans="9:9">
      <c r="I246" s="443"/>
    </row>
    <row r="247" spans="9:9">
      <c r="I247" s="443"/>
    </row>
    <row r="248" spans="9:9">
      <c r="I248" s="443"/>
    </row>
    <row r="249" spans="9:9">
      <c r="I249" s="443"/>
    </row>
    <row r="250" spans="9:9">
      <c r="I250" s="443"/>
    </row>
    <row r="251" spans="9:9">
      <c r="I251" s="443"/>
    </row>
    <row r="252" spans="9:9">
      <c r="I252" s="443"/>
    </row>
    <row r="253" spans="9:9">
      <c r="I253" s="443"/>
    </row>
    <row r="254" spans="9:9">
      <c r="I254" s="443"/>
    </row>
    <row r="255" spans="9:9">
      <c r="I255" s="443"/>
    </row>
    <row r="256" spans="9:9">
      <c r="I256" s="443"/>
    </row>
    <row r="257" spans="9:9">
      <c r="I257" s="443"/>
    </row>
    <row r="258" spans="9:9">
      <c r="I258" s="443"/>
    </row>
    <row r="259" spans="9:9">
      <c r="I259" s="443"/>
    </row>
    <row r="260" spans="9:9">
      <c r="I260" s="443"/>
    </row>
    <row r="261" spans="9:9">
      <c r="I261" s="443"/>
    </row>
    <row r="262" spans="9:9">
      <c r="I262" s="443"/>
    </row>
    <row r="263" spans="9:9">
      <c r="I263" s="443"/>
    </row>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84"/>
  <sheetViews>
    <sheetView showGridLines="0" view="pageBreakPreview" zoomScale="115" zoomScaleNormal="100" zoomScaleSheetLayoutView="115" zoomScalePageLayoutView="145" workbookViewId="0">
      <selection activeCell="G1" sqref="G1"/>
    </sheetView>
  </sheetViews>
  <sheetFormatPr baseColWidth="10" defaultColWidth="9.28515625" defaultRowHeight="9.6"/>
  <cols>
    <col min="1" max="1" width="36.28515625" style="231" customWidth="1"/>
    <col min="2" max="2" width="22.140625" style="231" customWidth="1"/>
    <col min="3" max="4" width="17.7109375" style="231" customWidth="1"/>
    <col min="5" max="5" width="15.140625" style="231" customWidth="1"/>
    <col min="6" max="6" width="13.28515625" style="231" customWidth="1"/>
    <col min="7" max="7" width="6.28515625" style="231" customWidth="1"/>
    <col min="8" max="16384" width="9.28515625" style="231"/>
  </cols>
  <sheetData>
    <row r="1" spans="1:11" s="248" customFormat="1" ht="11.25" customHeight="1">
      <c r="A1" s="907" t="s">
        <v>191</v>
      </c>
      <c r="B1" s="908" t="s">
        <v>49</v>
      </c>
      <c r="C1" s="908" t="s">
        <v>255</v>
      </c>
      <c r="D1" s="908"/>
      <c r="E1" s="908"/>
      <c r="F1" s="909"/>
      <c r="G1" s="282"/>
    </row>
    <row r="2" spans="1:11" s="248" customFormat="1" ht="11.25" customHeight="1">
      <c r="A2" s="901"/>
      <c r="B2" s="904"/>
      <c r="C2" s="323" t="str">
        <f>UPPER('1. Resumen'!Q4)&amp;" "&amp;'1. Resumen'!Q5</f>
        <v>MAYO 2025</v>
      </c>
      <c r="D2" s="324" t="str">
        <f>UPPER('1. Resumen'!Q4)&amp;" "&amp;'1. Resumen'!Q5-1</f>
        <v>MAYO 2024</v>
      </c>
      <c r="E2" s="324">
        <v>2025</v>
      </c>
      <c r="F2" s="408" t="s">
        <v>584</v>
      </c>
      <c r="G2" s="283"/>
      <c r="H2" s="282"/>
    </row>
    <row r="3" spans="1:11" s="248" customFormat="1" ht="11.25" customHeight="1">
      <c r="A3" s="901"/>
      <c r="B3" s="904"/>
      <c r="C3" s="325">
        <f>'21. ANEXOII-1'!C4</f>
        <v>45779.791666666664</v>
      </c>
      <c r="D3" s="325">
        <f>'21. ANEXOII-1'!D4</f>
        <v>45428.78125</v>
      </c>
      <c r="E3" s="325">
        <f>'21. ANEXOII-1'!E4</f>
        <v>45742.791666666664</v>
      </c>
      <c r="F3" s="409" t="s">
        <v>252</v>
      </c>
      <c r="G3" s="284"/>
      <c r="H3" s="282"/>
    </row>
    <row r="4" spans="1:11" s="248" customFormat="1" ht="9" customHeight="1">
      <c r="A4" s="902"/>
      <c r="B4" s="905"/>
      <c r="C4" s="326">
        <f>+'8. Max Potencia'!D9</f>
        <v>45779.791666666664</v>
      </c>
      <c r="D4" s="326">
        <f>+'8. Max Potencia'!E9</f>
        <v>45428.78125</v>
      </c>
      <c r="E4" s="326">
        <f>+'21. ANEXOII-1'!E5</f>
        <v>45742.791666666664</v>
      </c>
      <c r="F4" s="410" t="s">
        <v>253</v>
      </c>
      <c r="G4" s="284"/>
      <c r="H4" s="286"/>
    </row>
    <row r="5" spans="1:11" s="248" customFormat="1" ht="9" customHeight="1">
      <c r="A5" s="785" t="s">
        <v>91</v>
      </c>
      <c r="B5" s="786" t="s">
        <v>71</v>
      </c>
      <c r="C5" s="787">
        <v>50.829900000000002</v>
      </c>
      <c r="D5" s="787">
        <v>73.239999999999995</v>
      </c>
      <c r="E5" s="787">
        <v>33.64255</v>
      </c>
      <c r="F5" s="788">
        <f>+IF(D5=0,"",C5/D5-1)</f>
        <v>-0.30598170398689228</v>
      </c>
      <c r="G5" s="284"/>
      <c r="H5" s="286"/>
    </row>
    <row r="6" spans="1:11" s="248" customFormat="1" ht="9" customHeight="1">
      <c r="A6" s="789"/>
      <c r="B6" s="790" t="s">
        <v>73</v>
      </c>
      <c r="C6" s="791">
        <v>11.284409999999999</v>
      </c>
      <c r="D6" s="791">
        <v>17.59</v>
      </c>
      <c r="E6" s="791">
        <v>1.2583599999999999</v>
      </c>
      <c r="F6" s="792">
        <f t="shared" ref="F6:F69" si="0">+IF(D6=0,"",C6/D6-1)</f>
        <v>-0.35847583854462761</v>
      </c>
      <c r="G6" s="284"/>
      <c r="H6" s="286"/>
    </row>
    <row r="7" spans="1:11" s="248" customFormat="1" ht="9" customHeight="1">
      <c r="A7" s="704" t="s">
        <v>805</v>
      </c>
      <c r="B7" s="705"/>
      <c r="C7" s="706">
        <v>62.114310000000003</v>
      </c>
      <c r="D7" s="706">
        <v>90.83</v>
      </c>
      <c r="E7" s="706">
        <v>34.900910000000003</v>
      </c>
      <c r="F7" s="716">
        <f t="shared" si="0"/>
        <v>-0.31614763844544747</v>
      </c>
      <c r="G7" s="284"/>
      <c r="H7" s="286"/>
    </row>
    <row r="8" spans="1:11" s="248" customFormat="1" ht="9" customHeight="1">
      <c r="A8" s="789" t="s">
        <v>376</v>
      </c>
      <c r="B8" s="790" t="s">
        <v>384</v>
      </c>
      <c r="C8" s="791">
        <v>125.494</v>
      </c>
      <c r="D8" s="791">
        <v>101.444</v>
      </c>
      <c r="E8" s="791">
        <v>71.301000000000002</v>
      </c>
      <c r="F8" s="792">
        <f t="shared" si="0"/>
        <v>0.23707661369819788</v>
      </c>
      <c r="G8" s="284"/>
      <c r="H8" s="286"/>
    </row>
    <row r="9" spans="1:11" s="248" customFormat="1" ht="9" customHeight="1">
      <c r="A9" s="704" t="s">
        <v>806</v>
      </c>
      <c r="B9" s="705"/>
      <c r="C9" s="706">
        <v>125.494</v>
      </c>
      <c r="D9" s="706">
        <v>101.444</v>
      </c>
      <c r="E9" s="706">
        <v>71.301000000000002</v>
      </c>
      <c r="F9" s="716">
        <f t="shared" si="0"/>
        <v>0.23707661369819788</v>
      </c>
      <c r="K9" s="344"/>
    </row>
    <row r="10" spans="1:11" s="248" customFormat="1" ht="9" customHeight="1">
      <c r="A10" s="789" t="s">
        <v>81</v>
      </c>
      <c r="B10" s="790" t="s">
        <v>377</v>
      </c>
      <c r="C10" s="791">
        <v>195.59357</v>
      </c>
      <c r="D10" s="791">
        <v>85.642889999999994</v>
      </c>
      <c r="E10" s="791">
        <v>91.860880000000009</v>
      </c>
      <c r="F10" s="792">
        <f t="shared" si="0"/>
        <v>1.2838272972806033</v>
      </c>
      <c r="K10" s="344"/>
    </row>
    <row r="11" spans="1:11" s="248" customFormat="1" ht="9" customHeight="1">
      <c r="A11" s="789"/>
      <c r="B11" s="790" t="s">
        <v>385</v>
      </c>
      <c r="C11" s="791">
        <v>23.285719999999998</v>
      </c>
      <c r="D11" s="791">
        <v>4.9889200000000002</v>
      </c>
      <c r="E11" s="791">
        <v>4.8719999999999999</v>
      </c>
      <c r="F11" s="792">
        <f t="shared" si="0"/>
        <v>3.6674871515277845</v>
      </c>
      <c r="J11" s="344"/>
      <c r="K11" s="344"/>
    </row>
    <row r="12" spans="1:11" s="248" customFormat="1" ht="9" customHeight="1">
      <c r="A12" s="789"/>
      <c r="B12" s="790" t="s">
        <v>550</v>
      </c>
      <c r="C12" s="791">
        <v>0</v>
      </c>
      <c r="D12" s="791">
        <v>100.01783</v>
      </c>
      <c r="E12" s="791">
        <v>0</v>
      </c>
      <c r="F12" s="792">
        <f t="shared" si="0"/>
        <v>-1</v>
      </c>
      <c r="J12" s="344"/>
      <c r="K12" s="344"/>
    </row>
    <row r="13" spans="1:11" s="248" customFormat="1" ht="9" customHeight="1">
      <c r="A13" s="789"/>
      <c r="B13" s="790" t="s">
        <v>226</v>
      </c>
      <c r="C13" s="791">
        <v>87.595640000000003</v>
      </c>
      <c r="D13" s="791">
        <v>86.761589999999998</v>
      </c>
      <c r="E13" s="791">
        <v>86.941950000000006</v>
      </c>
      <c r="F13" s="792">
        <f t="shared" si="0"/>
        <v>9.6131248862545426E-3</v>
      </c>
      <c r="J13" s="344"/>
      <c r="K13" s="344"/>
    </row>
    <row r="14" spans="1:11" s="248" customFormat="1" ht="9" customHeight="1">
      <c r="A14" s="789"/>
      <c r="B14" s="790" t="s">
        <v>318</v>
      </c>
      <c r="C14" s="791">
        <v>0</v>
      </c>
      <c r="D14" s="791">
        <v>0</v>
      </c>
      <c r="E14" s="791">
        <v>0</v>
      </c>
      <c r="F14" s="792" t="str">
        <f t="shared" si="0"/>
        <v/>
      </c>
      <c r="J14" s="344"/>
      <c r="K14" s="344"/>
    </row>
    <row r="15" spans="1:11" s="248" customFormat="1" ht="9" customHeight="1">
      <c r="A15" s="789"/>
      <c r="B15" s="790" t="s">
        <v>227</v>
      </c>
      <c r="C15" s="791">
        <v>418.70780999999999</v>
      </c>
      <c r="D15" s="791">
        <v>809.83088000000009</v>
      </c>
      <c r="E15" s="791">
        <v>751.94340999999997</v>
      </c>
      <c r="F15" s="792">
        <f t="shared" si="0"/>
        <v>-0.48296882677528929</v>
      </c>
      <c r="J15" s="344"/>
      <c r="K15" s="344"/>
    </row>
    <row r="16" spans="1:11" s="248" customFormat="1" ht="9" customHeight="1">
      <c r="A16" s="789"/>
      <c r="B16" s="790" t="s">
        <v>228</v>
      </c>
      <c r="C16" s="791">
        <v>75.26473</v>
      </c>
      <c r="D16" s="791">
        <v>0</v>
      </c>
      <c r="E16" s="791">
        <v>0</v>
      </c>
      <c r="F16" s="792" t="str">
        <f t="shared" si="0"/>
        <v/>
      </c>
      <c r="J16" s="344"/>
      <c r="K16" s="344"/>
    </row>
    <row r="17" spans="1:11" s="248" customFormat="1" ht="9" customHeight="1">
      <c r="A17" s="789"/>
      <c r="B17" s="790" t="s">
        <v>378</v>
      </c>
      <c r="C17" s="791">
        <v>0</v>
      </c>
      <c r="D17" s="791">
        <v>0</v>
      </c>
      <c r="E17" s="791">
        <v>0</v>
      </c>
      <c r="F17" s="792" t="str">
        <f t="shared" si="0"/>
        <v/>
      </c>
      <c r="J17" s="344"/>
      <c r="K17" s="344"/>
    </row>
    <row r="18" spans="1:11" s="248" customFormat="1" ht="9" customHeight="1">
      <c r="A18" s="789"/>
      <c r="B18" s="790" t="s">
        <v>229</v>
      </c>
      <c r="C18" s="791">
        <v>0</v>
      </c>
      <c r="D18" s="791">
        <v>0</v>
      </c>
      <c r="E18" s="791">
        <v>0</v>
      </c>
      <c r="F18" s="792" t="str">
        <f t="shared" si="0"/>
        <v/>
      </c>
      <c r="J18" s="344"/>
      <c r="K18" s="344"/>
    </row>
    <row r="19" spans="1:11" s="248" customFormat="1" ht="9" customHeight="1">
      <c r="A19" s="789"/>
      <c r="B19" s="790" t="s">
        <v>807</v>
      </c>
      <c r="C19" s="791">
        <v>0</v>
      </c>
      <c r="D19" s="791">
        <v>0</v>
      </c>
      <c r="E19" s="791">
        <v>0</v>
      </c>
      <c r="F19" s="792" t="str">
        <f t="shared" si="0"/>
        <v/>
      </c>
      <c r="J19" s="344"/>
      <c r="K19" s="344"/>
    </row>
    <row r="20" spans="1:11" s="248" customFormat="1" ht="9" customHeight="1">
      <c r="A20" s="704" t="s">
        <v>357</v>
      </c>
      <c r="B20" s="705"/>
      <c r="C20" s="706">
        <v>800.44746999999995</v>
      </c>
      <c r="D20" s="706">
        <v>1087.2421100000001</v>
      </c>
      <c r="E20" s="706">
        <v>935.61824000000001</v>
      </c>
      <c r="F20" s="716">
        <f t="shared" si="0"/>
        <v>-0.2637817624631924</v>
      </c>
      <c r="J20" s="344"/>
      <c r="K20" s="344"/>
    </row>
    <row r="21" spans="1:11" s="248" customFormat="1" ht="9" customHeight="1">
      <c r="A21" s="789" t="s">
        <v>182</v>
      </c>
      <c r="B21" s="790" t="s">
        <v>230</v>
      </c>
      <c r="C21" s="791">
        <v>434.95931000000002</v>
      </c>
      <c r="D21" s="791">
        <v>546.87748999999997</v>
      </c>
      <c r="E21" s="791">
        <v>519.23785999999996</v>
      </c>
      <c r="F21" s="792">
        <f t="shared" si="0"/>
        <v>-0.20464945448751226</v>
      </c>
      <c r="J21" s="344"/>
      <c r="K21" s="344"/>
    </row>
    <row r="22" spans="1:11" s="248" customFormat="1" ht="9" customHeight="1">
      <c r="A22" s="704" t="s">
        <v>808</v>
      </c>
      <c r="B22" s="705"/>
      <c r="C22" s="706">
        <v>434.95931000000002</v>
      </c>
      <c r="D22" s="706">
        <v>546.87748999999997</v>
      </c>
      <c r="E22" s="706">
        <v>519.23785999999996</v>
      </c>
      <c r="F22" s="716">
        <f t="shared" si="0"/>
        <v>-0.20464945448751226</v>
      </c>
      <c r="J22" s="344"/>
      <c r="K22" s="344"/>
    </row>
    <row r="23" spans="1:11" s="248" customFormat="1" ht="9" customHeight="1">
      <c r="A23" s="789" t="s">
        <v>334</v>
      </c>
      <c r="B23" s="790" t="s">
        <v>338</v>
      </c>
      <c r="C23" s="791">
        <v>20.90981</v>
      </c>
      <c r="D23" s="791">
        <v>18.849810000000002</v>
      </c>
      <c r="E23" s="791">
        <v>20.950399999999998</v>
      </c>
      <c r="F23" s="792">
        <f t="shared" si="0"/>
        <v>0.10928492117427169</v>
      </c>
      <c r="J23" s="344"/>
      <c r="K23" s="344"/>
    </row>
    <row r="24" spans="1:11" s="248" customFormat="1" ht="9" customHeight="1">
      <c r="A24" s="789"/>
      <c r="B24" s="790" t="s">
        <v>335</v>
      </c>
      <c r="C24" s="791">
        <v>8.0030000000000001</v>
      </c>
      <c r="D24" s="791">
        <v>5.15266</v>
      </c>
      <c r="E24" s="791">
        <v>7.8967299999999998</v>
      </c>
      <c r="F24" s="792">
        <f t="shared" si="0"/>
        <v>0.55317835836247697</v>
      </c>
      <c r="J24" s="344"/>
      <c r="K24" s="344"/>
    </row>
    <row r="25" spans="1:11" s="248" customFormat="1" ht="9" customHeight="1">
      <c r="A25" s="704" t="s">
        <v>809</v>
      </c>
      <c r="B25" s="705"/>
      <c r="C25" s="706">
        <v>28.91281</v>
      </c>
      <c r="D25" s="706">
        <v>24.002470000000002</v>
      </c>
      <c r="E25" s="706">
        <v>28.84713</v>
      </c>
      <c r="F25" s="716">
        <f t="shared" si="0"/>
        <v>0.20457644567413258</v>
      </c>
      <c r="J25" s="344"/>
      <c r="K25" s="344"/>
    </row>
    <row r="26" spans="1:11" s="248" customFormat="1" ht="9" customHeight="1">
      <c r="A26" s="789" t="s">
        <v>99</v>
      </c>
      <c r="B26" s="790" t="s">
        <v>311</v>
      </c>
      <c r="C26" s="791">
        <v>20.394880000000001</v>
      </c>
      <c r="D26" s="791">
        <v>8.5280400000000007</v>
      </c>
      <c r="E26" s="791">
        <v>20.397199999999998</v>
      </c>
      <c r="F26" s="792">
        <f t="shared" si="0"/>
        <v>1.3915084826056163</v>
      </c>
      <c r="J26" s="344"/>
      <c r="K26" s="344"/>
    </row>
    <row r="27" spans="1:11" s="248" customFormat="1" ht="9" customHeight="1">
      <c r="A27" s="789"/>
      <c r="B27" s="790" t="s">
        <v>309</v>
      </c>
      <c r="C27" s="791">
        <v>20.402139999999999</v>
      </c>
      <c r="D27" s="791">
        <v>9.0109199999999987</v>
      </c>
      <c r="E27" s="791">
        <v>20.401949999999999</v>
      </c>
      <c r="F27" s="792">
        <f t="shared" si="0"/>
        <v>1.2641572669605328</v>
      </c>
      <c r="J27" s="344"/>
      <c r="K27" s="344"/>
    </row>
    <row r="28" spans="1:11" s="248" customFormat="1" ht="9" customHeight="1">
      <c r="A28" s="789"/>
      <c r="B28" s="790" t="s">
        <v>310</v>
      </c>
      <c r="C28" s="791">
        <v>20.070209999999999</v>
      </c>
      <c r="D28" s="791">
        <v>9.0827399999999994</v>
      </c>
      <c r="E28" s="791">
        <v>20.067720000000001</v>
      </c>
      <c r="F28" s="792">
        <f t="shared" si="0"/>
        <v>1.209708744277608</v>
      </c>
      <c r="J28" s="344"/>
      <c r="K28" s="344"/>
    </row>
    <row r="29" spans="1:11" s="248" customFormat="1" ht="9" customHeight="1">
      <c r="A29" s="789"/>
      <c r="B29" s="790" t="s">
        <v>60</v>
      </c>
      <c r="C29" s="791">
        <v>7.5817499999999995</v>
      </c>
      <c r="D29" s="791">
        <v>5.8258200000000002</v>
      </c>
      <c r="E29" s="791">
        <v>7.7347400000000004</v>
      </c>
      <c r="F29" s="792">
        <f t="shared" si="0"/>
        <v>0.3014047807862239</v>
      </c>
      <c r="J29" s="344"/>
      <c r="K29" s="344"/>
    </row>
    <row r="30" spans="1:11" s="248" customFormat="1" ht="9" customHeight="1">
      <c r="A30" s="704" t="s">
        <v>810</v>
      </c>
      <c r="B30" s="705"/>
      <c r="C30" s="706">
        <v>68.448980000000006</v>
      </c>
      <c r="D30" s="706">
        <v>32.447519999999997</v>
      </c>
      <c r="E30" s="706">
        <v>68.601609999999994</v>
      </c>
      <c r="F30" s="716">
        <f t="shared" si="0"/>
        <v>1.1095288638392091</v>
      </c>
      <c r="J30" s="344"/>
      <c r="K30" s="344"/>
    </row>
    <row r="31" spans="1:11" s="248" customFormat="1" ht="9" customHeight="1">
      <c r="A31" s="789" t="s">
        <v>532</v>
      </c>
      <c r="B31" s="790" t="s">
        <v>811</v>
      </c>
      <c r="C31" s="791">
        <v>0</v>
      </c>
      <c r="D31" s="791">
        <v>49.917929999999998</v>
      </c>
      <c r="E31" s="791">
        <v>74.790840000000003</v>
      </c>
      <c r="F31" s="792">
        <f t="shared" si="0"/>
        <v>-1</v>
      </c>
      <c r="J31" s="344"/>
      <c r="K31" s="344"/>
    </row>
    <row r="32" spans="1:11" s="248" customFormat="1" ht="9" customHeight="1">
      <c r="A32" s="704" t="s">
        <v>812</v>
      </c>
      <c r="B32" s="705"/>
      <c r="C32" s="706">
        <v>0</v>
      </c>
      <c r="D32" s="706">
        <v>49.917929999999998</v>
      </c>
      <c r="E32" s="706">
        <v>74.790840000000003</v>
      </c>
      <c r="F32" s="716">
        <f t="shared" si="0"/>
        <v>-1</v>
      </c>
      <c r="J32" s="344"/>
      <c r="K32" s="344"/>
    </row>
    <row r="33" spans="1:11" s="248" customFormat="1" ht="9" customHeight="1">
      <c r="A33" s="789" t="s">
        <v>538</v>
      </c>
      <c r="B33" s="790" t="s">
        <v>551</v>
      </c>
      <c r="C33" s="791">
        <v>0</v>
      </c>
      <c r="D33" s="791"/>
      <c r="E33" s="791">
        <v>0</v>
      </c>
      <c r="F33" s="792" t="str">
        <f t="shared" si="0"/>
        <v/>
      </c>
      <c r="J33" s="344"/>
      <c r="K33" s="344"/>
    </row>
    <row r="34" spans="1:11" s="248" customFormat="1" ht="9" customHeight="1">
      <c r="A34" s="704" t="s">
        <v>813</v>
      </c>
      <c r="B34" s="705"/>
      <c r="C34" s="706">
        <v>0</v>
      </c>
      <c r="D34" s="706"/>
      <c r="E34" s="706">
        <v>0</v>
      </c>
      <c r="F34" s="716" t="str">
        <f t="shared" si="0"/>
        <v/>
      </c>
      <c r="J34" s="344"/>
      <c r="K34" s="344"/>
    </row>
    <row r="35" spans="1:11" s="248" customFormat="1" ht="9.6" customHeight="1">
      <c r="A35" s="789" t="s">
        <v>346</v>
      </c>
      <c r="B35" s="790" t="s">
        <v>349</v>
      </c>
      <c r="C35" s="791">
        <v>8.2900000000000005E-3</v>
      </c>
      <c r="D35" s="791">
        <v>0</v>
      </c>
      <c r="E35" s="791">
        <v>4.4900000000000001E-3</v>
      </c>
      <c r="F35" s="792" t="str">
        <f t="shared" si="0"/>
        <v/>
      </c>
      <c r="J35" s="344"/>
      <c r="K35" s="344"/>
    </row>
    <row r="36" spans="1:11" s="248" customFormat="1" ht="9.6" customHeight="1">
      <c r="A36" s="704" t="s">
        <v>814</v>
      </c>
      <c r="B36" s="705"/>
      <c r="C36" s="706">
        <v>8.2900000000000005E-3</v>
      </c>
      <c r="D36" s="706">
        <v>0</v>
      </c>
      <c r="E36" s="706">
        <v>4.4900000000000001E-3</v>
      </c>
      <c r="F36" s="716" t="str">
        <f t="shared" si="0"/>
        <v/>
      </c>
      <c r="J36" s="344"/>
      <c r="K36" s="344"/>
    </row>
    <row r="37" spans="1:11" s="248" customFormat="1" ht="9.6" customHeight="1">
      <c r="A37" s="789" t="s">
        <v>347</v>
      </c>
      <c r="B37" s="790" t="s">
        <v>350</v>
      </c>
      <c r="C37" s="791">
        <v>0</v>
      </c>
      <c r="D37" s="791">
        <v>6.0000000000000002E-5</v>
      </c>
      <c r="E37" s="791">
        <v>6.5070000000000003E-2</v>
      </c>
      <c r="F37" s="792">
        <f t="shared" si="0"/>
        <v>-1</v>
      </c>
      <c r="J37" s="344"/>
      <c r="K37" s="344"/>
    </row>
    <row r="38" spans="1:11" s="248" customFormat="1" ht="9.6" customHeight="1">
      <c r="A38" s="704" t="s">
        <v>815</v>
      </c>
      <c r="B38" s="705"/>
      <c r="C38" s="706">
        <v>0</v>
      </c>
      <c r="D38" s="706">
        <v>6.0000000000000002E-5</v>
      </c>
      <c r="E38" s="706">
        <v>6.5070000000000003E-2</v>
      </c>
      <c r="F38" s="716">
        <f t="shared" si="0"/>
        <v>-1</v>
      </c>
      <c r="J38" s="344"/>
      <c r="K38" s="344"/>
    </row>
    <row r="39" spans="1:11" s="248" customFormat="1" ht="9.6" customHeight="1">
      <c r="A39" s="789" t="s">
        <v>105</v>
      </c>
      <c r="B39" s="790" t="s">
        <v>68</v>
      </c>
      <c r="C39" s="791">
        <v>3.6</v>
      </c>
      <c r="D39" s="791">
        <v>2.8</v>
      </c>
      <c r="E39" s="791">
        <v>3.6</v>
      </c>
      <c r="F39" s="792">
        <f t="shared" si="0"/>
        <v>0.28571428571428581</v>
      </c>
      <c r="J39" s="344"/>
      <c r="K39" s="344"/>
    </row>
    <row r="40" spans="1:11" s="248" customFormat="1" ht="9.6" customHeight="1">
      <c r="A40" s="704" t="s">
        <v>816</v>
      </c>
      <c r="B40" s="705"/>
      <c r="C40" s="706">
        <v>3.6</v>
      </c>
      <c r="D40" s="706">
        <v>2.8</v>
      </c>
      <c r="E40" s="706">
        <v>3.6</v>
      </c>
      <c r="F40" s="716">
        <f t="shared" si="0"/>
        <v>0.28571428571428581</v>
      </c>
      <c r="J40" s="344"/>
      <c r="K40" s="344"/>
    </row>
    <row r="41" spans="1:11" s="248" customFormat="1" ht="9.6" customHeight="1">
      <c r="A41" s="789" t="s">
        <v>95</v>
      </c>
      <c r="B41" s="790" t="s">
        <v>231</v>
      </c>
      <c r="C41" s="791">
        <v>18.634999999999998</v>
      </c>
      <c r="D41" s="791">
        <v>18.049859999999999</v>
      </c>
      <c r="E41" s="791">
        <v>18.554580000000001</v>
      </c>
      <c r="F41" s="792">
        <f t="shared" si="0"/>
        <v>3.2417979973251798E-2</v>
      </c>
      <c r="J41" s="344"/>
      <c r="K41" s="344"/>
    </row>
    <row r="42" spans="1:11" s="248" customFormat="1" ht="8.4" customHeight="1">
      <c r="A42" s="704" t="s">
        <v>817</v>
      </c>
      <c r="B42" s="705"/>
      <c r="C42" s="706">
        <v>18.634999999999998</v>
      </c>
      <c r="D42" s="706">
        <v>18.049859999999999</v>
      </c>
      <c r="E42" s="706">
        <v>18.554580000000001</v>
      </c>
      <c r="F42" s="716">
        <f t="shared" si="0"/>
        <v>3.2417979973251798E-2</v>
      </c>
      <c r="J42" s="344"/>
      <c r="K42" s="344"/>
    </row>
    <row r="43" spans="1:11" s="248" customFormat="1" ht="8.4" customHeight="1">
      <c r="A43" s="789" t="s">
        <v>779</v>
      </c>
      <c r="B43" s="790" t="s">
        <v>53</v>
      </c>
      <c r="C43" s="791">
        <v>18.498000000000001</v>
      </c>
      <c r="D43" s="791">
        <v>18.439999999999998</v>
      </c>
      <c r="E43" s="791">
        <v>16.78369</v>
      </c>
      <c r="F43" s="792">
        <f t="shared" si="0"/>
        <v>3.145336225596651E-3</v>
      </c>
      <c r="J43" s="344"/>
      <c r="K43" s="344"/>
    </row>
    <row r="44" spans="1:11" s="248" customFormat="1" ht="8.4" customHeight="1">
      <c r="A44" s="789"/>
      <c r="B44" s="790" t="s">
        <v>368</v>
      </c>
      <c r="C44" s="791">
        <v>-1.5499999999999999E-3</v>
      </c>
      <c r="D44" s="791">
        <v>1.1199999999999999E-3</v>
      </c>
      <c r="E44" s="791">
        <v>2.4099999999999998E-3</v>
      </c>
      <c r="F44" s="792">
        <f t="shared" si="0"/>
        <v>-2.3839285714285712</v>
      </c>
      <c r="J44" s="344"/>
      <c r="K44" s="344"/>
    </row>
    <row r="45" spans="1:11" s="248" customFormat="1" ht="8.4" customHeight="1">
      <c r="A45" s="704" t="s">
        <v>818</v>
      </c>
      <c r="B45" s="705"/>
      <c r="C45" s="706">
        <v>18.496449999999999</v>
      </c>
      <c r="D45" s="706">
        <v>18.441119999999998</v>
      </c>
      <c r="E45" s="706">
        <v>16.786100000000001</v>
      </c>
      <c r="F45" s="716">
        <f t="shared" si="0"/>
        <v>3.0003600648984552E-3</v>
      </c>
      <c r="J45" s="344"/>
      <c r="K45" s="344"/>
    </row>
    <row r="46" spans="1:11" s="248" customFormat="1" ht="8.4" customHeight="1">
      <c r="A46" s="789" t="s">
        <v>621</v>
      </c>
      <c r="B46" s="790" t="s">
        <v>819</v>
      </c>
      <c r="C46" s="791">
        <v>0</v>
      </c>
      <c r="D46" s="791"/>
      <c r="E46" s="791"/>
      <c r="F46" s="792" t="str">
        <f t="shared" si="0"/>
        <v/>
      </c>
      <c r="J46" s="344"/>
      <c r="K46" s="344"/>
    </row>
    <row r="47" spans="1:11" s="436" customFormat="1" ht="8.4" customHeight="1">
      <c r="A47" s="704" t="s">
        <v>821</v>
      </c>
      <c r="B47" s="705"/>
      <c r="C47" s="706">
        <v>0</v>
      </c>
      <c r="D47" s="706"/>
      <c r="E47" s="706"/>
      <c r="F47" s="716" t="str">
        <f t="shared" si="0"/>
        <v/>
      </c>
      <c r="J47" s="524"/>
      <c r="K47" s="524"/>
    </row>
    <row r="48" spans="1:11" s="436" customFormat="1" ht="8.4" customHeight="1">
      <c r="A48" s="789" t="s">
        <v>778</v>
      </c>
      <c r="B48" s="790" t="s">
        <v>321</v>
      </c>
      <c r="C48" s="791">
        <v>89.873620000000003</v>
      </c>
      <c r="D48" s="791">
        <v>89.461379999999991</v>
      </c>
      <c r="E48" s="791">
        <v>89.364409999999992</v>
      </c>
      <c r="F48" s="792">
        <f t="shared" si="0"/>
        <v>4.6080219196262817E-3</v>
      </c>
      <c r="J48" s="524"/>
      <c r="K48" s="524"/>
    </row>
    <row r="49" spans="1:11" s="248" customFormat="1" ht="8.4" customHeight="1">
      <c r="A49" s="704" t="s">
        <v>822</v>
      </c>
      <c r="B49" s="705"/>
      <c r="C49" s="706">
        <v>89.873620000000003</v>
      </c>
      <c r="D49" s="706">
        <v>89.461379999999991</v>
      </c>
      <c r="E49" s="706">
        <v>89.364409999999992</v>
      </c>
      <c r="F49" s="716">
        <f t="shared" si="0"/>
        <v>4.6080219196262817E-3</v>
      </c>
      <c r="J49" s="344"/>
      <c r="K49" s="344"/>
    </row>
    <row r="50" spans="1:11" s="248" customFormat="1" ht="8.4" customHeight="1">
      <c r="A50" s="789" t="s">
        <v>588</v>
      </c>
      <c r="B50" s="790" t="s">
        <v>247</v>
      </c>
      <c r="C50" s="791">
        <v>3.4798399999999998</v>
      </c>
      <c r="D50" s="791"/>
      <c r="E50" s="791">
        <v>2.0397099999999999</v>
      </c>
      <c r="F50" s="792" t="str">
        <f t="shared" si="0"/>
        <v/>
      </c>
      <c r="J50" s="344"/>
      <c r="K50" s="344"/>
    </row>
    <row r="51" spans="1:11" s="248" customFormat="1" ht="8.4" customHeight="1">
      <c r="A51" s="704" t="s">
        <v>823</v>
      </c>
      <c r="B51" s="705"/>
      <c r="C51" s="706">
        <v>3.4798399999999998</v>
      </c>
      <c r="D51" s="706"/>
      <c r="E51" s="706">
        <v>2.0397099999999999</v>
      </c>
      <c r="F51" s="716" t="str">
        <f t="shared" si="0"/>
        <v/>
      </c>
      <c r="J51" s="344"/>
      <c r="K51" s="344"/>
    </row>
    <row r="52" spans="1:11" s="248" customFormat="1" ht="8.4" customHeight="1">
      <c r="A52" s="789" t="s">
        <v>107</v>
      </c>
      <c r="B52" s="790" t="s">
        <v>824</v>
      </c>
      <c r="C52" s="791">
        <v>0</v>
      </c>
      <c r="D52" s="791">
        <v>0</v>
      </c>
      <c r="E52" s="791">
        <v>0</v>
      </c>
      <c r="F52" s="792" t="str">
        <f t="shared" si="0"/>
        <v/>
      </c>
      <c r="J52" s="344"/>
      <c r="K52" s="344"/>
    </row>
    <row r="53" spans="1:11" s="248" customFormat="1" ht="8.4" customHeight="1">
      <c r="A53" s="789"/>
      <c r="B53" s="790" t="s">
        <v>825</v>
      </c>
      <c r="C53" s="791">
        <v>0</v>
      </c>
      <c r="D53" s="791">
        <v>0</v>
      </c>
      <c r="E53" s="791">
        <v>0</v>
      </c>
      <c r="F53" s="792" t="str">
        <f t="shared" si="0"/>
        <v/>
      </c>
      <c r="J53" s="344"/>
      <c r="K53" s="344"/>
    </row>
    <row r="54" spans="1:11" s="248" customFormat="1" ht="8.4" customHeight="1">
      <c r="A54" s="704" t="s">
        <v>826</v>
      </c>
      <c r="B54" s="705"/>
      <c r="C54" s="706">
        <v>0</v>
      </c>
      <c r="D54" s="706">
        <v>0</v>
      </c>
      <c r="E54" s="706">
        <v>0</v>
      </c>
      <c r="F54" s="716" t="str">
        <f t="shared" si="0"/>
        <v/>
      </c>
      <c r="J54" s="344"/>
      <c r="K54" s="344"/>
    </row>
    <row r="55" spans="1:11" s="248" customFormat="1" ht="8.4" customHeight="1">
      <c r="A55" s="789" t="s">
        <v>620</v>
      </c>
      <c r="B55" s="790" t="s">
        <v>631</v>
      </c>
      <c r="C55" s="791">
        <v>0</v>
      </c>
      <c r="D55" s="791"/>
      <c r="E55" s="791"/>
      <c r="F55" s="792" t="str">
        <f t="shared" si="0"/>
        <v/>
      </c>
      <c r="J55" s="344"/>
      <c r="K55" s="344"/>
    </row>
    <row r="56" spans="1:11" s="248" customFormat="1" ht="8.4" customHeight="1">
      <c r="A56" s="704" t="s">
        <v>827</v>
      </c>
      <c r="B56" s="705"/>
      <c r="C56" s="706">
        <v>0</v>
      </c>
      <c r="D56" s="706"/>
      <c r="E56" s="706"/>
      <c r="F56" s="716" t="str">
        <f t="shared" si="0"/>
        <v/>
      </c>
      <c r="J56" s="344"/>
      <c r="K56" s="344"/>
    </row>
    <row r="57" spans="1:11" s="248" customFormat="1" ht="8.4" customHeight="1">
      <c r="A57" s="789" t="s">
        <v>777</v>
      </c>
      <c r="B57" s="790" t="s">
        <v>319</v>
      </c>
      <c r="C57" s="791">
        <v>557.71699000000001</v>
      </c>
      <c r="D57" s="791">
        <v>498.23708999999997</v>
      </c>
      <c r="E57" s="791">
        <v>562.47317999999996</v>
      </c>
      <c r="F57" s="792">
        <f t="shared" si="0"/>
        <v>0.11938071491225211</v>
      </c>
      <c r="J57" s="344"/>
      <c r="K57" s="344"/>
    </row>
    <row r="58" spans="1:11" s="248" customFormat="1" ht="8.4" customHeight="1">
      <c r="A58" s="789"/>
      <c r="B58" s="790" t="s">
        <v>233</v>
      </c>
      <c r="C58" s="791">
        <v>753.84411999999998</v>
      </c>
      <c r="D58" s="791">
        <v>616.83658999999989</v>
      </c>
      <c r="E58" s="791">
        <v>648.7277499999999</v>
      </c>
      <c r="F58" s="792">
        <f t="shared" si="0"/>
        <v>0.22211316938899506</v>
      </c>
      <c r="J58" s="344"/>
      <c r="K58" s="344"/>
    </row>
    <row r="59" spans="1:11" s="248" customFormat="1" ht="8.4" customHeight="1">
      <c r="A59" s="789"/>
      <c r="B59" s="790" t="s">
        <v>370</v>
      </c>
      <c r="C59" s="791">
        <v>318.62923999999998</v>
      </c>
      <c r="D59" s="791">
        <v>321.07578999999998</v>
      </c>
      <c r="E59" s="791">
        <v>310.19511</v>
      </c>
      <c r="F59" s="792">
        <f t="shared" si="0"/>
        <v>-7.6198519981839352E-3</v>
      </c>
      <c r="J59" s="344"/>
      <c r="K59" s="344"/>
    </row>
    <row r="60" spans="1:11" s="248" customFormat="1" ht="8.4" customHeight="1">
      <c r="A60" s="789"/>
      <c r="B60" s="790" t="s">
        <v>234</v>
      </c>
      <c r="C60" s="791">
        <v>10.41919</v>
      </c>
      <c r="D60" s="791">
        <v>5.2083599999999999</v>
      </c>
      <c r="E60" s="791">
        <v>0</v>
      </c>
      <c r="F60" s="792">
        <f t="shared" si="0"/>
        <v>1.0004742375719036</v>
      </c>
      <c r="J60" s="344"/>
      <c r="K60" s="344"/>
    </row>
    <row r="61" spans="1:11" s="248" customFormat="1" ht="8.4" customHeight="1">
      <c r="A61" s="704" t="s">
        <v>828</v>
      </c>
      <c r="B61" s="705"/>
      <c r="C61" s="706">
        <v>1640.6095400000002</v>
      </c>
      <c r="D61" s="706">
        <v>1441.3578299999999</v>
      </c>
      <c r="E61" s="706">
        <v>1521.3960400000001</v>
      </c>
      <c r="F61" s="716">
        <f t="shared" si="0"/>
        <v>0.13823889241993448</v>
      </c>
      <c r="J61" s="344"/>
      <c r="K61" s="344"/>
    </row>
    <row r="62" spans="1:11" s="248" customFormat="1" ht="8.4" customHeight="1">
      <c r="A62" s="789" t="s">
        <v>380</v>
      </c>
      <c r="B62" s="790" t="s">
        <v>386</v>
      </c>
      <c r="C62" s="791">
        <v>0</v>
      </c>
      <c r="D62" s="791">
        <v>0</v>
      </c>
      <c r="E62" s="791">
        <v>0</v>
      </c>
      <c r="F62" s="792" t="str">
        <f t="shared" si="0"/>
        <v/>
      </c>
      <c r="J62" s="344"/>
      <c r="K62" s="344"/>
    </row>
    <row r="63" spans="1:11" s="248" customFormat="1" ht="8.4" customHeight="1">
      <c r="A63" s="704" t="s">
        <v>829</v>
      </c>
      <c r="B63" s="705"/>
      <c r="C63" s="706">
        <v>0</v>
      </c>
      <c r="D63" s="706">
        <v>0</v>
      </c>
      <c r="E63" s="706">
        <v>0</v>
      </c>
      <c r="F63" s="716" t="str">
        <f t="shared" si="0"/>
        <v/>
      </c>
      <c r="J63" s="344"/>
      <c r="K63" s="344"/>
    </row>
    <row r="64" spans="1:11" s="248" customFormat="1" ht="8.4" customHeight="1">
      <c r="A64" s="789" t="s">
        <v>351</v>
      </c>
      <c r="B64" s="790" t="s">
        <v>369</v>
      </c>
      <c r="C64" s="791">
        <v>76.948000000000008</v>
      </c>
      <c r="D64" s="791">
        <v>40.548000000000002</v>
      </c>
      <c r="E64" s="791">
        <v>82.007999999999996</v>
      </c>
      <c r="F64" s="792">
        <f t="shared" si="0"/>
        <v>0.89770148959258167</v>
      </c>
      <c r="J64" s="344"/>
      <c r="K64" s="344"/>
    </row>
    <row r="65" spans="1:11" s="248" customFormat="1" ht="8.4" customHeight="1">
      <c r="A65" s="704" t="s">
        <v>358</v>
      </c>
      <c r="B65" s="705"/>
      <c r="C65" s="706">
        <v>76.948000000000008</v>
      </c>
      <c r="D65" s="706">
        <v>40.548000000000002</v>
      </c>
      <c r="E65" s="706">
        <v>82.007999999999996</v>
      </c>
      <c r="F65" s="716">
        <f t="shared" si="0"/>
        <v>0.89770148959258167</v>
      </c>
      <c r="J65" s="344"/>
      <c r="K65" s="344"/>
    </row>
    <row r="66" spans="1:11" s="248" customFormat="1" ht="8.4" customHeight="1">
      <c r="A66" s="789" t="s">
        <v>106</v>
      </c>
      <c r="B66" s="790" t="s">
        <v>66</v>
      </c>
      <c r="C66" s="791">
        <v>3.44</v>
      </c>
      <c r="D66" s="791">
        <v>3.5990000000000002</v>
      </c>
      <c r="E66" s="791">
        <v>0</v>
      </c>
      <c r="F66" s="792">
        <f t="shared" si="0"/>
        <v>-4.4178938594053974E-2</v>
      </c>
      <c r="J66" s="344"/>
      <c r="K66" s="344"/>
    </row>
    <row r="67" spans="1:11" s="248" customFormat="1" ht="8.4" customHeight="1">
      <c r="A67" s="704" t="s">
        <v>830</v>
      </c>
      <c r="B67" s="705"/>
      <c r="C67" s="706">
        <v>3.44</v>
      </c>
      <c r="D67" s="706">
        <v>3.5990000000000002</v>
      </c>
      <c r="E67" s="706">
        <v>0</v>
      </c>
      <c r="F67" s="716">
        <f t="shared" si="0"/>
        <v>-4.4178938594053974E-2</v>
      </c>
      <c r="J67" s="344"/>
      <c r="K67" s="344"/>
    </row>
    <row r="68" spans="1:11" s="248" customFormat="1" ht="8.4" customHeight="1">
      <c r="A68" s="789" t="s">
        <v>780</v>
      </c>
      <c r="B68" s="790" t="s">
        <v>176</v>
      </c>
      <c r="C68" s="791">
        <v>0</v>
      </c>
      <c r="D68" s="791">
        <v>0</v>
      </c>
      <c r="E68" s="791">
        <v>0</v>
      </c>
      <c r="F68" s="792" t="str">
        <f t="shared" si="0"/>
        <v/>
      </c>
      <c r="J68" s="344"/>
      <c r="K68" s="344"/>
    </row>
    <row r="69" spans="1:11" s="248" customFormat="1" ht="8.4" customHeight="1">
      <c r="A69" s="704" t="s">
        <v>831</v>
      </c>
      <c r="B69" s="705"/>
      <c r="C69" s="706">
        <v>0</v>
      </c>
      <c r="D69" s="706">
        <v>0</v>
      </c>
      <c r="E69" s="706">
        <v>0</v>
      </c>
      <c r="F69" s="716" t="str">
        <f t="shared" si="0"/>
        <v/>
      </c>
      <c r="J69" s="344"/>
      <c r="K69" s="344"/>
    </row>
    <row r="70" spans="1:11" s="248" customFormat="1" ht="8.4" customHeight="1">
      <c r="A70" s="789" t="s">
        <v>101</v>
      </c>
      <c r="B70" s="790" t="s">
        <v>75</v>
      </c>
      <c r="C70" s="791">
        <v>0</v>
      </c>
      <c r="D70" s="791">
        <v>0</v>
      </c>
      <c r="E70" s="791">
        <v>0</v>
      </c>
      <c r="F70" s="792" t="str">
        <f t="shared" ref="F70:F84" si="1">+IF(D70=0,"",C70/D70-1)</f>
        <v/>
      </c>
      <c r="J70" s="344"/>
      <c r="K70" s="344"/>
    </row>
    <row r="71" spans="1:11" s="248" customFormat="1" ht="8.4" customHeight="1">
      <c r="A71" s="704" t="s">
        <v>832</v>
      </c>
      <c r="B71" s="705"/>
      <c r="C71" s="706">
        <v>0</v>
      </c>
      <c r="D71" s="706">
        <v>0</v>
      </c>
      <c r="E71" s="706">
        <v>0</v>
      </c>
      <c r="F71" s="716" t="str">
        <f t="shared" si="1"/>
        <v/>
      </c>
      <c r="J71" s="344"/>
      <c r="K71" s="344"/>
    </row>
    <row r="72" spans="1:11" s="248" customFormat="1" ht="8.4" customHeight="1">
      <c r="A72" s="789" t="s">
        <v>183</v>
      </c>
      <c r="B72" s="790" t="s">
        <v>65</v>
      </c>
      <c r="C72" s="791">
        <v>5.4353699999999998</v>
      </c>
      <c r="D72" s="791">
        <v>5.2244299999999999</v>
      </c>
      <c r="E72" s="791">
        <v>5.4709500000000002</v>
      </c>
      <c r="F72" s="792">
        <f t="shared" si="1"/>
        <v>4.0375696487463753E-2</v>
      </c>
      <c r="J72" s="344"/>
      <c r="K72" s="344"/>
    </row>
    <row r="73" spans="1:11" s="248" customFormat="1" ht="8.4" customHeight="1">
      <c r="A73" s="789"/>
      <c r="B73" s="790" t="s">
        <v>235</v>
      </c>
      <c r="C73" s="791">
        <v>237.96039999999996</v>
      </c>
      <c r="D73" s="791">
        <v>225.30285000000001</v>
      </c>
      <c r="E73" s="791">
        <v>226.74612999999999</v>
      </c>
      <c r="F73" s="792">
        <f t="shared" si="1"/>
        <v>5.6180159283382158E-2</v>
      </c>
      <c r="J73" s="344"/>
      <c r="K73" s="344"/>
    </row>
    <row r="74" spans="1:11" s="248" customFormat="1" ht="8.4" customHeight="1">
      <c r="A74" s="789"/>
      <c r="B74" s="790" t="s">
        <v>236</v>
      </c>
      <c r="C74" s="791">
        <v>89.971289999999996</v>
      </c>
      <c r="D74" s="791">
        <v>89.995370000000008</v>
      </c>
      <c r="E74" s="791">
        <v>90.256079999999997</v>
      </c>
      <c r="F74" s="792">
        <f t="shared" si="1"/>
        <v>-2.6756932051075211E-4</v>
      </c>
      <c r="J74" s="344"/>
      <c r="K74" s="344"/>
    </row>
    <row r="75" spans="1:11" s="248" customFormat="1" ht="8.4" customHeight="1">
      <c r="A75" s="789"/>
      <c r="B75" s="790" t="s">
        <v>56</v>
      </c>
      <c r="C75" s="791">
        <v>9.9102599999999992</v>
      </c>
      <c r="D75" s="791">
        <v>9.9143000000000008</v>
      </c>
      <c r="E75" s="791">
        <v>10.345739999999999</v>
      </c>
      <c r="F75" s="792">
        <f t="shared" si="1"/>
        <v>-4.0749220822466903E-4</v>
      </c>
      <c r="J75" s="344"/>
      <c r="K75" s="344"/>
    </row>
    <row r="76" spans="1:11" s="248" customFormat="1" ht="8.4" customHeight="1">
      <c r="A76" s="704" t="s">
        <v>359</v>
      </c>
      <c r="B76" s="705"/>
      <c r="C76" s="706">
        <v>343.27731999999997</v>
      </c>
      <c r="D76" s="706">
        <v>330.43695000000002</v>
      </c>
      <c r="E76" s="706">
        <v>332.81889999999999</v>
      </c>
      <c r="F76" s="716">
        <f t="shared" si="1"/>
        <v>3.8858759590899128E-2</v>
      </c>
      <c r="J76" s="344"/>
      <c r="K76" s="344"/>
    </row>
    <row r="77" spans="1:11" ht="8.4" customHeight="1">
      <c r="A77" s="789" t="s">
        <v>540</v>
      </c>
      <c r="B77" s="790" t="s">
        <v>549</v>
      </c>
      <c r="C77" s="791">
        <v>38.868000000000002</v>
      </c>
      <c r="D77" s="791"/>
      <c r="E77" s="791">
        <v>113.75106</v>
      </c>
      <c r="F77" s="792" t="str">
        <f t="shared" si="1"/>
        <v/>
      </c>
    </row>
    <row r="78" spans="1:11">
      <c r="A78" s="789"/>
      <c r="B78" s="790" t="s">
        <v>316</v>
      </c>
      <c r="C78" s="791">
        <v>127.95399999999999</v>
      </c>
      <c r="D78" s="791"/>
      <c r="E78" s="791">
        <v>110.37488</v>
      </c>
      <c r="F78" s="792" t="str">
        <f t="shared" si="1"/>
        <v/>
      </c>
    </row>
    <row r="79" spans="1:11">
      <c r="A79" s="789"/>
      <c r="B79" s="790" t="s">
        <v>340</v>
      </c>
      <c r="C79" s="791">
        <v>79.938000000000002</v>
      </c>
      <c r="D79" s="791"/>
      <c r="E79" s="791">
        <v>80.901439999999994</v>
      </c>
      <c r="F79" s="792" t="str">
        <f t="shared" si="1"/>
        <v/>
      </c>
    </row>
    <row r="80" spans="1:11">
      <c r="A80" s="789"/>
      <c r="B80" s="790" t="s">
        <v>312</v>
      </c>
      <c r="C80" s="791">
        <v>0.50600000000000001</v>
      </c>
      <c r="D80" s="791"/>
      <c r="E80" s="791">
        <v>0.65542</v>
      </c>
      <c r="F80" s="792" t="str">
        <f t="shared" si="1"/>
        <v/>
      </c>
    </row>
    <row r="81" spans="1:6">
      <c r="A81" s="789"/>
      <c r="B81" s="790" t="s">
        <v>218</v>
      </c>
      <c r="C81" s="791">
        <v>29.904</v>
      </c>
      <c r="D81" s="791"/>
      <c r="E81" s="791">
        <v>30.50675</v>
      </c>
      <c r="F81" s="792" t="str">
        <f t="shared" si="1"/>
        <v/>
      </c>
    </row>
    <row r="82" spans="1:6">
      <c r="A82" s="789"/>
      <c r="B82" s="790" t="s">
        <v>219</v>
      </c>
      <c r="C82" s="791">
        <v>267.255</v>
      </c>
      <c r="D82" s="791"/>
      <c r="E82" s="791">
        <v>263.96755999999999</v>
      </c>
      <c r="F82" s="792" t="str">
        <f t="shared" si="1"/>
        <v/>
      </c>
    </row>
    <row r="83" spans="1:6">
      <c r="A83" s="789"/>
      <c r="B83" s="790" t="s">
        <v>220</v>
      </c>
      <c r="C83" s="791">
        <v>132.06</v>
      </c>
      <c r="D83" s="791"/>
      <c r="E83" s="791">
        <v>132.76614000000001</v>
      </c>
      <c r="F83" s="792" t="str">
        <f t="shared" si="1"/>
        <v/>
      </c>
    </row>
    <row r="84" spans="1:6">
      <c r="A84" s="793"/>
      <c r="B84" s="794" t="s">
        <v>221</v>
      </c>
      <c r="C84" s="795">
        <v>0</v>
      </c>
      <c r="D84" s="795"/>
      <c r="E84" s="795">
        <v>64.367580000000004</v>
      </c>
      <c r="F84" s="796" t="str">
        <f t="shared" si="1"/>
        <v/>
      </c>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V79"/>
  <sheetViews>
    <sheetView showGridLines="0" view="pageBreakPreview" zoomScale="130" zoomScaleNormal="100" zoomScaleSheetLayoutView="130" zoomScalePageLayoutView="130" workbookViewId="0">
      <selection activeCell="D22" sqref="D22"/>
    </sheetView>
  </sheetViews>
  <sheetFormatPr baseColWidth="10" defaultColWidth="9.28515625" defaultRowHeight="9.6"/>
  <cols>
    <col min="1" max="1" width="36.7109375" style="231" customWidth="1"/>
    <col min="2" max="2" width="22.7109375" style="231" customWidth="1"/>
    <col min="3" max="3" width="16.42578125" style="231" customWidth="1"/>
    <col min="4" max="4" width="17.7109375" style="231" customWidth="1"/>
    <col min="5" max="5" width="15.140625" style="231" customWidth="1"/>
    <col min="6" max="6" width="12.85546875" style="231" customWidth="1"/>
    <col min="7" max="16384" width="9.28515625" style="231"/>
  </cols>
  <sheetData>
    <row r="1" spans="1:6" s="248" customFormat="1" ht="11.25" customHeight="1">
      <c r="A1" s="907" t="s">
        <v>191</v>
      </c>
      <c r="B1" s="908" t="s">
        <v>49</v>
      </c>
      <c r="C1" s="908" t="s">
        <v>255</v>
      </c>
      <c r="D1" s="908"/>
      <c r="E1" s="908"/>
      <c r="F1" s="909"/>
    </row>
    <row r="2" spans="1:6" s="248" customFormat="1" ht="11.25" customHeight="1">
      <c r="A2" s="901"/>
      <c r="B2" s="904"/>
      <c r="C2" s="323" t="str">
        <f>UPPER('1. Resumen'!Q4)&amp;" "&amp;'1. Resumen'!Q5</f>
        <v>MAYO 2025</v>
      </c>
      <c r="D2" s="324" t="str">
        <f>UPPER('1. Resumen'!Q4)&amp;" "&amp;'1. Resumen'!Q5-1</f>
        <v>MAYO 2024</v>
      </c>
      <c r="E2" s="324">
        <v>2025</v>
      </c>
      <c r="F2" s="408" t="s">
        <v>584</v>
      </c>
    </row>
    <row r="3" spans="1:6" s="248" customFormat="1" ht="11.25" customHeight="1">
      <c r="A3" s="901"/>
      <c r="B3" s="904"/>
      <c r="C3" s="325">
        <f>'21. ANEXOII-1'!C4</f>
        <v>45779.791666666664</v>
      </c>
      <c r="D3" s="325">
        <f>'21. ANEXOII-1'!D4</f>
        <v>45428.78125</v>
      </c>
      <c r="E3" s="325">
        <f>'21. ANEXOII-1'!E4</f>
        <v>45742.791666666664</v>
      </c>
      <c r="F3" s="409" t="s">
        <v>252</v>
      </c>
    </row>
    <row r="4" spans="1:6" s="248" customFormat="1" ht="11.25" customHeight="1">
      <c r="A4" s="902"/>
      <c r="B4" s="905"/>
      <c r="C4" s="326">
        <f>+'8. Max Potencia'!D9</f>
        <v>45779.791666666664</v>
      </c>
      <c r="D4" s="326">
        <f>+'8. Max Potencia'!E9</f>
        <v>45428.78125</v>
      </c>
      <c r="E4" s="326">
        <f>+'22. ANEXOII-2'!E4</f>
        <v>45742.791666666664</v>
      </c>
      <c r="F4" s="410" t="s">
        <v>253</v>
      </c>
    </row>
    <row r="5" spans="1:6" s="248" customFormat="1" ht="8.4" customHeight="1">
      <c r="A5" s="708"/>
      <c r="B5" s="709" t="s">
        <v>833</v>
      </c>
      <c r="C5" s="710">
        <v>0</v>
      </c>
      <c r="D5" s="710"/>
      <c r="E5" s="710">
        <v>0</v>
      </c>
      <c r="F5" s="718" t="str">
        <f t="shared" ref="F5:F64" si="0">+IF(D5=0,"",C5/D5-1)</f>
        <v/>
      </c>
    </row>
    <row r="6" spans="1:6" s="248" customFormat="1" ht="8.4" customHeight="1">
      <c r="A6" s="708"/>
      <c r="B6" s="709" t="s">
        <v>317</v>
      </c>
      <c r="C6" s="710">
        <v>0</v>
      </c>
      <c r="D6" s="710"/>
      <c r="E6" s="710">
        <v>0</v>
      </c>
      <c r="F6" s="718" t="str">
        <f t="shared" si="0"/>
        <v/>
      </c>
    </row>
    <row r="7" spans="1:6" s="248" customFormat="1" ht="8.4" customHeight="1">
      <c r="A7" s="708"/>
      <c r="B7" s="709" t="s">
        <v>834</v>
      </c>
      <c r="C7" s="710">
        <v>0</v>
      </c>
      <c r="D7" s="710"/>
      <c r="E7" s="710">
        <v>0</v>
      </c>
      <c r="F7" s="718" t="str">
        <f t="shared" si="0"/>
        <v/>
      </c>
    </row>
    <row r="8" spans="1:6" s="248" customFormat="1" ht="8.4" customHeight="1">
      <c r="A8" s="708"/>
      <c r="B8" s="709" t="s">
        <v>222</v>
      </c>
      <c r="C8" s="710">
        <v>0</v>
      </c>
      <c r="D8" s="710"/>
      <c r="E8" s="710">
        <v>0</v>
      </c>
      <c r="F8" s="718" t="str">
        <f t="shared" si="0"/>
        <v/>
      </c>
    </row>
    <row r="9" spans="1:6" s="248" customFormat="1" ht="8.4" customHeight="1">
      <c r="A9" s="708"/>
      <c r="B9" s="709" t="s">
        <v>223</v>
      </c>
      <c r="C9" s="710">
        <v>366.57300000000004</v>
      </c>
      <c r="D9" s="710"/>
      <c r="E9" s="710">
        <v>203.91649000000001</v>
      </c>
      <c r="F9" s="718" t="str">
        <f t="shared" si="0"/>
        <v/>
      </c>
    </row>
    <row r="10" spans="1:6" s="248" customFormat="1" ht="8.4" customHeight="1">
      <c r="A10" s="704" t="s">
        <v>835</v>
      </c>
      <c r="B10" s="705"/>
      <c r="C10" s="706">
        <v>1043.058</v>
      </c>
      <c r="D10" s="706"/>
      <c r="E10" s="706">
        <v>1001.20732</v>
      </c>
      <c r="F10" s="716" t="str">
        <f t="shared" si="0"/>
        <v/>
      </c>
    </row>
    <row r="11" spans="1:6" s="248" customFormat="1" ht="8.4" customHeight="1">
      <c r="A11" s="708" t="s">
        <v>184</v>
      </c>
      <c r="B11" s="709" t="s">
        <v>72</v>
      </c>
      <c r="C11" s="710">
        <v>31.887250000000002</v>
      </c>
      <c r="D11" s="710">
        <v>23.12276</v>
      </c>
      <c r="E11" s="710">
        <v>18.183109999999999</v>
      </c>
      <c r="F11" s="718">
        <f t="shared" si="0"/>
        <v>0.37904168879493638</v>
      </c>
    </row>
    <row r="12" spans="1:6" s="248" customFormat="1" ht="8.4" customHeight="1">
      <c r="A12" s="704" t="s">
        <v>836</v>
      </c>
      <c r="B12" s="705"/>
      <c r="C12" s="706">
        <v>31.887250000000002</v>
      </c>
      <c r="D12" s="706">
        <v>23.12276</v>
      </c>
      <c r="E12" s="706">
        <v>18.183109999999999</v>
      </c>
      <c r="F12" s="716">
        <f t="shared" si="0"/>
        <v>0.37904168879493638</v>
      </c>
    </row>
    <row r="13" spans="1:6" s="248" customFormat="1" ht="8.4" customHeight="1">
      <c r="A13" s="708" t="s">
        <v>92</v>
      </c>
      <c r="B13" s="709" t="s">
        <v>70</v>
      </c>
      <c r="C13" s="710">
        <v>89.719229999999996</v>
      </c>
      <c r="D13" s="710">
        <v>47.28839</v>
      </c>
      <c r="E13" s="710">
        <v>40.891240000000003</v>
      </c>
      <c r="F13" s="718">
        <f t="shared" si="0"/>
        <v>0.89727816912354164</v>
      </c>
    </row>
    <row r="14" spans="1:6" s="248" customFormat="1" ht="8.4" customHeight="1">
      <c r="A14" s="704" t="s">
        <v>837</v>
      </c>
      <c r="B14" s="705"/>
      <c r="C14" s="706">
        <v>89.719229999999996</v>
      </c>
      <c r="D14" s="706">
        <v>47.28839</v>
      </c>
      <c r="E14" s="706">
        <v>40.891240000000003</v>
      </c>
      <c r="F14" s="716">
        <f t="shared" si="0"/>
        <v>0.89727816912354164</v>
      </c>
    </row>
    <row r="15" spans="1:6" s="248" customFormat="1" ht="8.4" customHeight="1">
      <c r="A15" s="708" t="s">
        <v>98</v>
      </c>
      <c r="B15" s="709" t="s">
        <v>175</v>
      </c>
      <c r="C15" s="710">
        <v>0</v>
      </c>
      <c r="D15" s="710">
        <v>0</v>
      </c>
      <c r="E15" s="710">
        <v>0</v>
      </c>
      <c r="F15" s="718" t="str">
        <f t="shared" si="0"/>
        <v/>
      </c>
    </row>
    <row r="16" spans="1:6" s="248" customFormat="1" ht="8.4" customHeight="1">
      <c r="A16" s="704" t="s">
        <v>838</v>
      </c>
      <c r="B16" s="705"/>
      <c r="C16" s="706">
        <v>0</v>
      </c>
      <c r="D16" s="706">
        <v>0</v>
      </c>
      <c r="E16" s="706">
        <v>0</v>
      </c>
      <c r="F16" s="716" t="str">
        <f t="shared" si="0"/>
        <v/>
      </c>
    </row>
    <row r="17" spans="1:6" s="248" customFormat="1" ht="8.4" customHeight="1">
      <c r="A17" s="708" t="s">
        <v>308</v>
      </c>
      <c r="B17" s="709" t="s">
        <v>839</v>
      </c>
      <c r="C17" s="710">
        <v>0</v>
      </c>
      <c r="D17" s="710">
        <v>1.1019000000000001</v>
      </c>
      <c r="E17" s="710">
        <v>2.4059999999999997</v>
      </c>
      <c r="F17" s="718">
        <f t="shared" si="0"/>
        <v>-1</v>
      </c>
    </row>
    <row r="18" spans="1:6" s="248" customFormat="1" ht="8.4" customHeight="1">
      <c r="A18" s="708"/>
      <c r="B18" s="709" t="s">
        <v>840</v>
      </c>
      <c r="C18" s="710">
        <v>0</v>
      </c>
      <c r="D18" s="710">
        <v>2.1730999999999998</v>
      </c>
      <c r="E18" s="710">
        <v>2.4006999999999996</v>
      </c>
      <c r="F18" s="718">
        <f t="shared" si="0"/>
        <v>-1</v>
      </c>
    </row>
    <row r="19" spans="1:6" s="248" customFormat="1" ht="8.4" customHeight="1">
      <c r="A19" s="708"/>
      <c r="B19" s="709" t="s">
        <v>78</v>
      </c>
      <c r="C19" s="710">
        <v>0</v>
      </c>
      <c r="D19" s="710">
        <v>4.2618999999999998</v>
      </c>
      <c r="E19" s="710">
        <v>4.7768999999999995</v>
      </c>
      <c r="F19" s="718">
        <f t="shared" si="0"/>
        <v>-1</v>
      </c>
    </row>
    <row r="20" spans="1:6" s="248" customFormat="1" ht="8.4" customHeight="1">
      <c r="A20" s="708"/>
      <c r="B20" s="709" t="s">
        <v>79</v>
      </c>
      <c r="C20" s="710">
        <v>0</v>
      </c>
      <c r="D20" s="710">
        <v>0</v>
      </c>
      <c r="E20" s="710">
        <v>2.4405999999999999</v>
      </c>
      <c r="F20" s="718" t="str">
        <f t="shared" si="0"/>
        <v/>
      </c>
    </row>
    <row r="21" spans="1:6" s="248" customFormat="1" ht="8.4" customHeight="1">
      <c r="A21" s="704" t="s">
        <v>841</v>
      </c>
      <c r="B21" s="705"/>
      <c r="C21" s="706">
        <v>0</v>
      </c>
      <c r="D21" s="706">
        <v>7.5368999999999993</v>
      </c>
      <c r="E21" s="706">
        <v>12.024199999999999</v>
      </c>
      <c r="F21" s="716">
        <f t="shared" si="0"/>
        <v>-1</v>
      </c>
    </row>
    <row r="22" spans="1:6" s="248" customFormat="1" ht="8.4" customHeight="1">
      <c r="A22" s="708" t="s">
        <v>557</v>
      </c>
      <c r="B22" s="709" t="s">
        <v>344</v>
      </c>
      <c r="C22" s="710">
        <v>19.862760000000002</v>
      </c>
      <c r="D22" s="710">
        <v>19.713660000000001</v>
      </c>
      <c r="E22" s="710">
        <v>10.048970000000001</v>
      </c>
      <c r="F22" s="718">
        <f t="shared" si="0"/>
        <v>7.563283530303444E-3</v>
      </c>
    </row>
    <row r="23" spans="1:6" s="248" customFormat="1" ht="8.4" customHeight="1">
      <c r="A23" s="704" t="s">
        <v>558</v>
      </c>
      <c r="B23" s="705"/>
      <c r="C23" s="706">
        <v>19.862760000000002</v>
      </c>
      <c r="D23" s="706">
        <v>19.713660000000001</v>
      </c>
      <c r="E23" s="706">
        <v>10.048970000000001</v>
      </c>
      <c r="F23" s="716">
        <f t="shared" si="0"/>
        <v>7.563283530303444E-3</v>
      </c>
    </row>
    <row r="24" spans="1:6" s="248" customFormat="1" ht="8.4" customHeight="1">
      <c r="A24" s="708" t="s">
        <v>782</v>
      </c>
      <c r="B24" s="709" t="s">
        <v>842</v>
      </c>
      <c r="C24" s="710">
        <v>0</v>
      </c>
      <c r="D24" s="710">
        <v>0</v>
      </c>
      <c r="E24" s="710">
        <v>0</v>
      </c>
      <c r="F24" s="718" t="str">
        <f t="shared" si="0"/>
        <v/>
      </c>
    </row>
    <row r="25" spans="1:6" s="248" customFormat="1" ht="8.4" customHeight="1">
      <c r="A25" s="704" t="s">
        <v>843</v>
      </c>
      <c r="B25" s="705"/>
      <c r="C25" s="706">
        <v>0</v>
      </c>
      <c r="D25" s="706">
        <v>0</v>
      </c>
      <c r="E25" s="706">
        <v>0</v>
      </c>
      <c r="F25" s="716" t="str">
        <f t="shared" si="0"/>
        <v/>
      </c>
    </row>
    <row r="26" spans="1:6" s="248" customFormat="1" ht="8.4" customHeight="1">
      <c r="A26" s="708" t="s">
        <v>781</v>
      </c>
      <c r="B26" s="709" t="s">
        <v>76</v>
      </c>
      <c r="C26" s="710">
        <v>0</v>
      </c>
      <c r="D26" s="710">
        <v>0</v>
      </c>
      <c r="E26" s="710">
        <v>0</v>
      </c>
      <c r="F26" s="718" t="str">
        <f t="shared" si="0"/>
        <v/>
      </c>
    </row>
    <row r="27" spans="1:6" s="248" customFormat="1" ht="8.4" customHeight="1">
      <c r="A27" s="704" t="s">
        <v>844</v>
      </c>
      <c r="B27" s="705"/>
      <c r="C27" s="706">
        <v>0</v>
      </c>
      <c r="D27" s="706">
        <v>0</v>
      </c>
      <c r="E27" s="706">
        <v>0</v>
      </c>
      <c r="F27" s="716" t="str">
        <f t="shared" si="0"/>
        <v/>
      </c>
    </row>
    <row r="28" spans="1:6" s="248" customFormat="1" ht="8.4" customHeight="1">
      <c r="A28" s="708" t="s">
        <v>328</v>
      </c>
      <c r="B28" s="709" t="s">
        <v>336</v>
      </c>
      <c r="C28" s="710">
        <v>19.969580000000001</v>
      </c>
      <c r="D28" s="710">
        <v>19.919699999999999</v>
      </c>
      <c r="E28" s="710">
        <v>20.05725</v>
      </c>
      <c r="F28" s="718">
        <f t="shared" si="0"/>
        <v>2.5040537759104531E-3</v>
      </c>
    </row>
    <row r="29" spans="1:6" s="248" customFormat="1" ht="8.4" customHeight="1">
      <c r="A29" s="704" t="s">
        <v>845</v>
      </c>
      <c r="B29" s="705"/>
      <c r="C29" s="706">
        <v>19.969580000000001</v>
      </c>
      <c r="D29" s="706">
        <v>19.919699999999999</v>
      </c>
      <c r="E29" s="706">
        <v>20.05725</v>
      </c>
      <c r="F29" s="716">
        <f t="shared" si="0"/>
        <v>2.5040537759104531E-3</v>
      </c>
    </row>
    <row r="30" spans="1:6" s="248" customFormat="1" ht="8.4" customHeight="1">
      <c r="A30" s="708" t="s">
        <v>96</v>
      </c>
      <c r="B30" s="709" t="s">
        <v>55</v>
      </c>
      <c r="C30" s="710">
        <v>18.62726</v>
      </c>
      <c r="D30" s="710">
        <v>18.407959999999999</v>
      </c>
      <c r="E30" s="710">
        <v>17.984189999999998</v>
      </c>
      <c r="F30" s="718">
        <f t="shared" si="0"/>
        <v>1.1913324453117102E-2</v>
      </c>
    </row>
    <row r="31" spans="1:6" s="248" customFormat="1" ht="8.4" customHeight="1">
      <c r="A31" s="704" t="s">
        <v>846</v>
      </c>
      <c r="B31" s="705"/>
      <c r="C31" s="706">
        <v>18.62726</v>
      </c>
      <c r="D31" s="706">
        <v>18.407959999999999</v>
      </c>
      <c r="E31" s="706">
        <v>17.984189999999998</v>
      </c>
      <c r="F31" s="716">
        <f t="shared" si="0"/>
        <v>1.1913324453117102E-2</v>
      </c>
    </row>
    <row r="32" spans="1:6" s="248" customFormat="1" ht="8.4" customHeight="1">
      <c r="A32" s="708" t="s">
        <v>185</v>
      </c>
      <c r="B32" s="709" t="s">
        <v>237</v>
      </c>
      <c r="C32" s="710">
        <v>0</v>
      </c>
      <c r="D32" s="710">
        <v>0</v>
      </c>
      <c r="E32" s="710">
        <v>0</v>
      </c>
      <c r="F32" s="718" t="str">
        <f t="shared" si="0"/>
        <v/>
      </c>
    </row>
    <row r="33" spans="1:6" s="248" customFormat="1" ht="8.4" customHeight="1">
      <c r="A33" s="704" t="s">
        <v>847</v>
      </c>
      <c r="B33" s="705"/>
      <c r="C33" s="706">
        <v>0</v>
      </c>
      <c r="D33" s="706">
        <v>0</v>
      </c>
      <c r="E33" s="706">
        <v>0</v>
      </c>
      <c r="F33" s="716" t="str">
        <f t="shared" si="0"/>
        <v/>
      </c>
    </row>
    <row r="34" spans="1:6" s="248" customFormat="1" ht="8.4" customHeight="1">
      <c r="A34" s="708" t="s">
        <v>89</v>
      </c>
      <c r="B34" s="709" t="s">
        <v>238</v>
      </c>
      <c r="C34" s="710">
        <v>110.63974999999999</v>
      </c>
      <c r="D34" s="710">
        <v>103.10871</v>
      </c>
      <c r="E34" s="710">
        <v>110.92744999999999</v>
      </c>
      <c r="F34" s="718">
        <f t="shared" si="0"/>
        <v>7.3039804299753097E-2</v>
      </c>
    </row>
    <row r="35" spans="1:6" s="248" customFormat="1" ht="8.4" customHeight="1">
      <c r="A35" s="708"/>
      <c r="B35" s="709" t="s">
        <v>848</v>
      </c>
      <c r="C35" s="710">
        <v>1.1660699999999999</v>
      </c>
      <c r="D35" s="710">
        <v>0</v>
      </c>
      <c r="E35" s="710">
        <v>1.2580899999999999</v>
      </c>
      <c r="F35" s="718" t="str">
        <f t="shared" si="0"/>
        <v/>
      </c>
    </row>
    <row r="36" spans="1:6" s="248" customFormat="1" ht="8.4" customHeight="1">
      <c r="A36" s="704" t="s">
        <v>360</v>
      </c>
      <c r="B36" s="705"/>
      <c r="C36" s="706">
        <v>111.80582</v>
      </c>
      <c r="D36" s="706">
        <v>103.10871</v>
      </c>
      <c r="E36" s="706">
        <v>112.18553999999999</v>
      </c>
      <c r="F36" s="716">
        <f t="shared" si="0"/>
        <v>8.434893618589534E-2</v>
      </c>
    </row>
    <row r="37" spans="1:6" s="248" customFormat="1" ht="8.4" customHeight="1">
      <c r="A37" s="708" t="s">
        <v>302</v>
      </c>
      <c r="B37" s="709" t="s">
        <v>304</v>
      </c>
      <c r="C37" s="710">
        <v>20.177289999999999</v>
      </c>
      <c r="D37" s="710">
        <v>20.088930000000001</v>
      </c>
      <c r="E37" s="710">
        <v>20.34056</v>
      </c>
      <c r="F37" s="718">
        <f t="shared" si="0"/>
        <v>4.3984423261964611E-3</v>
      </c>
    </row>
    <row r="38" spans="1:6" s="248" customFormat="1" ht="8.4" customHeight="1">
      <c r="A38" s="704" t="s">
        <v>849</v>
      </c>
      <c r="B38" s="705"/>
      <c r="C38" s="706">
        <v>20.177289999999999</v>
      </c>
      <c r="D38" s="706">
        <v>20.088930000000001</v>
      </c>
      <c r="E38" s="706">
        <v>20.34056</v>
      </c>
      <c r="F38" s="716">
        <f t="shared" si="0"/>
        <v>4.3984423261964611E-3</v>
      </c>
    </row>
    <row r="39" spans="1:6" s="248" customFormat="1" ht="8.4" customHeight="1">
      <c r="A39" s="708" t="s">
        <v>850</v>
      </c>
      <c r="B39" s="709" t="s">
        <v>381</v>
      </c>
      <c r="C39" s="710"/>
      <c r="D39" s="710"/>
      <c r="E39" s="710">
        <v>31.460319999999999</v>
      </c>
      <c r="F39" s="718" t="str">
        <f t="shared" si="0"/>
        <v/>
      </c>
    </row>
    <row r="40" spans="1:6" s="248" customFormat="1" ht="8.4" customHeight="1">
      <c r="A40" s="704" t="s">
        <v>851</v>
      </c>
      <c r="B40" s="705"/>
      <c r="C40" s="706"/>
      <c r="D40" s="706"/>
      <c r="E40" s="706">
        <v>31.460319999999999</v>
      </c>
      <c r="F40" s="716" t="str">
        <f t="shared" si="0"/>
        <v/>
      </c>
    </row>
    <row r="41" spans="1:6" s="248" customFormat="1" ht="8.4" customHeight="1">
      <c r="A41" s="708" t="s">
        <v>108</v>
      </c>
      <c r="B41" s="709" t="s">
        <v>239</v>
      </c>
      <c r="C41" s="710">
        <v>0</v>
      </c>
      <c r="D41" s="710">
        <v>0</v>
      </c>
      <c r="E41" s="710">
        <v>0</v>
      </c>
      <c r="F41" s="718" t="str">
        <f t="shared" si="0"/>
        <v/>
      </c>
    </row>
    <row r="42" spans="1:6" s="248" customFormat="1" ht="8.4" customHeight="1">
      <c r="A42" s="704" t="s">
        <v>361</v>
      </c>
      <c r="B42" s="705"/>
      <c r="C42" s="706">
        <v>0</v>
      </c>
      <c r="D42" s="706">
        <v>0</v>
      </c>
      <c r="E42" s="706">
        <v>0</v>
      </c>
      <c r="F42" s="716" t="str">
        <f t="shared" si="0"/>
        <v/>
      </c>
    </row>
    <row r="43" spans="1:6" s="248" customFormat="1" ht="8.4" customHeight="1">
      <c r="A43" s="708" t="s">
        <v>102</v>
      </c>
      <c r="B43" s="709" t="s">
        <v>337</v>
      </c>
      <c r="C43" s="710">
        <v>19.971540000000001</v>
      </c>
      <c r="D43" s="710">
        <v>19.967260000000003</v>
      </c>
      <c r="E43" s="710">
        <v>20.097769999999997</v>
      </c>
      <c r="F43" s="718">
        <f t="shared" si="0"/>
        <v>2.1435089241084171E-4</v>
      </c>
    </row>
    <row r="44" spans="1:6" s="248" customFormat="1" ht="8.4" customHeight="1">
      <c r="A44" s="708"/>
      <c r="B44" s="709" t="s">
        <v>63</v>
      </c>
      <c r="C44" s="710">
        <v>9.4477499999999992</v>
      </c>
      <c r="D44" s="710">
        <v>5.7888400000000004</v>
      </c>
      <c r="E44" s="710">
        <v>9.2629999999999999</v>
      </c>
      <c r="F44" s="718">
        <f t="shared" si="0"/>
        <v>0.63206272759309257</v>
      </c>
    </row>
    <row r="45" spans="1:6" s="248" customFormat="1" ht="8.4" customHeight="1">
      <c r="A45" s="704" t="s">
        <v>852</v>
      </c>
      <c r="B45" s="705"/>
      <c r="C45" s="706">
        <v>29.41929</v>
      </c>
      <c r="D45" s="706">
        <v>25.756100000000004</v>
      </c>
      <c r="E45" s="706">
        <v>29.360769999999995</v>
      </c>
      <c r="F45" s="716">
        <f t="shared" si="0"/>
        <v>0.14222611342555735</v>
      </c>
    </row>
    <row r="46" spans="1:6" s="248" customFormat="1" ht="8.4" customHeight="1">
      <c r="A46" s="708" t="s">
        <v>84</v>
      </c>
      <c r="B46" s="709" t="s">
        <v>240</v>
      </c>
      <c r="C46" s="710">
        <v>27.04111</v>
      </c>
      <c r="D46" s="710">
        <v>47.083849999999998</v>
      </c>
      <c r="E46" s="710">
        <v>47.2331</v>
      </c>
      <c r="F46" s="718">
        <f t="shared" si="0"/>
        <v>-0.42568184207536131</v>
      </c>
    </row>
    <row r="47" spans="1:6" s="248" customFormat="1" ht="8.4" customHeight="1">
      <c r="A47" s="708"/>
      <c r="B47" s="709" t="s">
        <v>241</v>
      </c>
      <c r="C47" s="710">
        <v>173.08077</v>
      </c>
      <c r="D47" s="710">
        <v>67.847360000000009</v>
      </c>
      <c r="E47" s="710">
        <v>174.1575</v>
      </c>
      <c r="F47" s="718">
        <f t="shared" si="0"/>
        <v>1.5510317571678542</v>
      </c>
    </row>
    <row r="48" spans="1:6" s="248" customFormat="1" ht="8.4" customHeight="1">
      <c r="A48" s="708"/>
      <c r="B48" s="709" t="s">
        <v>242</v>
      </c>
      <c r="C48" s="710">
        <v>37.810639999999999</v>
      </c>
      <c r="D48" s="710">
        <v>27.89123</v>
      </c>
      <c r="E48" s="710">
        <v>39.484480000000005</v>
      </c>
      <c r="F48" s="718">
        <f t="shared" si="0"/>
        <v>0.35564620133282032</v>
      </c>
    </row>
    <row r="49" spans="1:6" s="248" customFormat="1" ht="8.4" customHeight="1">
      <c r="A49" s="708"/>
      <c r="B49" s="709" t="s">
        <v>243</v>
      </c>
      <c r="C49" s="710">
        <v>0</v>
      </c>
      <c r="D49" s="710">
        <v>0</v>
      </c>
      <c r="E49" s="710">
        <v>0</v>
      </c>
      <c r="F49" s="718" t="str">
        <f t="shared" si="0"/>
        <v/>
      </c>
    </row>
    <row r="50" spans="1:6" s="248" customFormat="1" ht="8.4" customHeight="1">
      <c r="A50" s="708"/>
      <c r="B50" s="709" t="s">
        <v>244</v>
      </c>
      <c r="C50" s="710">
        <v>45.819670000000002</v>
      </c>
      <c r="D50" s="710">
        <v>17.301359999999999</v>
      </c>
      <c r="E50" s="710">
        <v>45.91478</v>
      </c>
      <c r="F50" s="718">
        <f t="shared" si="0"/>
        <v>1.6483276459191649</v>
      </c>
    </row>
    <row r="51" spans="1:6" s="248" customFormat="1" ht="8.4" customHeight="1">
      <c r="A51" s="708"/>
      <c r="B51" s="709" t="s">
        <v>245</v>
      </c>
      <c r="C51" s="710">
        <v>3.86212</v>
      </c>
      <c r="D51" s="710">
        <v>3.5291199999999998</v>
      </c>
      <c r="E51" s="710">
        <v>0</v>
      </c>
      <c r="F51" s="718">
        <f t="shared" si="0"/>
        <v>9.4357800244820211E-2</v>
      </c>
    </row>
    <row r="52" spans="1:6" s="248" customFormat="1" ht="8.4" customHeight="1">
      <c r="A52" s="708"/>
      <c r="B52" s="709" t="s">
        <v>246</v>
      </c>
      <c r="C52" s="710">
        <v>0</v>
      </c>
      <c r="D52" s="710">
        <v>8.1573700000000002</v>
      </c>
      <c r="E52" s="710">
        <v>0</v>
      </c>
      <c r="F52" s="718">
        <f t="shared" si="0"/>
        <v>-1</v>
      </c>
    </row>
    <row r="53" spans="1:6" s="248" customFormat="1" ht="8.4" customHeight="1">
      <c r="A53" s="708"/>
      <c r="B53" s="709" t="s">
        <v>554</v>
      </c>
      <c r="C53" s="710">
        <v>8.5466699999999989</v>
      </c>
      <c r="D53" s="710">
        <v>1.2855399999999999</v>
      </c>
      <c r="E53" s="710">
        <v>9.0926799999999997</v>
      </c>
      <c r="F53" s="718">
        <f t="shared" si="0"/>
        <v>5.6483112155203257</v>
      </c>
    </row>
    <row r="54" spans="1:6" s="248" customFormat="1" ht="8.4" customHeight="1">
      <c r="A54" s="708"/>
      <c r="B54" s="709" t="s">
        <v>247</v>
      </c>
      <c r="C54" s="710"/>
      <c r="D54" s="710">
        <v>3.8621800000000004</v>
      </c>
      <c r="E54" s="710"/>
      <c r="F54" s="718">
        <f t="shared" si="0"/>
        <v>-1</v>
      </c>
    </row>
    <row r="55" spans="1:6" s="248" customFormat="1" ht="8.4" customHeight="1">
      <c r="A55" s="708"/>
      <c r="B55" s="709" t="s">
        <v>555</v>
      </c>
      <c r="C55" s="710"/>
      <c r="D55" s="710">
        <v>0</v>
      </c>
      <c r="E55" s="710"/>
      <c r="F55" s="718" t="str">
        <f t="shared" si="0"/>
        <v/>
      </c>
    </row>
    <row r="56" spans="1:6" s="248" customFormat="1" ht="8.4" customHeight="1">
      <c r="A56" s="708"/>
      <c r="B56" s="709" t="s">
        <v>556</v>
      </c>
      <c r="C56" s="710"/>
      <c r="D56" s="710">
        <v>0</v>
      </c>
      <c r="E56" s="710"/>
      <c r="F56" s="718" t="str">
        <f t="shared" si="0"/>
        <v/>
      </c>
    </row>
    <row r="57" spans="1:6" s="248" customFormat="1" ht="8.4" customHeight="1">
      <c r="A57" s="708"/>
      <c r="B57" s="709" t="s">
        <v>248</v>
      </c>
      <c r="C57" s="710">
        <v>108.58317000000001</v>
      </c>
      <c r="D57" s="710">
        <v>107.8751</v>
      </c>
      <c r="E57" s="710">
        <v>108.87873</v>
      </c>
      <c r="F57" s="718">
        <f t="shared" si="0"/>
        <v>6.563794610619178E-3</v>
      </c>
    </row>
    <row r="58" spans="1:6" s="248" customFormat="1" ht="8.4" customHeight="1">
      <c r="A58" s="704" t="s">
        <v>853</v>
      </c>
      <c r="B58" s="705"/>
      <c r="C58" s="706">
        <v>404.74415000000005</v>
      </c>
      <c r="D58" s="706">
        <v>284.83311000000003</v>
      </c>
      <c r="E58" s="706">
        <v>424.76127000000002</v>
      </c>
      <c r="F58" s="716">
        <f t="shared" si="0"/>
        <v>0.42098701235962355</v>
      </c>
    </row>
    <row r="59" spans="1:6" s="248" customFormat="1" ht="8.4" customHeight="1">
      <c r="A59" s="708" t="s">
        <v>100</v>
      </c>
      <c r="B59" s="709" t="s">
        <v>174</v>
      </c>
      <c r="C59" s="710">
        <v>0</v>
      </c>
      <c r="D59" s="710">
        <v>0</v>
      </c>
      <c r="E59" s="710">
        <v>0</v>
      </c>
      <c r="F59" s="718" t="str">
        <f t="shared" si="0"/>
        <v/>
      </c>
    </row>
    <row r="60" spans="1:6" s="248" customFormat="1" ht="8.4" customHeight="1">
      <c r="A60" s="704" t="s">
        <v>854</v>
      </c>
      <c r="B60" s="705"/>
      <c r="C60" s="706">
        <v>0</v>
      </c>
      <c r="D60" s="706">
        <v>0</v>
      </c>
      <c r="E60" s="706">
        <v>0</v>
      </c>
      <c r="F60" s="716" t="str">
        <f t="shared" si="0"/>
        <v/>
      </c>
    </row>
    <row r="61" spans="1:6" s="248" customFormat="1" ht="8.4" customHeight="1">
      <c r="A61" s="708" t="s">
        <v>93</v>
      </c>
      <c r="B61" s="709" t="s">
        <v>320</v>
      </c>
      <c r="C61" s="710">
        <v>0</v>
      </c>
      <c r="D61" s="710">
        <v>0</v>
      </c>
      <c r="E61" s="710">
        <v>0</v>
      </c>
      <c r="F61" s="718" t="str">
        <f t="shared" si="0"/>
        <v/>
      </c>
    </row>
    <row r="62" spans="1:6" s="248" customFormat="1" ht="8.4" customHeight="1">
      <c r="A62" s="704" t="s">
        <v>362</v>
      </c>
      <c r="B62" s="705"/>
      <c r="C62" s="706">
        <v>0</v>
      </c>
      <c r="D62" s="706">
        <v>0</v>
      </c>
      <c r="E62" s="706">
        <v>0</v>
      </c>
      <c r="F62" s="716" t="str">
        <f t="shared" si="0"/>
        <v/>
      </c>
    </row>
    <row r="63" spans="1:6" s="248" customFormat="1" ht="8.4" customHeight="1">
      <c r="A63" s="708" t="s">
        <v>97</v>
      </c>
      <c r="B63" s="709" t="s">
        <v>249</v>
      </c>
      <c r="C63" s="710">
        <v>0</v>
      </c>
      <c r="D63" s="710">
        <v>0</v>
      </c>
      <c r="E63" s="710">
        <v>0</v>
      </c>
      <c r="F63" s="718" t="str">
        <f t="shared" si="0"/>
        <v/>
      </c>
    </row>
    <row r="64" spans="1:6" s="248" customFormat="1" ht="8.4" customHeight="1">
      <c r="A64" s="704" t="s">
        <v>363</v>
      </c>
      <c r="B64" s="705"/>
      <c r="C64" s="706">
        <v>0</v>
      </c>
      <c r="D64" s="706">
        <v>0</v>
      </c>
      <c r="E64" s="706">
        <v>0</v>
      </c>
      <c r="F64" s="716" t="str">
        <f t="shared" si="0"/>
        <v/>
      </c>
    </row>
    <row r="65" spans="1:22" s="273" customFormat="1" ht="10.199999999999999" customHeight="1">
      <c r="A65" s="406" t="s">
        <v>303</v>
      </c>
      <c r="B65" s="413"/>
      <c r="C65" s="584">
        <v>7588.0066500000003</v>
      </c>
      <c r="D65" s="584">
        <v>7431.3106799999996</v>
      </c>
      <c r="E65" s="584">
        <v>7941.7789699999985</v>
      </c>
      <c r="F65" s="585">
        <f t="shared" ref="F65" si="1">+IF(D65=0,"",C65/D65-1)</f>
        <v>2.108591293615536E-2</v>
      </c>
      <c r="G65" s="231"/>
      <c r="H65" s="231"/>
      <c r="I65" s="231"/>
      <c r="J65" s="231"/>
      <c r="K65" s="231"/>
      <c r="L65" s="231"/>
      <c r="M65" s="231"/>
      <c r="N65" s="231"/>
      <c r="O65" s="231"/>
      <c r="P65" s="231"/>
      <c r="Q65" s="231"/>
      <c r="R65" s="231"/>
      <c r="S65" s="231"/>
      <c r="T65" s="231"/>
      <c r="U65" s="231"/>
      <c r="V65" s="231"/>
    </row>
    <row r="66" spans="1:22" s="273" customFormat="1" ht="10.199999999999999" customHeight="1">
      <c r="A66" s="329" t="s">
        <v>250</v>
      </c>
      <c r="B66" s="320"/>
      <c r="C66" s="319">
        <f>+'8. Max Potencia'!D17</f>
        <v>0</v>
      </c>
      <c r="D66" s="319">
        <f>+'8. Max Potencia'!E17</f>
        <v>0</v>
      </c>
      <c r="E66" s="322">
        <f>+'8. Max Potencia'!G17</f>
        <v>0</v>
      </c>
      <c r="F66" s="412">
        <v>0</v>
      </c>
      <c r="G66" s="231"/>
      <c r="H66" s="231"/>
      <c r="I66" s="231"/>
      <c r="J66" s="231"/>
      <c r="K66" s="231"/>
      <c r="L66" s="231"/>
      <c r="M66" s="231"/>
      <c r="N66" s="231"/>
      <c r="O66" s="231"/>
      <c r="P66" s="231"/>
      <c r="Q66" s="231"/>
      <c r="R66" s="231"/>
      <c r="S66" s="231"/>
      <c r="T66" s="231"/>
      <c r="U66" s="231"/>
      <c r="V66" s="231"/>
    </row>
    <row r="67" spans="1:22" s="273" customFormat="1" ht="10.199999999999999" customHeight="1">
      <c r="A67" s="413" t="s">
        <v>251</v>
      </c>
      <c r="B67" s="413"/>
      <c r="C67" s="319">
        <f>+'8. Max Potencia'!D18</f>
        <v>0</v>
      </c>
      <c r="D67" s="319">
        <v>0</v>
      </c>
      <c r="E67" s="322">
        <f>+'8. Max Potencia'!G18</f>
        <v>0</v>
      </c>
      <c r="F67" s="412">
        <v>0</v>
      </c>
      <c r="G67" s="231"/>
      <c r="H67" s="231"/>
      <c r="I67" s="231"/>
      <c r="J67" s="231"/>
      <c r="K67" s="231"/>
      <c r="L67" s="231"/>
      <c r="M67" s="231"/>
      <c r="N67" s="231"/>
      <c r="O67" s="231"/>
      <c r="P67" s="231"/>
      <c r="Q67" s="231"/>
      <c r="R67" s="231"/>
      <c r="S67" s="231"/>
      <c r="T67" s="231"/>
      <c r="U67" s="231"/>
      <c r="V67" s="231"/>
    </row>
    <row r="68" spans="1:22" ht="10.199999999999999" customHeight="1">
      <c r="A68" s="445" t="s">
        <v>578</v>
      </c>
      <c r="B68" s="413"/>
      <c r="C68" s="319">
        <f>+C65+C66-C67</f>
        <v>7588.0066500000003</v>
      </c>
      <c r="D68" s="319">
        <f t="shared" ref="D68:E68" si="2">+D65+D66-D67</f>
        <v>7431.3106799999996</v>
      </c>
      <c r="E68" s="319">
        <f t="shared" si="2"/>
        <v>7941.7789699999985</v>
      </c>
      <c r="F68" s="411">
        <f>+IF(D68=0,"",C68/D68-1)</f>
        <v>2.108591293615536E-2</v>
      </c>
    </row>
    <row r="69" spans="1:22">
      <c r="A69" s="248"/>
    </row>
    <row r="70" spans="1:22" ht="27.75" customHeight="1">
      <c r="A70" s="899" t="s">
        <v>527</v>
      </c>
      <c r="B70" s="899"/>
      <c r="C70" s="899"/>
      <c r="D70" s="899"/>
      <c r="E70" s="899"/>
      <c r="F70" s="899"/>
    </row>
    <row r="71" spans="1:22" ht="18" customHeight="1">
      <c r="A71" s="899" t="s">
        <v>372</v>
      </c>
      <c r="B71" s="899"/>
      <c r="C71" s="899"/>
      <c r="D71" s="899"/>
      <c r="E71" s="899"/>
      <c r="F71" s="899"/>
    </row>
    <row r="72" spans="1:22" ht="13.8" customHeight="1">
      <c r="A72" s="910"/>
      <c r="B72" s="910"/>
      <c r="C72" s="910"/>
      <c r="D72" s="910"/>
      <c r="E72" s="910"/>
      <c r="F72" s="910"/>
      <c r="G72" s="436"/>
    </row>
    <row r="73" spans="1:22" ht="12" customHeight="1">
      <c r="A73" s="436" t="s">
        <v>576</v>
      </c>
      <c r="B73" s="549"/>
      <c r="C73" s="549"/>
      <c r="D73" s="549"/>
      <c r="E73" s="549"/>
      <c r="F73" s="549"/>
      <c r="G73" s="436"/>
    </row>
    <row r="74" spans="1:22" ht="12" customHeight="1">
      <c r="A74" s="436" t="s">
        <v>589</v>
      </c>
      <c r="B74" s="549"/>
      <c r="C74" s="549"/>
      <c r="D74" s="549"/>
      <c r="E74" s="549"/>
      <c r="F74" s="549"/>
      <c r="G74" s="436"/>
    </row>
    <row r="75" spans="1:22" ht="12" customHeight="1">
      <c r="A75" s="436" t="s">
        <v>616</v>
      </c>
      <c r="B75" s="549"/>
      <c r="C75" s="549"/>
      <c r="D75" s="549"/>
      <c r="E75" s="549"/>
      <c r="F75" s="549"/>
      <c r="G75" s="436"/>
    </row>
    <row r="76" spans="1:22" ht="12" customHeight="1">
      <c r="A76" s="436" t="s">
        <v>769</v>
      </c>
      <c r="B76" s="549"/>
      <c r="C76" s="549"/>
      <c r="D76" s="549"/>
      <c r="E76" s="549"/>
      <c r="F76" s="549"/>
      <c r="G76" s="436"/>
    </row>
    <row r="77" spans="1:22" ht="12" customHeight="1">
      <c r="A77" s="436" t="s">
        <v>632</v>
      </c>
      <c r="B77" s="549"/>
      <c r="C77" s="549"/>
      <c r="D77" s="549"/>
      <c r="E77" s="549"/>
      <c r="F77" s="549"/>
      <c r="G77" s="436"/>
    </row>
    <row r="78" spans="1:22" ht="9.6" customHeight="1">
      <c r="A78" s="436"/>
    </row>
    <row r="79" spans="1:22" ht="9.6" customHeight="1">
      <c r="A79" s="436"/>
    </row>
  </sheetData>
  <mergeCells count="6">
    <mergeCell ref="A1:A4"/>
    <mergeCell ref="B1:B4"/>
    <mergeCell ref="C1:F1"/>
    <mergeCell ref="A70:F70"/>
    <mergeCell ref="A72:F72"/>
    <mergeCell ref="A71:F71"/>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42"/>
  <sheetViews>
    <sheetView showGridLines="0" view="pageBreakPreview" zoomScaleNormal="100" zoomScaleSheetLayoutView="100" zoomScalePageLayoutView="115" workbookViewId="0">
      <selection activeCell="D22" sqref="D22"/>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4" t="s">
        <v>263</v>
      </c>
      <c r="B3" s="232"/>
    </row>
    <row r="4" spans="1:13" ht="11.25" customHeight="1">
      <c r="B4" s="232"/>
    </row>
    <row r="5" spans="1:13" ht="11.25" customHeight="1">
      <c r="A5" s="233" t="s">
        <v>307</v>
      </c>
      <c r="C5" s="656">
        <v>7588.0066500000003</v>
      </c>
    </row>
    <row r="6" spans="1:13" ht="11.25" customHeight="1">
      <c r="A6" s="233" t="s">
        <v>264</v>
      </c>
      <c r="C6" s="656" t="s">
        <v>731</v>
      </c>
    </row>
    <row r="7" spans="1:13" ht="11.25" customHeight="1">
      <c r="A7" s="233" t="s">
        <v>265</v>
      </c>
      <c r="C7" s="656" t="s">
        <v>617</v>
      </c>
    </row>
    <row r="8" spans="1:13" ht="11.25" customHeight="1"/>
    <row r="9" spans="1:13" ht="14.25" customHeight="1">
      <c r="A9" s="911" t="s">
        <v>256</v>
      </c>
      <c r="B9" s="914" t="s">
        <v>257</v>
      </c>
      <c r="C9" s="915"/>
      <c r="D9" s="915"/>
      <c r="E9" s="915"/>
      <c r="F9" s="916"/>
      <c r="G9" s="914" t="s">
        <v>258</v>
      </c>
      <c r="H9" s="915"/>
      <c r="I9" s="915"/>
      <c r="J9" s="915"/>
      <c r="K9" s="916"/>
    </row>
    <row r="10" spans="1:13" ht="26.25" customHeight="1">
      <c r="A10" s="912"/>
      <c r="B10" s="327" t="s">
        <v>259</v>
      </c>
      <c r="C10" s="327" t="s">
        <v>146</v>
      </c>
      <c r="D10" s="327" t="s">
        <v>250</v>
      </c>
      <c r="E10" s="327" t="s">
        <v>251</v>
      </c>
      <c r="F10" s="328" t="s">
        <v>262</v>
      </c>
      <c r="G10" s="327" t="s">
        <v>259</v>
      </c>
      <c r="H10" s="327" t="s">
        <v>146</v>
      </c>
      <c r="I10" s="327" t="s">
        <v>250</v>
      </c>
      <c r="J10" s="327" t="s">
        <v>251</v>
      </c>
      <c r="K10" s="328" t="s">
        <v>262</v>
      </c>
      <c r="L10" s="30"/>
      <c r="M10" s="39"/>
    </row>
    <row r="11" spans="1:13" ht="11.25" customHeight="1">
      <c r="A11" s="913"/>
      <c r="B11" s="327" t="s">
        <v>260</v>
      </c>
      <c r="C11" s="327" t="s">
        <v>261</v>
      </c>
      <c r="D11" s="327" t="s">
        <v>261</v>
      </c>
      <c r="E11" s="327" t="s">
        <v>261</v>
      </c>
      <c r="F11" s="327" t="s">
        <v>261</v>
      </c>
      <c r="G11" s="327" t="s">
        <v>260</v>
      </c>
      <c r="H11" s="327" t="s">
        <v>261</v>
      </c>
      <c r="I11" s="327" t="s">
        <v>261</v>
      </c>
      <c r="J11" s="327" t="s">
        <v>261</v>
      </c>
      <c r="K11" s="327" t="s">
        <v>261</v>
      </c>
      <c r="L11" s="30"/>
      <c r="M11" s="39"/>
    </row>
    <row r="12" spans="1:13" ht="13.8" customHeight="1">
      <c r="A12" s="774" t="s">
        <v>732</v>
      </c>
      <c r="B12" s="775" t="s">
        <v>342</v>
      </c>
      <c r="C12" s="775">
        <v>6610.9341700000004</v>
      </c>
      <c r="D12" s="775">
        <v>0</v>
      </c>
      <c r="E12" s="775">
        <v>0</v>
      </c>
      <c r="F12" s="775">
        <v>6610.9341700000004</v>
      </c>
      <c r="G12" s="775" t="s">
        <v>537</v>
      </c>
      <c r="H12" s="775">
        <v>7026.2156599999998</v>
      </c>
      <c r="I12" s="775">
        <v>0</v>
      </c>
      <c r="J12" s="775">
        <v>0</v>
      </c>
      <c r="K12" s="775">
        <v>7026.2156599999998</v>
      </c>
      <c r="L12" s="170"/>
      <c r="M12" s="39"/>
    </row>
    <row r="13" spans="1:13" ht="13.8" customHeight="1">
      <c r="A13" s="774" t="s">
        <v>731</v>
      </c>
      <c r="B13" s="775" t="s">
        <v>630</v>
      </c>
      <c r="C13" s="775">
        <v>7553.6180599999998</v>
      </c>
      <c r="D13" s="775">
        <v>0</v>
      </c>
      <c r="E13" s="775">
        <v>0</v>
      </c>
      <c r="F13" s="775">
        <v>7553.6180599999998</v>
      </c>
      <c r="G13" s="776" t="s">
        <v>617</v>
      </c>
      <c r="H13" s="776">
        <v>7588.0066500000003</v>
      </c>
      <c r="I13" s="776">
        <v>0</v>
      </c>
      <c r="J13" s="776">
        <v>0</v>
      </c>
      <c r="K13" s="776">
        <v>7588.0066500000003</v>
      </c>
      <c r="L13" s="4"/>
    </row>
    <row r="14" spans="1:13" ht="13.8" customHeight="1">
      <c r="A14" s="774" t="s">
        <v>733</v>
      </c>
      <c r="B14" s="775" t="s">
        <v>342</v>
      </c>
      <c r="C14" s="775">
        <v>7500.34483</v>
      </c>
      <c r="D14" s="775">
        <v>0</v>
      </c>
      <c r="E14" s="775">
        <v>0</v>
      </c>
      <c r="F14" s="775">
        <v>7500.34483</v>
      </c>
      <c r="G14" s="775" t="s">
        <v>627</v>
      </c>
      <c r="H14" s="775">
        <v>7523.6839499999996</v>
      </c>
      <c r="I14" s="775">
        <v>0</v>
      </c>
      <c r="J14" s="775">
        <v>0</v>
      </c>
      <c r="K14" s="775">
        <v>7523.6839499999996</v>
      </c>
      <c r="L14" s="11"/>
    </row>
    <row r="15" spans="1:13" ht="13.8" customHeight="1">
      <c r="A15" s="774" t="s">
        <v>734</v>
      </c>
      <c r="B15" s="775" t="s">
        <v>629</v>
      </c>
      <c r="C15" s="775">
        <v>6626.3200299999999</v>
      </c>
      <c r="D15" s="775">
        <v>0</v>
      </c>
      <c r="E15" s="775">
        <v>0</v>
      </c>
      <c r="F15" s="775">
        <v>6626.3200299999999</v>
      </c>
      <c r="G15" s="775" t="s">
        <v>537</v>
      </c>
      <c r="H15" s="775">
        <v>7484.1749300000001</v>
      </c>
      <c r="I15" s="775">
        <v>0</v>
      </c>
      <c r="J15" s="775">
        <v>0</v>
      </c>
      <c r="K15" s="775">
        <v>7484.1749300000001</v>
      </c>
      <c r="L15" s="8"/>
    </row>
    <row r="16" spans="1:13" ht="13.8" customHeight="1">
      <c r="A16" s="774" t="s">
        <v>735</v>
      </c>
      <c r="B16" s="775" t="s">
        <v>343</v>
      </c>
      <c r="C16" s="775">
        <v>7615.3700699999999</v>
      </c>
      <c r="D16" s="775">
        <v>0</v>
      </c>
      <c r="E16" s="775">
        <v>0</v>
      </c>
      <c r="F16" s="775">
        <v>7615.3700699999999</v>
      </c>
      <c r="G16" s="775" t="s">
        <v>617</v>
      </c>
      <c r="H16" s="775">
        <v>7383.0900199999996</v>
      </c>
      <c r="I16" s="775">
        <v>0</v>
      </c>
      <c r="J16" s="775">
        <v>0</v>
      </c>
      <c r="K16" s="775">
        <v>7383.0900199999996</v>
      </c>
      <c r="L16" s="18"/>
    </row>
    <row r="17" spans="1:12" ht="13.8" customHeight="1">
      <c r="A17" s="774" t="s">
        <v>736</v>
      </c>
      <c r="B17" s="776" t="s">
        <v>343</v>
      </c>
      <c r="C17" s="776">
        <v>7701.7213899999997</v>
      </c>
      <c r="D17" s="776">
        <v>0</v>
      </c>
      <c r="E17" s="776">
        <v>0</v>
      </c>
      <c r="F17" s="776">
        <v>7701.7213899999997</v>
      </c>
      <c r="G17" s="775" t="s">
        <v>627</v>
      </c>
      <c r="H17" s="775">
        <v>7568.9367199999997</v>
      </c>
      <c r="I17" s="775">
        <v>0</v>
      </c>
      <c r="J17" s="775">
        <v>0</v>
      </c>
      <c r="K17" s="775">
        <v>7568.9367199999997</v>
      </c>
      <c r="L17" s="18"/>
    </row>
    <row r="18" spans="1:12" ht="13.8" customHeight="1">
      <c r="A18" s="774" t="s">
        <v>737</v>
      </c>
      <c r="B18" s="775" t="s">
        <v>343</v>
      </c>
      <c r="C18" s="775">
        <v>7686.5113600000004</v>
      </c>
      <c r="D18" s="775">
        <v>0</v>
      </c>
      <c r="E18" s="775">
        <v>0</v>
      </c>
      <c r="F18" s="775">
        <v>7686.5113600000004</v>
      </c>
      <c r="G18" s="775" t="s">
        <v>627</v>
      </c>
      <c r="H18" s="775">
        <v>7562.0190599999996</v>
      </c>
      <c r="I18" s="775">
        <v>0</v>
      </c>
      <c r="J18" s="775">
        <v>0</v>
      </c>
      <c r="K18" s="775">
        <v>7562.0190599999996</v>
      </c>
      <c r="L18" s="18"/>
    </row>
    <row r="19" spans="1:12" ht="13.8" customHeight="1">
      <c r="A19" s="774" t="s">
        <v>738</v>
      </c>
      <c r="B19" s="775" t="s">
        <v>343</v>
      </c>
      <c r="C19" s="775">
        <v>7511.9310100000002</v>
      </c>
      <c r="D19" s="775">
        <v>0</v>
      </c>
      <c r="E19" s="775">
        <v>0</v>
      </c>
      <c r="F19" s="775">
        <v>7511.9310100000002</v>
      </c>
      <c r="G19" s="775" t="s">
        <v>617</v>
      </c>
      <c r="H19" s="775">
        <v>7365.7590300000002</v>
      </c>
      <c r="I19" s="775">
        <v>0</v>
      </c>
      <c r="J19" s="775">
        <v>0</v>
      </c>
      <c r="K19" s="775">
        <v>7365.7590300000002</v>
      </c>
      <c r="L19" s="18"/>
    </row>
    <row r="20" spans="1:12" ht="13.8" customHeight="1">
      <c r="A20" s="774" t="s">
        <v>739</v>
      </c>
      <c r="B20" s="775" t="s">
        <v>560</v>
      </c>
      <c r="C20" s="775">
        <v>7244.4142199999997</v>
      </c>
      <c r="D20" s="775">
        <v>0</v>
      </c>
      <c r="E20" s="775">
        <v>0</v>
      </c>
      <c r="F20" s="775">
        <v>7244.4142199999997</v>
      </c>
      <c r="G20" s="775" t="s">
        <v>627</v>
      </c>
      <c r="H20" s="775">
        <v>7288.31754</v>
      </c>
      <c r="I20" s="775">
        <v>0</v>
      </c>
      <c r="J20" s="775">
        <v>0</v>
      </c>
      <c r="K20" s="775">
        <v>7288.31754</v>
      </c>
      <c r="L20" s="20"/>
    </row>
    <row r="21" spans="1:12" ht="13.8" customHeight="1">
      <c r="A21" s="774" t="s">
        <v>740</v>
      </c>
      <c r="B21" s="775" t="s">
        <v>342</v>
      </c>
      <c r="C21" s="775">
        <v>7261.4709199999998</v>
      </c>
      <c r="D21" s="775">
        <v>0</v>
      </c>
      <c r="E21" s="775">
        <v>0</v>
      </c>
      <c r="F21" s="775">
        <v>7261.4709199999998</v>
      </c>
      <c r="G21" s="775" t="s">
        <v>627</v>
      </c>
      <c r="H21" s="775">
        <v>7228.4719699999996</v>
      </c>
      <c r="I21" s="775">
        <v>0</v>
      </c>
      <c r="J21" s="775">
        <v>0</v>
      </c>
      <c r="K21" s="775">
        <v>7228.4719699999996</v>
      </c>
      <c r="L21" s="18"/>
    </row>
    <row r="22" spans="1:12" ht="13.8" customHeight="1">
      <c r="A22" s="774" t="s">
        <v>741</v>
      </c>
      <c r="B22" s="775" t="s">
        <v>742</v>
      </c>
      <c r="C22" s="775">
        <v>6423.4638599999998</v>
      </c>
      <c r="D22" s="775">
        <v>0</v>
      </c>
      <c r="E22" s="775">
        <v>0</v>
      </c>
      <c r="F22" s="775">
        <v>6423.4638599999998</v>
      </c>
      <c r="G22" s="775" t="s">
        <v>743</v>
      </c>
      <c r="H22" s="775">
        <v>6941.1574899999996</v>
      </c>
      <c r="I22" s="775">
        <v>0</v>
      </c>
      <c r="J22" s="775">
        <v>0</v>
      </c>
      <c r="K22" s="775">
        <v>6941.1574899999996</v>
      </c>
      <c r="L22" s="18"/>
    </row>
    <row r="23" spans="1:12" ht="13.8" customHeight="1">
      <c r="A23" s="774" t="s">
        <v>744</v>
      </c>
      <c r="B23" s="775" t="s">
        <v>587</v>
      </c>
      <c r="C23" s="775">
        <v>7392.4771300000002</v>
      </c>
      <c r="D23" s="775">
        <v>0</v>
      </c>
      <c r="E23" s="775">
        <v>0</v>
      </c>
      <c r="F23" s="775">
        <v>7392.4771300000002</v>
      </c>
      <c r="G23" s="775" t="s">
        <v>627</v>
      </c>
      <c r="H23" s="775">
        <v>7500.6516000000001</v>
      </c>
      <c r="I23" s="775">
        <v>0</v>
      </c>
      <c r="J23" s="775">
        <v>0</v>
      </c>
      <c r="K23" s="775">
        <v>7500.6516000000001</v>
      </c>
      <c r="L23" s="18"/>
    </row>
    <row r="24" spans="1:12" ht="13.8" customHeight="1">
      <c r="A24" s="774" t="s">
        <v>745</v>
      </c>
      <c r="B24" s="775" t="s">
        <v>343</v>
      </c>
      <c r="C24" s="775">
        <v>7654.2124599999997</v>
      </c>
      <c r="D24" s="775">
        <v>0</v>
      </c>
      <c r="E24" s="775">
        <v>0</v>
      </c>
      <c r="F24" s="775">
        <v>7654.2124599999997</v>
      </c>
      <c r="G24" s="775" t="s">
        <v>746</v>
      </c>
      <c r="H24" s="775">
        <v>7525.52621</v>
      </c>
      <c r="I24" s="775">
        <v>0</v>
      </c>
      <c r="J24" s="775">
        <v>0</v>
      </c>
      <c r="K24" s="775">
        <v>7525.52621</v>
      </c>
      <c r="L24" s="18"/>
    </row>
    <row r="25" spans="1:12" ht="13.8" customHeight="1">
      <c r="A25" s="774" t="s">
        <v>747</v>
      </c>
      <c r="B25" s="775" t="s">
        <v>342</v>
      </c>
      <c r="C25" s="775">
        <v>7647.7127300000002</v>
      </c>
      <c r="D25" s="775">
        <v>0</v>
      </c>
      <c r="E25" s="775">
        <v>0</v>
      </c>
      <c r="F25" s="775">
        <v>7647.7127300000002</v>
      </c>
      <c r="G25" s="775" t="s">
        <v>746</v>
      </c>
      <c r="H25" s="775">
        <v>7385.1640100000004</v>
      </c>
      <c r="I25" s="775">
        <v>0</v>
      </c>
      <c r="J25" s="775">
        <v>0</v>
      </c>
      <c r="K25" s="775">
        <v>7385.1640100000004</v>
      </c>
      <c r="L25" s="18"/>
    </row>
    <row r="26" spans="1:12" ht="13.8" customHeight="1">
      <c r="A26" s="774" t="s">
        <v>748</v>
      </c>
      <c r="B26" s="775" t="s">
        <v>343</v>
      </c>
      <c r="C26" s="775">
        <v>7629.8467499999997</v>
      </c>
      <c r="D26" s="775">
        <v>0</v>
      </c>
      <c r="E26" s="775">
        <v>0</v>
      </c>
      <c r="F26" s="775">
        <v>7629.8467499999997</v>
      </c>
      <c r="G26" s="775" t="s">
        <v>627</v>
      </c>
      <c r="H26" s="775">
        <v>7565.78766</v>
      </c>
      <c r="I26" s="775">
        <v>0</v>
      </c>
      <c r="J26" s="775">
        <v>0</v>
      </c>
      <c r="K26" s="775">
        <v>7565.78766</v>
      </c>
      <c r="L26" s="18"/>
    </row>
    <row r="27" spans="1:12" ht="13.8" customHeight="1">
      <c r="A27" s="774" t="s">
        <v>749</v>
      </c>
      <c r="B27" s="775" t="s">
        <v>628</v>
      </c>
      <c r="C27" s="775">
        <v>7632.0797300000004</v>
      </c>
      <c r="D27" s="775">
        <v>0</v>
      </c>
      <c r="E27" s="775">
        <v>0</v>
      </c>
      <c r="F27" s="775">
        <v>7632.0797300000004</v>
      </c>
      <c r="G27" s="775" t="s">
        <v>627</v>
      </c>
      <c r="H27" s="775">
        <v>7440.3887599999998</v>
      </c>
      <c r="I27" s="775">
        <v>0</v>
      </c>
      <c r="J27" s="775">
        <v>0</v>
      </c>
      <c r="K27" s="775">
        <v>7440.3887599999998</v>
      </c>
      <c r="L27" s="18"/>
    </row>
    <row r="28" spans="1:12" ht="13.8" customHeight="1">
      <c r="A28" s="774" t="s">
        <v>750</v>
      </c>
      <c r="B28" s="775" t="s">
        <v>343</v>
      </c>
      <c r="C28" s="775">
        <v>7329.5487800000001</v>
      </c>
      <c r="D28" s="775">
        <v>0</v>
      </c>
      <c r="E28" s="775">
        <v>0</v>
      </c>
      <c r="F28" s="775">
        <v>7329.5487800000001</v>
      </c>
      <c r="G28" s="775" t="s">
        <v>586</v>
      </c>
      <c r="H28" s="775">
        <v>7344.6983499999997</v>
      </c>
      <c r="I28" s="775">
        <v>0</v>
      </c>
      <c r="J28" s="775">
        <v>0</v>
      </c>
      <c r="K28" s="775">
        <v>7344.6983499999997</v>
      </c>
      <c r="L28" s="18"/>
    </row>
    <row r="29" spans="1:12" ht="13.8" customHeight="1">
      <c r="A29" s="774" t="s">
        <v>751</v>
      </c>
      <c r="B29" s="775" t="s">
        <v>752</v>
      </c>
      <c r="C29" s="775">
        <v>6531.2667899999997</v>
      </c>
      <c r="D29" s="775">
        <v>0</v>
      </c>
      <c r="E29" s="775">
        <v>0</v>
      </c>
      <c r="F29" s="775">
        <v>6531.2667899999997</v>
      </c>
      <c r="G29" s="775" t="s">
        <v>535</v>
      </c>
      <c r="H29" s="775">
        <v>7282.3482000000004</v>
      </c>
      <c r="I29" s="775">
        <v>0</v>
      </c>
      <c r="J29" s="775">
        <v>0</v>
      </c>
      <c r="K29" s="775">
        <v>7282.3482000000004</v>
      </c>
      <c r="L29" s="18"/>
    </row>
    <row r="30" spans="1:12" ht="13.8" customHeight="1">
      <c r="A30" s="774" t="s">
        <v>753</v>
      </c>
      <c r="B30" s="775" t="s">
        <v>343</v>
      </c>
      <c r="C30" s="775">
        <v>7489.4552999999996</v>
      </c>
      <c r="D30" s="775">
        <v>0</v>
      </c>
      <c r="E30" s="775">
        <v>0</v>
      </c>
      <c r="F30" s="775">
        <v>7489.4552999999996</v>
      </c>
      <c r="G30" s="775" t="s">
        <v>746</v>
      </c>
      <c r="H30" s="775">
        <v>7368.13364</v>
      </c>
      <c r="I30" s="775">
        <v>0</v>
      </c>
      <c r="J30" s="775">
        <v>0</v>
      </c>
      <c r="K30" s="775">
        <v>7368.13364</v>
      </c>
      <c r="L30" s="18"/>
    </row>
    <row r="31" spans="1:12" ht="13.8" customHeight="1">
      <c r="A31" s="774" t="s">
        <v>754</v>
      </c>
      <c r="B31" s="775" t="s">
        <v>343</v>
      </c>
      <c r="C31" s="775">
        <v>7517.03946</v>
      </c>
      <c r="D31" s="775">
        <v>0</v>
      </c>
      <c r="E31" s="775">
        <v>0</v>
      </c>
      <c r="F31" s="775">
        <v>7517.03946</v>
      </c>
      <c r="G31" s="775" t="s">
        <v>535</v>
      </c>
      <c r="H31" s="775">
        <v>7418.6175899999998</v>
      </c>
      <c r="I31" s="775">
        <v>0</v>
      </c>
      <c r="J31" s="775">
        <v>0</v>
      </c>
      <c r="K31" s="775">
        <v>7418.6175899999998</v>
      </c>
      <c r="L31" s="25"/>
    </row>
    <row r="32" spans="1:12" ht="13.8" customHeight="1">
      <c r="A32" s="774" t="s">
        <v>755</v>
      </c>
      <c r="B32" s="775" t="s">
        <v>587</v>
      </c>
      <c r="C32" s="775">
        <v>7522.99172</v>
      </c>
      <c r="D32" s="775">
        <v>0</v>
      </c>
      <c r="E32" s="775">
        <v>0</v>
      </c>
      <c r="F32" s="775">
        <v>7522.99172</v>
      </c>
      <c r="G32" s="775" t="s">
        <v>627</v>
      </c>
      <c r="H32" s="775">
        <v>7492.1355700000004</v>
      </c>
      <c r="I32" s="775">
        <v>0</v>
      </c>
      <c r="J32" s="775">
        <v>0</v>
      </c>
      <c r="K32" s="775">
        <v>7492.1355700000004</v>
      </c>
      <c r="L32" s="18"/>
    </row>
    <row r="33" spans="1:12" ht="13.8" customHeight="1">
      <c r="A33" s="774" t="s">
        <v>756</v>
      </c>
      <c r="B33" s="775" t="s">
        <v>757</v>
      </c>
      <c r="C33" s="775">
        <v>7500.5858099999996</v>
      </c>
      <c r="D33" s="775">
        <v>0</v>
      </c>
      <c r="E33" s="775">
        <v>0</v>
      </c>
      <c r="F33" s="775">
        <v>7500.5858099999996</v>
      </c>
      <c r="G33" s="775" t="s">
        <v>627</v>
      </c>
      <c r="H33" s="775">
        <v>7453.0869499999999</v>
      </c>
      <c r="I33" s="775">
        <v>0</v>
      </c>
      <c r="J33" s="775">
        <v>0</v>
      </c>
      <c r="K33" s="775">
        <v>7453.0869499999999</v>
      </c>
      <c r="L33" s="18"/>
    </row>
    <row r="34" spans="1:12" ht="13.8" customHeight="1">
      <c r="A34" s="774" t="s">
        <v>758</v>
      </c>
      <c r="B34" s="775" t="s">
        <v>343</v>
      </c>
      <c r="C34" s="775">
        <v>7689.4716500000004</v>
      </c>
      <c r="D34" s="775">
        <v>0</v>
      </c>
      <c r="E34" s="775">
        <v>0</v>
      </c>
      <c r="F34" s="775">
        <v>7689.4716500000004</v>
      </c>
      <c r="G34" s="775" t="s">
        <v>617</v>
      </c>
      <c r="H34" s="775">
        <v>7383.3543399999999</v>
      </c>
      <c r="I34" s="775">
        <v>0</v>
      </c>
      <c r="J34" s="775">
        <v>0</v>
      </c>
      <c r="K34" s="775">
        <v>7383.3543399999999</v>
      </c>
      <c r="L34" s="11"/>
    </row>
    <row r="35" spans="1:12" ht="13.8" customHeight="1">
      <c r="A35" s="774" t="s">
        <v>759</v>
      </c>
      <c r="B35" s="775" t="s">
        <v>343</v>
      </c>
      <c r="C35" s="775">
        <v>7378.6163299999998</v>
      </c>
      <c r="D35" s="775">
        <v>0</v>
      </c>
      <c r="E35" s="775">
        <v>0</v>
      </c>
      <c r="F35" s="775">
        <v>7378.6163299999998</v>
      </c>
      <c r="G35" s="775" t="s">
        <v>617</v>
      </c>
      <c r="H35" s="775">
        <v>7251.7054799999996</v>
      </c>
      <c r="I35" s="775">
        <v>0</v>
      </c>
      <c r="J35" s="775">
        <v>0</v>
      </c>
      <c r="K35" s="775">
        <v>7251.7054799999996</v>
      </c>
      <c r="L35" s="12"/>
    </row>
    <row r="36" spans="1:12" ht="13.8" customHeight="1">
      <c r="A36" s="774" t="s">
        <v>760</v>
      </c>
      <c r="B36" s="775" t="s">
        <v>742</v>
      </c>
      <c r="C36" s="775">
        <v>6406.88292</v>
      </c>
      <c r="D36" s="775">
        <v>0</v>
      </c>
      <c r="E36" s="775">
        <v>0</v>
      </c>
      <c r="F36" s="775">
        <v>6406.88292</v>
      </c>
      <c r="G36" s="775" t="s">
        <v>536</v>
      </c>
      <c r="H36" s="775">
        <v>7161.5212300000003</v>
      </c>
      <c r="I36" s="775">
        <v>0</v>
      </c>
      <c r="J36" s="775">
        <v>0</v>
      </c>
      <c r="K36" s="775">
        <v>7161.5212300000003</v>
      </c>
      <c r="L36" s="11"/>
    </row>
    <row r="37" spans="1:12" ht="13.8" customHeight="1">
      <c r="A37" s="774" t="s">
        <v>761</v>
      </c>
      <c r="B37" s="775" t="s">
        <v>343</v>
      </c>
      <c r="C37" s="775">
        <v>7451.2984900000001</v>
      </c>
      <c r="D37" s="775">
        <v>0</v>
      </c>
      <c r="E37" s="775">
        <v>0</v>
      </c>
      <c r="F37" s="775">
        <v>7451.2984900000001</v>
      </c>
      <c r="G37" s="775" t="s">
        <v>627</v>
      </c>
      <c r="H37" s="775">
        <v>7395.6192899999996</v>
      </c>
      <c r="I37" s="775">
        <v>0</v>
      </c>
      <c r="J37" s="775">
        <v>0</v>
      </c>
      <c r="K37" s="775">
        <v>7395.6192899999996</v>
      </c>
      <c r="L37" s="11"/>
    </row>
    <row r="38" spans="1:12" ht="13.8" customHeight="1">
      <c r="A38" s="774" t="s">
        <v>762</v>
      </c>
      <c r="B38" s="775" t="s">
        <v>618</v>
      </c>
      <c r="C38" s="775">
        <v>7447.9393600000003</v>
      </c>
      <c r="D38" s="775">
        <v>0</v>
      </c>
      <c r="E38" s="775">
        <v>0</v>
      </c>
      <c r="F38" s="775">
        <v>7447.9393600000003</v>
      </c>
      <c r="G38" s="775" t="s">
        <v>627</v>
      </c>
      <c r="H38" s="775">
        <v>7370.4494999999997</v>
      </c>
      <c r="I38" s="775">
        <v>0</v>
      </c>
      <c r="J38" s="775">
        <v>0</v>
      </c>
      <c r="K38" s="775">
        <v>7370.4494999999997</v>
      </c>
      <c r="L38" s="11"/>
    </row>
    <row r="39" spans="1:12" ht="13.8" customHeight="1">
      <c r="A39" s="774" t="s">
        <v>763</v>
      </c>
      <c r="B39" s="775" t="s">
        <v>342</v>
      </c>
      <c r="C39" s="775">
        <v>7520.8602499999997</v>
      </c>
      <c r="D39" s="775">
        <v>0</v>
      </c>
      <c r="E39" s="775">
        <v>0</v>
      </c>
      <c r="F39" s="775">
        <v>7520.8602499999997</v>
      </c>
      <c r="G39" s="775" t="s">
        <v>746</v>
      </c>
      <c r="H39" s="775">
        <v>7466.7645499999999</v>
      </c>
      <c r="I39" s="775">
        <v>0</v>
      </c>
      <c r="J39" s="775">
        <v>0</v>
      </c>
      <c r="K39" s="775">
        <v>7466.7645499999999</v>
      </c>
      <c r="L39" s="11"/>
    </row>
    <row r="40" spans="1:12" ht="13.8" customHeight="1">
      <c r="A40" s="774" t="s">
        <v>764</v>
      </c>
      <c r="B40" s="775" t="s">
        <v>765</v>
      </c>
      <c r="C40" s="775">
        <v>7367.9476199999999</v>
      </c>
      <c r="D40" s="775">
        <v>0</v>
      </c>
      <c r="E40" s="775">
        <v>0</v>
      </c>
      <c r="F40" s="775">
        <v>7367.9476199999999</v>
      </c>
      <c r="G40" s="775" t="s">
        <v>746</v>
      </c>
      <c r="H40" s="775">
        <v>7407.3858700000001</v>
      </c>
      <c r="I40" s="775">
        <v>0</v>
      </c>
      <c r="J40" s="775">
        <v>0</v>
      </c>
      <c r="K40" s="775">
        <v>7407.3858700000001</v>
      </c>
    </row>
    <row r="41" spans="1:12" ht="13.8" customHeight="1">
      <c r="A41" s="774" t="s">
        <v>766</v>
      </c>
      <c r="B41" s="775" t="s">
        <v>767</v>
      </c>
      <c r="C41" s="775">
        <v>7382.5311000000002</v>
      </c>
      <c r="D41" s="775">
        <v>0</v>
      </c>
      <c r="E41" s="775">
        <v>0</v>
      </c>
      <c r="F41" s="775">
        <v>7382.5311000000002</v>
      </c>
      <c r="G41" s="775" t="s">
        <v>627</v>
      </c>
      <c r="H41" s="775">
        <v>7486.1978499999996</v>
      </c>
      <c r="I41" s="775">
        <v>0</v>
      </c>
      <c r="J41" s="775">
        <v>0</v>
      </c>
      <c r="K41" s="775">
        <v>7486.1978499999996</v>
      </c>
    </row>
    <row r="42" spans="1:12" ht="13.8" customHeight="1">
      <c r="A42" s="774" t="s">
        <v>768</v>
      </c>
      <c r="B42" s="775" t="s">
        <v>628</v>
      </c>
      <c r="C42" s="775">
        <v>7336.4116899999999</v>
      </c>
      <c r="D42" s="775">
        <v>0</v>
      </c>
      <c r="E42" s="775">
        <v>0</v>
      </c>
      <c r="F42" s="775">
        <v>7336.4116899999999</v>
      </c>
      <c r="G42" s="775" t="s">
        <v>627</v>
      </c>
      <c r="H42" s="775">
        <v>7301.1820100000004</v>
      </c>
      <c r="I42" s="775">
        <v>0</v>
      </c>
      <c r="J42" s="775">
        <v>0</v>
      </c>
      <c r="K42" s="775">
        <v>7301.1820100000004</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dimension ref="A1:I26"/>
  <sheetViews>
    <sheetView showGridLines="0" view="pageBreakPreview" zoomScale="110" zoomScaleNormal="100" zoomScaleSheetLayoutView="110" zoomScalePageLayoutView="115" workbookViewId="0">
      <selection activeCell="D22" sqref="D22"/>
    </sheetView>
  </sheetViews>
  <sheetFormatPr baseColWidth="10" defaultColWidth="9.28515625" defaultRowHeight="9.6"/>
  <cols>
    <col min="1" max="1" width="15.28515625" style="459" customWidth="1"/>
    <col min="2" max="2" width="17.7109375" style="459" customWidth="1"/>
    <col min="3" max="3" width="12.85546875" style="459" bestFit="1" customWidth="1"/>
    <col min="4" max="4" width="56" style="459" customWidth="1"/>
    <col min="5" max="5" width="12.28515625" style="459" customWidth="1"/>
    <col min="6" max="6" width="10.42578125" style="459" customWidth="1"/>
    <col min="7" max="8" width="9.28515625" style="459" customWidth="1"/>
    <col min="9" max="16384" width="9.28515625" style="459"/>
  </cols>
  <sheetData>
    <row r="1" spans="1:9" ht="11.25" customHeight="1">
      <c r="A1" s="457" t="s">
        <v>266</v>
      </c>
      <c r="B1" s="458"/>
      <c r="C1" s="458"/>
      <c r="D1" s="458"/>
      <c r="E1" s="458"/>
      <c r="F1" s="458"/>
    </row>
    <row r="2" spans="1:9" ht="30" customHeight="1">
      <c r="A2" s="460" t="s">
        <v>191</v>
      </c>
      <c r="B2" s="461" t="s">
        <v>267</v>
      </c>
      <c r="C2" s="460" t="s">
        <v>256</v>
      </c>
      <c r="D2" s="462" t="s">
        <v>268</v>
      </c>
      <c r="E2" s="463" t="s">
        <v>269</v>
      </c>
      <c r="F2" s="463" t="s">
        <v>270</v>
      </c>
      <c r="G2" s="464"/>
      <c r="H2" s="465"/>
      <c r="I2" s="466"/>
    </row>
    <row r="3" spans="1:9" ht="107.4" customHeight="1">
      <c r="A3" s="469" t="s">
        <v>653</v>
      </c>
      <c r="B3" s="469" t="s">
        <v>654</v>
      </c>
      <c r="C3" s="467" t="s">
        <v>655</v>
      </c>
      <c r="D3" s="468" t="s">
        <v>656</v>
      </c>
      <c r="E3" s="469">
        <v>17.2</v>
      </c>
      <c r="F3" s="469"/>
      <c r="H3" s="464"/>
      <c r="I3" s="466"/>
    </row>
    <row r="4" spans="1:9" ht="49.2" customHeight="1">
      <c r="A4" s="469" t="s">
        <v>371</v>
      </c>
      <c r="B4" s="469" t="s">
        <v>657</v>
      </c>
      <c r="C4" s="467" t="s">
        <v>658</v>
      </c>
      <c r="D4" s="468" t="s">
        <v>659</v>
      </c>
      <c r="E4" s="469">
        <v>4.9000000000000004</v>
      </c>
      <c r="F4" s="469"/>
      <c r="G4" s="470"/>
      <c r="H4" s="470"/>
      <c r="I4" s="471"/>
    </row>
    <row r="5" spans="1:9" ht="99" customHeight="1">
      <c r="A5" s="469" t="s">
        <v>653</v>
      </c>
      <c r="B5" s="469" t="s">
        <v>654</v>
      </c>
      <c r="C5" s="467" t="s">
        <v>660</v>
      </c>
      <c r="D5" s="468" t="s">
        <v>661</v>
      </c>
      <c r="E5" s="469">
        <v>12.76</v>
      </c>
      <c r="F5" s="469"/>
      <c r="G5" s="470"/>
      <c r="H5" s="470"/>
      <c r="I5" s="472"/>
    </row>
    <row r="6" spans="1:9" ht="103.2" customHeight="1">
      <c r="A6" s="469" t="s">
        <v>102</v>
      </c>
      <c r="B6" s="469" t="s">
        <v>662</v>
      </c>
      <c r="C6" s="467" t="s">
        <v>663</v>
      </c>
      <c r="D6" s="468" t="s">
        <v>664</v>
      </c>
      <c r="E6" s="469">
        <v>10.69</v>
      </c>
      <c r="F6" s="469"/>
      <c r="G6" s="470"/>
      <c r="H6" s="470"/>
      <c r="I6" s="474"/>
    </row>
    <row r="7" spans="1:9" ht="264" customHeight="1">
      <c r="A7" s="469" t="s">
        <v>89</v>
      </c>
      <c r="B7" s="469" t="s">
        <v>665</v>
      </c>
      <c r="C7" s="467" t="s">
        <v>666</v>
      </c>
      <c r="D7" s="468" t="s">
        <v>667</v>
      </c>
      <c r="E7" s="469">
        <v>31.48</v>
      </c>
      <c r="F7" s="469"/>
      <c r="G7" s="470"/>
      <c r="H7" s="470"/>
      <c r="I7" s="473"/>
    </row>
    <row r="8" spans="1:9" ht="54" customHeight="1">
      <c r="A8" s="469" t="s">
        <v>624</v>
      </c>
      <c r="B8" s="469" t="s">
        <v>668</v>
      </c>
      <c r="C8" s="467" t="s">
        <v>669</v>
      </c>
      <c r="D8" s="468" t="s">
        <v>670</v>
      </c>
      <c r="E8" s="469">
        <v>12.19</v>
      </c>
      <c r="F8" s="469"/>
      <c r="G8" s="470"/>
      <c r="H8" s="470"/>
      <c r="I8" s="473"/>
    </row>
    <row r="9" spans="1:9">
      <c r="E9" s="475"/>
      <c r="F9" s="475"/>
    </row>
    <row r="10" spans="1:9">
      <c r="E10" s="475"/>
      <c r="F10" s="475"/>
    </row>
    <row r="11" spans="1:9">
      <c r="E11" s="475"/>
      <c r="F11" s="475"/>
    </row>
    <row r="12" spans="1:9">
      <c r="E12" s="475"/>
      <c r="F12" s="475"/>
    </row>
    <row r="13" spans="1:9">
      <c r="E13" s="475"/>
      <c r="F13" s="475"/>
    </row>
    <row r="14" spans="1:9">
      <c r="E14" s="475"/>
      <c r="F14" s="475"/>
    </row>
    <row r="15" spans="1:9">
      <c r="E15" s="475"/>
      <c r="F15" s="475"/>
    </row>
    <row r="16" spans="1:9">
      <c r="E16" s="475"/>
      <c r="F16" s="475"/>
    </row>
    <row r="17" spans="5:6">
      <c r="E17" s="475"/>
      <c r="F17" s="475"/>
    </row>
    <row r="18" spans="5:6">
      <c r="E18" s="475"/>
      <c r="F18" s="475"/>
    </row>
    <row r="19" spans="5:6">
      <c r="E19" s="475"/>
      <c r="F19" s="475"/>
    </row>
    <row r="20" spans="5:6">
      <c r="E20" s="475"/>
      <c r="F20" s="475"/>
    </row>
    <row r="21" spans="5:6">
      <c r="E21" s="475"/>
      <c r="F21" s="475"/>
    </row>
    <row r="22" spans="5:6">
      <c r="E22" s="475"/>
      <c r="F22" s="475"/>
    </row>
    <row r="23" spans="5:6">
      <c r="E23" s="475"/>
      <c r="F23" s="475"/>
    </row>
    <row r="24" spans="5:6">
      <c r="E24" s="475"/>
      <c r="F24" s="475"/>
    </row>
    <row r="25" spans="5:6">
      <c r="E25" s="475"/>
      <c r="F25" s="475"/>
    </row>
    <row r="26" spans="5:6">
      <c r="E26" s="475"/>
      <c r="F26" s="475"/>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dimension ref="A1:I10"/>
  <sheetViews>
    <sheetView showGridLines="0" view="pageBreakPreview" zoomScale="115" zoomScaleNormal="100" zoomScaleSheetLayoutView="115" workbookViewId="0">
      <selection activeCell="D22" sqref="D22"/>
    </sheetView>
  </sheetViews>
  <sheetFormatPr baseColWidth="10" defaultColWidth="9.28515625" defaultRowHeight="9.6"/>
  <cols>
    <col min="1" max="1" width="16.140625" style="459" customWidth="1"/>
    <col min="2" max="2" width="19.7109375" style="459" customWidth="1"/>
    <col min="3" max="3" width="12.85546875" style="459" bestFit="1" customWidth="1"/>
    <col min="4" max="4" width="51.28515625" style="459" customWidth="1"/>
    <col min="5" max="5" width="12.140625" style="459" customWidth="1"/>
    <col min="6" max="6" width="11.85546875" style="459" customWidth="1"/>
    <col min="7" max="8" width="9.28515625" style="459" customWidth="1"/>
    <col min="9" max="16384" width="9.28515625" style="459"/>
  </cols>
  <sheetData>
    <row r="1" spans="1:9" ht="11.25" customHeight="1">
      <c r="A1" s="457" t="s">
        <v>266</v>
      </c>
      <c r="B1" s="458"/>
      <c r="C1" s="458"/>
      <c r="D1" s="458"/>
      <c r="E1" s="458"/>
      <c r="F1" s="458"/>
    </row>
    <row r="2" spans="1:9" ht="30" customHeight="1">
      <c r="A2" s="460" t="s">
        <v>191</v>
      </c>
      <c r="B2" s="461" t="s">
        <v>267</v>
      </c>
      <c r="C2" s="460" t="s">
        <v>256</v>
      </c>
      <c r="D2" s="462"/>
      <c r="E2" s="463" t="s">
        <v>269</v>
      </c>
      <c r="F2" s="463" t="s">
        <v>270</v>
      </c>
      <c r="G2" s="464"/>
      <c r="H2" s="465"/>
      <c r="I2" s="466"/>
    </row>
    <row r="3" spans="1:9" ht="159.6" customHeight="1">
      <c r="A3" s="469" t="s">
        <v>653</v>
      </c>
      <c r="B3" s="469" t="s">
        <v>654</v>
      </c>
      <c r="C3" s="467" t="s">
        <v>671</v>
      </c>
      <c r="D3" s="468" t="s">
        <v>672</v>
      </c>
      <c r="E3" s="469">
        <v>20</v>
      </c>
      <c r="F3" s="469"/>
      <c r="G3" s="470"/>
      <c r="H3" s="470"/>
      <c r="I3" s="474"/>
    </row>
    <row r="4" spans="1:9" ht="63" customHeight="1">
      <c r="A4" s="469" t="s">
        <v>673</v>
      </c>
      <c r="B4" s="469" t="s">
        <v>674</v>
      </c>
      <c r="C4" s="467" t="s">
        <v>675</v>
      </c>
      <c r="D4" s="468" t="s">
        <v>676</v>
      </c>
      <c r="E4" s="469">
        <v>30</v>
      </c>
      <c r="F4" s="469"/>
      <c r="G4" s="470"/>
      <c r="H4" s="470"/>
      <c r="I4" s="474"/>
    </row>
    <row r="5" spans="1:9" ht="65.400000000000006" customHeight="1">
      <c r="A5" s="469" t="s">
        <v>345</v>
      </c>
      <c r="B5" s="469" t="s">
        <v>677</v>
      </c>
      <c r="C5" s="467" t="s">
        <v>678</v>
      </c>
      <c r="D5" s="468" t="s">
        <v>679</v>
      </c>
      <c r="E5" s="469">
        <v>3.6</v>
      </c>
      <c r="F5" s="469"/>
      <c r="G5" s="470"/>
      <c r="H5" s="470"/>
      <c r="I5" s="474"/>
    </row>
    <row r="6" spans="1:9" ht="66.599999999999994" customHeight="1">
      <c r="A6" s="469" t="s">
        <v>345</v>
      </c>
      <c r="B6" s="469" t="s">
        <v>677</v>
      </c>
      <c r="C6" s="467" t="s">
        <v>680</v>
      </c>
      <c r="D6" s="468" t="s">
        <v>681</v>
      </c>
      <c r="E6" s="469">
        <v>3</v>
      </c>
      <c r="F6" s="469"/>
      <c r="G6" s="470"/>
      <c r="H6" s="470"/>
      <c r="I6" s="474"/>
    </row>
    <row r="7" spans="1:9" ht="78" customHeight="1">
      <c r="A7" s="469" t="s">
        <v>345</v>
      </c>
      <c r="B7" s="469" t="s">
        <v>677</v>
      </c>
      <c r="C7" s="467" t="s">
        <v>682</v>
      </c>
      <c r="D7" s="468" t="s">
        <v>683</v>
      </c>
      <c r="E7" s="469">
        <v>4.2</v>
      </c>
      <c r="F7" s="469"/>
      <c r="G7" s="470"/>
      <c r="H7" s="470"/>
      <c r="I7" s="474"/>
    </row>
    <row r="8" spans="1:9" ht="92.4" customHeight="1">
      <c r="A8" s="469" t="s">
        <v>102</v>
      </c>
      <c r="B8" s="469" t="s">
        <v>662</v>
      </c>
      <c r="C8" s="467" t="s">
        <v>684</v>
      </c>
      <c r="D8" s="468" t="s">
        <v>685</v>
      </c>
      <c r="E8" s="469">
        <v>9.33</v>
      </c>
      <c r="F8" s="469"/>
      <c r="G8" s="470"/>
      <c r="H8" s="470"/>
      <c r="I8" s="474"/>
    </row>
    <row r="9" spans="1:9" ht="78.599999999999994" customHeight="1">
      <c r="A9" s="469" t="s">
        <v>686</v>
      </c>
      <c r="B9" s="469" t="s">
        <v>687</v>
      </c>
      <c r="C9" s="467" t="s">
        <v>688</v>
      </c>
      <c r="D9" s="468" t="s">
        <v>689</v>
      </c>
      <c r="E9" s="469">
        <v>3.7</v>
      </c>
      <c r="F9" s="469"/>
      <c r="G9" s="470"/>
      <c r="H9" s="470"/>
      <c r="I9" s="474"/>
    </row>
    <row r="10" spans="1:9" ht="78.599999999999994" customHeight="1">
      <c r="A10" s="469" t="s">
        <v>626</v>
      </c>
      <c r="B10" s="469" t="s">
        <v>690</v>
      </c>
      <c r="C10" s="467" t="s">
        <v>691</v>
      </c>
      <c r="D10" s="468" t="s">
        <v>692</v>
      </c>
      <c r="E10" s="469">
        <v>15</v>
      </c>
      <c r="F10" s="469"/>
      <c r="G10" s="470"/>
      <c r="H10" s="470"/>
      <c r="I10" s="474"/>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dimension ref="A1:I11"/>
  <sheetViews>
    <sheetView showGridLines="0" view="pageBreakPreview" zoomScale="120" zoomScaleNormal="100" zoomScaleSheetLayoutView="120" zoomScalePageLayoutView="145" workbookViewId="0">
      <selection activeCell="D22" sqref="D22"/>
    </sheetView>
  </sheetViews>
  <sheetFormatPr baseColWidth="10" defaultColWidth="9.28515625" defaultRowHeight="9.6"/>
  <cols>
    <col min="1" max="1" width="16.140625" style="459" customWidth="1"/>
    <col min="2" max="2" width="19.7109375" style="459" customWidth="1"/>
    <col min="3" max="3" width="12.85546875" style="459" bestFit="1" customWidth="1"/>
    <col min="4" max="4" width="51.28515625" style="459" customWidth="1"/>
    <col min="5" max="5" width="12.140625" style="459" customWidth="1"/>
    <col min="6" max="6" width="12" style="459" customWidth="1"/>
    <col min="7" max="8" width="9.28515625" style="459" customWidth="1"/>
    <col min="9" max="16384" width="9.28515625" style="459"/>
  </cols>
  <sheetData>
    <row r="1" spans="1:9" ht="11.25" customHeight="1">
      <c r="A1" s="457" t="s">
        <v>266</v>
      </c>
      <c r="B1" s="458"/>
      <c r="C1" s="458"/>
      <c r="D1" s="458"/>
      <c r="E1" s="458"/>
      <c r="F1" s="458"/>
    </row>
    <row r="2" spans="1:9" ht="30" customHeight="1">
      <c r="A2" s="460" t="s">
        <v>191</v>
      </c>
      <c r="B2" s="461" t="s">
        <v>267</v>
      </c>
      <c r="C2" s="460" t="s">
        <v>256</v>
      </c>
      <c r="D2" s="462" t="s">
        <v>268</v>
      </c>
      <c r="E2" s="463" t="s">
        <v>269</v>
      </c>
      <c r="F2" s="463" t="s">
        <v>270</v>
      </c>
      <c r="G2" s="464"/>
      <c r="H2" s="465"/>
      <c r="I2" s="466"/>
    </row>
    <row r="3" spans="1:9" ht="79.2" customHeight="1">
      <c r="A3" s="469" t="s">
        <v>619</v>
      </c>
      <c r="B3" s="469" t="s">
        <v>693</v>
      </c>
      <c r="C3" s="467" t="s">
        <v>694</v>
      </c>
      <c r="D3" s="468" t="s">
        <v>695</v>
      </c>
      <c r="E3" s="469">
        <v>17.79</v>
      </c>
      <c r="F3" s="469"/>
      <c r="G3" s="470"/>
      <c r="H3" s="470"/>
      <c r="I3" s="474"/>
    </row>
    <row r="4" spans="1:9" ht="147.6" customHeight="1">
      <c r="A4" s="469" t="s">
        <v>534</v>
      </c>
      <c r="B4" s="469" t="s">
        <v>696</v>
      </c>
      <c r="C4" s="467" t="s">
        <v>697</v>
      </c>
      <c r="D4" s="468" t="s">
        <v>698</v>
      </c>
      <c r="E4" s="469">
        <v>317.29000000000002</v>
      </c>
      <c r="F4" s="469"/>
      <c r="G4" s="470"/>
      <c r="H4" s="470"/>
      <c r="I4" s="474"/>
    </row>
    <row r="5" spans="1:9" ht="54.6" customHeight="1">
      <c r="A5" s="469" t="s">
        <v>626</v>
      </c>
      <c r="B5" s="469" t="s">
        <v>699</v>
      </c>
      <c r="C5" s="467" t="s">
        <v>700</v>
      </c>
      <c r="D5" s="468" t="s">
        <v>716</v>
      </c>
      <c r="E5" s="469">
        <v>2.8</v>
      </c>
      <c r="F5" s="469"/>
      <c r="G5" s="470"/>
      <c r="H5" s="470"/>
      <c r="I5" s="474"/>
    </row>
    <row r="6" spans="1:9" ht="58.8" customHeight="1">
      <c r="A6" s="469" t="s">
        <v>624</v>
      </c>
      <c r="B6" s="469" t="s">
        <v>668</v>
      </c>
      <c r="C6" s="467" t="s">
        <v>701</v>
      </c>
      <c r="D6" s="468" t="s">
        <v>702</v>
      </c>
      <c r="E6" s="469">
        <v>16.13</v>
      </c>
      <c r="F6" s="469"/>
      <c r="G6" s="470"/>
      <c r="H6" s="470"/>
      <c r="I6" s="474"/>
    </row>
    <row r="7" spans="1:9" ht="66.599999999999994" customHeight="1">
      <c r="A7" s="469" t="s">
        <v>345</v>
      </c>
      <c r="B7" s="469" t="s">
        <v>625</v>
      </c>
      <c r="C7" s="467" t="s">
        <v>703</v>
      </c>
      <c r="D7" s="468" t="s">
        <v>704</v>
      </c>
      <c r="E7" s="469">
        <v>6.2</v>
      </c>
      <c r="F7" s="469"/>
      <c r="G7" s="470"/>
      <c r="H7" s="470"/>
      <c r="I7" s="474"/>
    </row>
    <row r="8" spans="1:9" ht="63" customHeight="1">
      <c r="A8" s="469" t="s">
        <v>575</v>
      </c>
      <c r="B8" s="469" t="s">
        <v>705</v>
      </c>
      <c r="C8" s="467" t="s">
        <v>706</v>
      </c>
      <c r="D8" s="468" t="s">
        <v>707</v>
      </c>
      <c r="E8" s="469">
        <v>12</v>
      </c>
      <c r="F8" s="469"/>
    </row>
    <row r="9" spans="1:9" ht="61.8" customHeight="1">
      <c r="A9" s="469" t="s">
        <v>345</v>
      </c>
      <c r="B9" s="469" t="s">
        <v>677</v>
      </c>
      <c r="C9" s="467" t="s">
        <v>708</v>
      </c>
      <c r="D9" s="468" t="s">
        <v>709</v>
      </c>
      <c r="E9" s="469">
        <v>3.91</v>
      </c>
      <c r="F9" s="469"/>
    </row>
    <row r="10" spans="1:9" ht="58.8" customHeight="1">
      <c r="A10" s="469" t="s">
        <v>345</v>
      </c>
      <c r="B10" s="469" t="s">
        <v>677</v>
      </c>
      <c r="C10" s="467" t="s">
        <v>710</v>
      </c>
      <c r="D10" s="468" t="s">
        <v>711</v>
      </c>
      <c r="E10" s="469">
        <v>3.96</v>
      </c>
      <c r="F10" s="469"/>
    </row>
    <row r="11" spans="1:9" ht="67.8" customHeight="1">
      <c r="A11" s="469" t="s">
        <v>345</v>
      </c>
      <c r="B11" s="469" t="s">
        <v>677</v>
      </c>
      <c r="C11" s="467" t="s">
        <v>712</v>
      </c>
      <c r="D11" s="468" t="s">
        <v>713</v>
      </c>
      <c r="E11" s="469">
        <v>3.6</v>
      </c>
      <c r="F11" s="469"/>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68"/>
  <sheetViews>
    <sheetView showGridLines="0" view="pageBreakPreview" zoomScaleNormal="100" zoomScaleSheetLayoutView="100" workbookViewId="0">
      <selection activeCell="D22" sqref="D22"/>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6"/>
    <col min="15" max="15" width="12.85546875" style="236" bestFit="1" customWidth="1"/>
    <col min="16" max="16" width="10.140625" style="236" bestFit="1" customWidth="1"/>
    <col min="17" max="17" width="14.7109375" style="236" customWidth="1"/>
    <col min="18" max="30" width="9.28515625" style="236"/>
    <col min="31" max="16384" width="9.28515625" style="39"/>
  </cols>
  <sheetData>
    <row r="1" spans="1:17" ht="27.75" customHeight="1">
      <c r="A1" s="798" t="s">
        <v>21</v>
      </c>
      <c r="B1" s="798"/>
      <c r="C1" s="798"/>
      <c r="D1" s="798"/>
      <c r="E1" s="798"/>
      <c r="F1" s="798"/>
      <c r="G1" s="798"/>
      <c r="H1" s="798"/>
      <c r="I1" s="798"/>
      <c r="J1" s="798"/>
      <c r="K1" s="798"/>
      <c r="L1" s="798"/>
      <c r="M1" s="798"/>
      <c r="N1" s="532"/>
      <c r="O1" s="532"/>
      <c r="P1" s="532"/>
      <c r="Q1" s="532"/>
    </row>
    <row r="2" spans="1:17" ht="11.25" customHeight="1">
      <c r="A2" s="34"/>
      <c r="B2" s="33"/>
      <c r="C2" s="780"/>
      <c r="D2" s="58"/>
      <c r="E2" s="58"/>
      <c r="F2" s="58"/>
      <c r="G2" s="58"/>
      <c r="H2" s="58"/>
      <c r="I2" s="58"/>
      <c r="J2" s="58"/>
      <c r="K2" s="33"/>
      <c r="L2" s="33"/>
      <c r="M2" s="33"/>
      <c r="N2" s="532"/>
      <c r="O2" s="532"/>
      <c r="P2" s="532"/>
      <c r="Q2" s="532"/>
    </row>
    <row r="3" spans="1:17" ht="21.75" customHeight="1">
      <c r="A3" s="33"/>
      <c r="B3" s="35"/>
      <c r="C3" s="805" t="str">
        <f>+UPPER(Q4)&amp;" "&amp;Q5</f>
        <v>MAYO 2025</v>
      </c>
      <c r="D3" s="805"/>
      <c r="E3" s="805"/>
      <c r="F3" s="805"/>
      <c r="G3" s="805"/>
      <c r="H3" s="805"/>
      <c r="I3" s="805"/>
      <c r="J3" s="805"/>
      <c r="K3" s="805"/>
      <c r="L3" s="33"/>
      <c r="M3" s="33"/>
      <c r="N3" s="532"/>
      <c r="O3" s="532"/>
      <c r="P3" s="532"/>
      <c r="Q3" s="532"/>
    </row>
    <row r="4" spans="1:17" ht="11.25" customHeight="1">
      <c r="A4" s="33"/>
      <c r="B4" s="35"/>
      <c r="C4" s="33"/>
      <c r="D4" s="33"/>
      <c r="E4" s="33"/>
      <c r="F4" s="33"/>
      <c r="G4" s="33"/>
      <c r="H4" s="33"/>
      <c r="I4" s="33"/>
      <c r="J4" s="33"/>
      <c r="K4" s="33"/>
      <c r="L4" s="33"/>
      <c r="M4" s="33"/>
      <c r="N4" s="533"/>
      <c r="O4" s="533"/>
      <c r="P4" s="532" t="s">
        <v>159</v>
      </c>
      <c r="Q4" s="534" t="s">
        <v>770</v>
      </c>
    </row>
    <row r="5" spans="1:17" ht="11.25" customHeight="1">
      <c r="A5" s="40"/>
      <c r="B5" s="41"/>
      <c r="C5" s="42"/>
      <c r="D5" s="42"/>
      <c r="E5" s="42"/>
      <c r="F5" s="42"/>
      <c r="G5" s="42"/>
      <c r="H5" s="42"/>
      <c r="I5" s="42"/>
      <c r="J5" s="42"/>
      <c r="K5" s="42"/>
      <c r="L5" s="42"/>
      <c r="M5" s="33"/>
      <c r="N5" s="533"/>
      <c r="O5" s="533"/>
      <c r="P5" s="532" t="s">
        <v>160</v>
      </c>
      <c r="Q5" s="533">
        <v>2025</v>
      </c>
    </row>
    <row r="6" spans="1:17" ht="17.25" customHeight="1">
      <c r="A6" s="53" t="s">
        <v>301</v>
      </c>
      <c r="B6" s="33"/>
      <c r="C6" s="33"/>
      <c r="D6" s="33"/>
      <c r="E6" s="33"/>
      <c r="F6" s="33"/>
      <c r="G6" s="33"/>
      <c r="H6" s="33"/>
      <c r="I6" s="33"/>
      <c r="J6" s="33"/>
      <c r="K6" s="33"/>
      <c r="L6" s="33"/>
      <c r="M6" s="33"/>
      <c r="N6" s="532"/>
      <c r="O6" s="532"/>
      <c r="P6" s="532"/>
      <c r="Q6" s="535">
        <v>45778</v>
      </c>
    </row>
    <row r="7" spans="1:17" ht="11.25" customHeight="1">
      <c r="A7" s="33"/>
      <c r="B7" s="33"/>
      <c r="C7" s="33"/>
      <c r="D7" s="33"/>
      <c r="E7" s="33"/>
      <c r="F7" s="33"/>
      <c r="G7" s="33"/>
      <c r="H7" s="33"/>
      <c r="I7" s="33"/>
      <c r="J7" s="33"/>
      <c r="K7" s="33"/>
      <c r="L7" s="33"/>
      <c r="M7" s="33"/>
      <c r="N7" s="532"/>
      <c r="O7" s="532"/>
      <c r="P7" s="532"/>
      <c r="Q7" s="532">
        <v>31</v>
      </c>
    </row>
    <row r="8" spans="1:17" ht="11.25" customHeight="1">
      <c r="A8" s="36"/>
      <c r="B8" s="36"/>
      <c r="C8" s="36"/>
      <c r="D8" s="36"/>
      <c r="E8" s="36"/>
      <c r="F8" s="36"/>
      <c r="G8" s="36"/>
      <c r="H8" s="36"/>
      <c r="I8" s="36"/>
      <c r="J8" s="36"/>
      <c r="K8" s="36"/>
      <c r="L8" s="36"/>
      <c r="M8" s="36"/>
      <c r="N8" s="536"/>
      <c r="O8" s="536"/>
      <c r="P8" s="536"/>
      <c r="Q8" s="536"/>
    </row>
    <row r="9" spans="1:17" ht="14.25" customHeight="1">
      <c r="A9" s="33" t="str">
        <f>"1.1. Producción de energía eléctrica en "&amp;LOWER(Q4)&amp;" "&amp;Q5&amp;" en comparación al mismo mes del año anterior"</f>
        <v>1.1. Producción de energía eléctrica en mayo 2025 en comparación al mismo mes del año anterior</v>
      </c>
      <c r="B9" s="33"/>
      <c r="C9" s="33"/>
      <c r="D9" s="33"/>
      <c r="E9" s="33"/>
      <c r="F9" s="33"/>
      <c r="G9" s="33"/>
      <c r="H9" s="33"/>
      <c r="I9" s="33"/>
      <c r="J9" s="33"/>
      <c r="K9" s="33"/>
      <c r="L9" s="33"/>
      <c r="M9" s="33"/>
      <c r="N9" s="532"/>
      <c r="O9" s="532"/>
      <c r="P9" s="532"/>
      <c r="Q9" s="532"/>
    </row>
    <row r="10" spans="1:17" ht="11.25" customHeight="1">
      <c r="A10" s="40"/>
      <c r="B10" s="37"/>
      <c r="C10" s="37"/>
      <c r="D10" s="37"/>
      <c r="E10" s="37"/>
      <c r="F10" s="37"/>
      <c r="G10" s="37"/>
      <c r="H10" s="37"/>
      <c r="I10" s="37"/>
      <c r="J10" s="37"/>
      <c r="K10" s="37"/>
      <c r="L10" s="37"/>
      <c r="M10" s="37"/>
      <c r="N10" s="533"/>
      <c r="O10" s="533"/>
      <c r="P10" s="533"/>
      <c r="Q10" s="533"/>
    </row>
    <row r="11" spans="1:17" ht="11.25" customHeight="1">
      <c r="A11" s="43"/>
      <c r="B11" s="43"/>
      <c r="C11" s="43"/>
      <c r="D11" s="43"/>
      <c r="E11" s="43"/>
      <c r="F11" s="43"/>
      <c r="G11" s="43"/>
      <c r="H11" s="43"/>
      <c r="I11" s="43"/>
      <c r="J11" s="43"/>
      <c r="K11" s="43"/>
      <c r="L11" s="43"/>
      <c r="M11" s="43"/>
      <c r="N11" s="537"/>
      <c r="O11" s="537"/>
      <c r="P11" s="537"/>
      <c r="Q11" s="537"/>
    </row>
    <row r="12" spans="1:17" ht="27" customHeight="1">
      <c r="A12" s="55" t="s">
        <v>22</v>
      </c>
      <c r="B12" s="803" t="s">
        <v>776</v>
      </c>
      <c r="C12" s="803"/>
      <c r="D12" s="803"/>
      <c r="E12" s="803"/>
      <c r="F12" s="803"/>
      <c r="G12" s="803"/>
      <c r="H12" s="803"/>
      <c r="I12" s="803"/>
      <c r="J12" s="803"/>
      <c r="K12" s="803"/>
      <c r="L12" s="803"/>
      <c r="M12" s="803"/>
      <c r="N12" s="533"/>
      <c r="O12" s="533"/>
      <c r="P12" s="533"/>
      <c r="Q12" s="533"/>
    </row>
    <row r="13" spans="1:17" ht="12.75" customHeight="1">
      <c r="A13" s="33"/>
      <c r="B13" s="57"/>
      <c r="C13" s="57"/>
      <c r="D13" s="57"/>
      <c r="E13" s="57"/>
      <c r="F13" s="57"/>
      <c r="G13" s="57"/>
      <c r="H13" s="57"/>
      <c r="I13" s="57"/>
      <c r="J13" s="57"/>
      <c r="K13" s="57"/>
      <c r="L13" s="57"/>
      <c r="M13" s="37"/>
      <c r="N13" s="533"/>
      <c r="O13" s="533"/>
      <c r="P13" s="533"/>
      <c r="Q13" s="533"/>
    </row>
    <row r="14" spans="1:17" ht="28.5" customHeight="1">
      <c r="A14" s="55" t="s">
        <v>22</v>
      </c>
      <c r="B14" s="803" t="s">
        <v>771</v>
      </c>
      <c r="C14" s="803"/>
      <c r="D14" s="803"/>
      <c r="E14" s="803"/>
      <c r="F14" s="803"/>
      <c r="G14" s="803"/>
      <c r="H14" s="803"/>
      <c r="I14" s="803"/>
      <c r="J14" s="803"/>
      <c r="K14" s="803"/>
      <c r="L14" s="803"/>
      <c r="M14" s="803"/>
      <c r="N14" s="533"/>
      <c r="O14" s="533"/>
      <c r="P14" s="533"/>
      <c r="Q14" s="533"/>
    </row>
    <row r="15" spans="1:17" ht="15" customHeight="1">
      <c r="A15" s="56"/>
      <c r="B15" s="57"/>
      <c r="C15" s="57"/>
      <c r="D15" s="57"/>
      <c r="E15" s="57"/>
      <c r="F15" s="57"/>
      <c r="G15" s="57"/>
      <c r="H15" s="57"/>
      <c r="I15" s="57"/>
      <c r="J15" s="57"/>
      <c r="K15" s="57"/>
      <c r="L15" s="57"/>
      <c r="M15" s="37"/>
      <c r="N15" s="533"/>
      <c r="O15" s="533"/>
      <c r="P15" s="533"/>
      <c r="Q15" s="533"/>
    </row>
    <row r="16" spans="1:17" ht="59.25" customHeight="1">
      <c r="A16" s="55" t="s">
        <v>22</v>
      </c>
      <c r="B16" s="803" t="s">
        <v>772</v>
      </c>
      <c r="C16" s="803"/>
      <c r="D16" s="803"/>
      <c r="E16" s="803"/>
      <c r="F16" s="803"/>
      <c r="G16" s="803"/>
      <c r="H16" s="803"/>
      <c r="I16" s="803"/>
      <c r="J16" s="803"/>
      <c r="K16" s="803"/>
      <c r="L16" s="803"/>
      <c r="M16" s="803"/>
      <c r="N16" s="533"/>
      <c r="O16" s="533"/>
      <c r="P16" s="533"/>
      <c r="Q16" s="533"/>
    </row>
    <row r="17" spans="1:24" ht="17.25" customHeight="1">
      <c r="A17" s="37"/>
      <c r="B17" s="37"/>
      <c r="C17" s="37"/>
      <c r="D17" s="37"/>
      <c r="E17" s="37"/>
      <c r="F17" s="37"/>
      <c r="G17" s="37"/>
      <c r="H17" s="37"/>
      <c r="I17" s="37"/>
      <c r="J17" s="37"/>
      <c r="K17" s="37"/>
      <c r="L17" s="37"/>
      <c r="M17" s="37"/>
      <c r="N17" s="533"/>
      <c r="O17" s="533"/>
      <c r="P17" s="533"/>
      <c r="Q17" s="533"/>
    </row>
    <row r="18" spans="1:24" ht="25.5" customHeight="1">
      <c r="A18" s="54" t="s">
        <v>22</v>
      </c>
      <c r="B18" s="802" t="s">
        <v>773</v>
      </c>
      <c r="C18" s="802"/>
      <c r="D18" s="802"/>
      <c r="E18" s="802"/>
      <c r="F18" s="802"/>
      <c r="G18" s="802"/>
      <c r="H18" s="802"/>
      <c r="I18" s="802"/>
      <c r="J18" s="802"/>
      <c r="K18" s="802"/>
      <c r="L18" s="802"/>
      <c r="M18" s="802"/>
      <c r="N18" s="533"/>
      <c r="O18" s="533"/>
      <c r="P18" s="533"/>
      <c r="Q18" s="533"/>
    </row>
    <row r="19" spans="1:24" ht="42.75" customHeight="1">
      <c r="A19" s="37"/>
      <c r="B19" s="37"/>
      <c r="C19" s="37"/>
      <c r="D19" s="37"/>
      <c r="E19" s="37"/>
      <c r="F19" s="37"/>
      <c r="G19" s="37"/>
      <c r="H19" s="37"/>
      <c r="I19" s="37"/>
      <c r="J19" s="37"/>
      <c r="K19" s="37"/>
      <c r="L19" s="37"/>
      <c r="M19" s="37"/>
      <c r="N19" s="37"/>
      <c r="O19" s="37"/>
      <c r="P19" s="37"/>
      <c r="Q19" s="37"/>
      <c r="R19" s="39"/>
      <c r="S19" s="39"/>
      <c r="T19" s="39"/>
      <c r="U19" s="39"/>
      <c r="V19" s="39"/>
      <c r="W19" s="39"/>
      <c r="X19" s="39"/>
    </row>
    <row r="20" spans="1:24" ht="15.75" customHeight="1">
      <c r="A20" s="37"/>
      <c r="B20" s="37"/>
      <c r="C20" s="804" t="str">
        <f>+UPPER(Q4)&amp;" "&amp;Q5</f>
        <v>MAYO 2025</v>
      </c>
      <c r="D20" s="804"/>
      <c r="E20" s="804"/>
      <c r="F20" s="33"/>
      <c r="G20" s="33"/>
      <c r="H20" s="33"/>
      <c r="I20" s="804" t="str">
        <f>+UPPER(Q4)&amp;" "&amp;Q5-1</f>
        <v>MAYO 2024</v>
      </c>
      <c r="J20" s="804"/>
      <c r="K20" s="804"/>
      <c r="L20" s="804"/>
      <c r="M20" s="37"/>
      <c r="N20" s="39"/>
      <c r="O20" s="39"/>
      <c r="P20" s="39"/>
      <c r="Q20" s="37"/>
      <c r="R20" s="39"/>
      <c r="S20" s="39"/>
      <c r="T20" s="39"/>
      <c r="U20" s="39"/>
      <c r="V20" s="39"/>
      <c r="W20" s="39"/>
      <c r="X20" s="39"/>
    </row>
    <row r="21" spans="1:24" ht="11.25" customHeight="1">
      <c r="A21" s="37"/>
      <c r="B21" s="37"/>
      <c r="C21" s="37"/>
      <c r="D21" s="37"/>
      <c r="E21" s="37"/>
      <c r="F21" s="37"/>
      <c r="G21" s="37"/>
      <c r="H21" s="37"/>
      <c r="I21" s="37"/>
      <c r="J21" s="37"/>
      <c r="K21" s="37"/>
      <c r="L21" s="37"/>
      <c r="M21" s="37"/>
      <c r="N21" s="39"/>
      <c r="O21" s="39"/>
      <c r="P21" s="39"/>
      <c r="Q21" s="37"/>
      <c r="R21" s="39"/>
      <c r="S21" s="39"/>
      <c r="T21" s="39"/>
      <c r="U21" s="39"/>
      <c r="V21" s="39"/>
      <c r="W21" s="39"/>
      <c r="X21" s="39"/>
    </row>
    <row r="22" spans="1:24" ht="11.25" customHeight="1">
      <c r="A22" s="44"/>
      <c r="B22" s="45"/>
      <c r="C22" s="45"/>
      <c r="D22" s="45"/>
      <c r="E22" s="45"/>
      <c r="F22" s="45"/>
      <c r="G22" s="45"/>
      <c r="H22" s="45"/>
      <c r="I22" s="45"/>
      <c r="J22" s="45"/>
      <c r="K22" s="45"/>
      <c r="L22" s="45"/>
      <c r="M22" s="45"/>
      <c r="N22" s="746" t="s">
        <v>28</v>
      </c>
      <c r="O22" s="747"/>
      <c r="P22" s="747"/>
      <c r="Q22" s="39"/>
      <c r="R22" s="39"/>
      <c r="S22" s="39"/>
      <c r="T22" s="39"/>
      <c r="U22" s="39"/>
      <c r="V22" s="39"/>
      <c r="W22" s="39"/>
      <c r="X22" s="39"/>
    </row>
    <row r="23" spans="1:24" ht="11.25" customHeight="1">
      <c r="A23" s="44"/>
      <c r="B23" s="45"/>
      <c r="C23" s="45"/>
      <c r="D23" s="45"/>
      <c r="E23" s="45"/>
      <c r="F23" s="45"/>
      <c r="G23" s="45"/>
      <c r="H23" s="45"/>
      <c r="I23" s="45"/>
      <c r="J23" s="45"/>
      <c r="K23" s="45"/>
      <c r="L23" s="45"/>
      <c r="M23" s="45"/>
      <c r="N23" s="746" t="s">
        <v>23</v>
      </c>
      <c r="O23" s="748">
        <v>3066.7897235099999</v>
      </c>
      <c r="P23" s="762">
        <v>2689.1808162449997</v>
      </c>
      <c r="Q23" s="749"/>
      <c r="R23" s="39"/>
      <c r="S23" s="39"/>
      <c r="T23" s="39"/>
      <c r="U23" s="39"/>
      <c r="V23" s="39"/>
      <c r="W23" s="39"/>
      <c r="X23" s="39"/>
    </row>
    <row r="24" spans="1:24" ht="11.25" customHeight="1">
      <c r="A24" s="37"/>
      <c r="B24" s="37"/>
      <c r="C24" s="37"/>
      <c r="D24" s="37"/>
      <c r="E24" s="36"/>
      <c r="F24" s="37"/>
      <c r="G24" s="37"/>
      <c r="H24" s="37"/>
      <c r="I24" s="37"/>
      <c r="J24" s="37"/>
      <c r="K24" s="37"/>
      <c r="L24" s="37"/>
      <c r="M24" s="36"/>
      <c r="N24" s="750" t="s">
        <v>24</v>
      </c>
      <c r="O24" s="751">
        <v>1471.8930958899998</v>
      </c>
      <c r="P24" s="763">
        <v>1775.4583613074999</v>
      </c>
      <c r="Q24" s="749"/>
      <c r="R24" s="752"/>
      <c r="S24" s="39"/>
      <c r="T24" s="39"/>
      <c r="U24" s="39"/>
      <c r="V24" s="39"/>
      <c r="W24" s="39"/>
      <c r="X24" s="39"/>
    </row>
    <row r="25" spans="1:24" ht="11.25" customHeight="1">
      <c r="A25" s="37"/>
      <c r="B25" s="37"/>
      <c r="C25" s="37"/>
      <c r="D25" s="37"/>
      <c r="E25" s="37"/>
      <c r="F25" s="37"/>
      <c r="G25" s="37"/>
      <c r="H25" s="37"/>
      <c r="I25" s="37"/>
      <c r="J25" s="46"/>
      <c r="K25" s="46"/>
      <c r="L25" s="37"/>
      <c r="M25" s="37"/>
      <c r="N25" s="750" t="s">
        <v>774</v>
      </c>
      <c r="O25" s="751">
        <v>20.507750000000001</v>
      </c>
      <c r="P25" s="763">
        <v>0</v>
      </c>
      <c r="Q25" s="749"/>
      <c r="R25" s="39"/>
      <c r="S25" s="39"/>
      <c r="T25" s="39"/>
      <c r="U25" s="39"/>
      <c r="V25" s="39"/>
      <c r="W25" s="39"/>
      <c r="X25" s="39"/>
    </row>
    <row r="26" spans="1:24" ht="11.25" customHeight="1">
      <c r="A26" s="37"/>
      <c r="B26" s="37"/>
      <c r="C26" s="37"/>
      <c r="D26" s="37"/>
      <c r="E26" s="37"/>
      <c r="F26" s="37"/>
      <c r="G26" s="37"/>
      <c r="H26" s="37"/>
      <c r="I26" s="37"/>
      <c r="J26" s="46"/>
      <c r="K26" s="46"/>
      <c r="L26" s="37"/>
      <c r="M26" s="37"/>
      <c r="N26" s="746" t="s">
        <v>561</v>
      </c>
      <c r="O26" s="748">
        <v>9.1396241074999995</v>
      </c>
      <c r="P26" s="762">
        <v>40.985253165000003</v>
      </c>
      <c r="Q26" s="749"/>
      <c r="R26" s="39"/>
      <c r="S26" s="39"/>
      <c r="T26" s="39"/>
      <c r="U26" s="39"/>
      <c r="V26" s="39"/>
      <c r="W26" s="39"/>
      <c r="X26" s="39"/>
    </row>
    <row r="27" spans="1:24" ht="11.25" customHeight="1">
      <c r="A27" s="37"/>
      <c r="B27" s="37"/>
      <c r="C27" s="37"/>
      <c r="D27" s="37"/>
      <c r="E27" s="37"/>
      <c r="F27" s="37"/>
      <c r="G27" s="37"/>
      <c r="H27" s="37"/>
      <c r="I27" s="37"/>
      <c r="J27" s="46"/>
      <c r="K27" s="37"/>
      <c r="L27" s="37"/>
      <c r="M27" s="37"/>
      <c r="N27" s="746" t="s">
        <v>25</v>
      </c>
      <c r="O27" s="748">
        <v>23.4717573625</v>
      </c>
      <c r="P27" s="762">
        <v>23.414053804999995</v>
      </c>
      <c r="Q27" s="749"/>
      <c r="R27" s="39"/>
      <c r="S27" s="39"/>
      <c r="T27" s="39"/>
      <c r="U27" s="39"/>
      <c r="V27" s="39"/>
      <c r="W27" s="39"/>
      <c r="X27" s="39"/>
    </row>
    <row r="28" spans="1:24" ht="11.25" customHeight="1">
      <c r="A28" s="37"/>
      <c r="B28" s="37"/>
      <c r="C28" s="46"/>
      <c r="D28" s="46"/>
      <c r="E28" s="46"/>
      <c r="F28" s="46"/>
      <c r="G28" s="46"/>
      <c r="H28" s="46"/>
      <c r="I28" s="46"/>
      <c r="J28" s="46"/>
      <c r="K28" s="46"/>
      <c r="L28" s="37"/>
      <c r="M28" s="37"/>
      <c r="N28" s="746" t="s">
        <v>26</v>
      </c>
      <c r="O28" s="748">
        <v>153.69746294000001</v>
      </c>
      <c r="P28" s="762">
        <v>368.52996849750002</v>
      </c>
      <c r="Q28" s="749"/>
      <c r="R28" s="39"/>
      <c r="S28" s="39"/>
      <c r="T28" s="39"/>
      <c r="U28" s="39"/>
      <c r="V28" s="39"/>
      <c r="W28" s="39"/>
      <c r="X28" s="39"/>
    </row>
    <row r="29" spans="1:24" ht="11.25" customHeight="1">
      <c r="A29" s="37"/>
      <c r="B29" s="37"/>
      <c r="C29" s="46"/>
      <c r="D29" s="46"/>
      <c r="E29" s="46"/>
      <c r="F29" s="46"/>
      <c r="G29" s="46"/>
      <c r="H29" s="46"/>
      <c r="I29" s="46"/>
      <c r="J29" s="46"/>
      <c r="K29" s="46"/>
      <c r="L29" s="37"/>
      <c r="M29" s="37"/>
      <c r="N29" s="746" t="s">
        <v>27</v>
      </c>
      <c r="O29" s="748">
        <v>331.98247399249999</v>
      </c>
      <c r="P29" s="762">
        <v>84.753996027500008</v>
      </c>
      <c r="Q29" s="749"/>
      <c r="R29" s="39"/>
      <c r="S29" s="39"/>
      <c r="T29" s="39"/>
      <c r="U29" s="39"/>
      <c r="V29" s="39"/>
      <c r="W29" s="39"/>
      <c r="X29" s="39"/>
    </row>
    <row r="30" spans="1:24" ht="11.25" customHeight="1">
      <c r="A30" s="37"/>
      <c r="B30" s="37"/>
      <c r="C30" s="46"/>
      <c r="D30" s="46"/>
      <c r="E30" s="46"/>
      <c r="F30" s="46"/>
      <c r="G30" s="46"/>
      <c r="H30" s="46"/>
      <c r="I30" s="46"/>
      <c r="J30" s="46"/>
      <c r="K30" s="46"/>
      <c r="L30" s="37"/>
      <c r="M30" s="37"/>
      <c r="N30" s="746"/>
      <c r="O30" s="746"/>
      <c r="P30" s="746"/>
      <c r="Q30" s="746"/>
      <c r="R30" s="39"/>
      <c r="S30" s="39"/>
      <c r="T30" s="39"/>
      <c r="U30" s="39"/>
      <c r="V30" s="39"/>
      <c r="W30" s="39"/>
      <c r="X30" s="39"/>
    </row>
    <row r="31" spans="1:24" ht="11.25" customHeight="1">
      <c r="A31" s="37"/>
      <c r="B31" s="37"/>
      <c r="C31" s="46"/>
      <c r="D31" s="46"/>
      <c r="E31" s="46"/>
      <c r="F31" s="46"/>
      <c r="G31" s="46"/>
      <c r="H31" s="46"/>
      <c r="I31" s="46"/>
      <c r="J31" s="46"/>
      <c r="K31" s="46"/>
      <c r="L31" s="37"/>
      <c r="M31" s="37"/>
      <c r="N31" s="39"/>
      <c r="O31" s="753"/>
      <c r="P31" s="753"/>
      <c r="Q31" s="754"/>
      <c r="R31" s="39"/>
      <c r="S31" s="39"/>
      <c r="T31" s="39"/>
      <c r="U31" s="39"/>
      <c r="V31" s="39"/>
      <c r="W31" s="39"/>
      <c r="X31" s="39"/>
    </row>
    <row r="32" spans="1:24" ht="11.25" customHeight="1">
      <c r="A32" s="37"/>
      <c r="B32" s="37"/>
      <c r="C32" s="46"/>
      <c r="D32" s="46"/>
      <c r="E32" s="46"/>
      <c r="F32" s="46"/>
      <c r="G32" s="46"/>
      <c r="H32" s="46"/>
      <c r="I32" s="46"/>
      <c r="J32" s="46"/>
      <c r="K32" s="46"/>
      <c r="L32" s="37"/>
      <c r="M32" s="37"/>
      <c r="N32" s="39"/>
      <c r="O32" s="766">
        <f>SUM(O24:O27)*1000</f>
        <v>1525012.2273599997</v>
      </c>
      <c r="P32" s="39"/>
      <c r="Q32" s="37"/>
      <c r="R32" s="39"/>
      <c r="S32" s="39"/>
      <c r="T32" s="39"/>
      <c r="U32" s="39"/>
      <c r="V32" s="39"/>
      <c r="W32" s="39"/>
      <c r="X32" s="39"/>
    </row>
    <row r="33" spans="1:24" ht="11.25" customHeight="1">
      <c r="A33" s="37"/>
      <c r="B33" s="37"/>
      <c r="C33" s="46"/>
      <c r="D33" s="46"/>
      <c r="E33" s="46"/>
      <c r="F33" s="46"/>
      <c r="G33" s="46"/>
      <c r="H33" s="46"/>
      <c r="I33" s="46"/>
      <c r="J33" s="46"/>
      <c r="K33" s="46"/>
      <c r="L33" s="37"/>
      <c r="M33" s="37"/>
      <c r="N33" s="39"/>
      <c r="O33" s="39"/>
      <c r="P33" s="39"/>
      <c r="Q33" s="37"/>
      <c r="R33" s="39"/>
      <c r="S33" s="39"/>
      <c r="T33" s="39"/>
      <c r="U33" s="39"/>
      <c r="V33" s="39"/>
      <c r="W33" s="39"/>
      <c r="X33" s="39"/>
    </row>
    <row r="34" spans="1:24" ht="11.25" customHeight="1">
      <c r="A34" s="37"/>
      <c r="B34" s="37"/>
      <c r="C34" s="46"/>
      <c r="D34" s="46"/>
      <c r="E34" s="46"/>
      <c r="F34" s="46"/>
      <c r="G34" s="46"/>
      <c r="H34" s="46"/>
      <c r="I34" s="46"/>
      <c r="J34" s="46"/>
      <c r="K34" s="46"/>
      <c r="L34" s="37"/>
      <c r="M34" s="37"/>
      <c r="N34" s="39"/>
      <c r="O34" s="39"/>
      <c r="P34" s="39"/>
      <c r="Q34" s="37"/>
      <c r="R34" s="39"/>
      <c r="S34" s="39"/>
      <c r="T34" s="39"/>
      <c r="U34" s="39"/>
      <c r="V34" s="39"/>
      <c r="W34" s="39"/>
      <c r="X34" s="39"/>
    </row>
    <row r="35" spans="1:24" ht="11.25" customHeight="1">
      <c r="A35" s="47"/>
      <c r="B35" s="47"/>
      <c r="C35" s="48"/>
      <c r="D35" s="48"/>
      <c r="E35" s="48"/>
      <c r="F35" s="48"/>
      <c r="G35" s="48"/>
      <c r="H35" s="48"/>
      <c r="I35" s="48"/>
      <c r="J35" s="47"/>
      <c r="K35" s="47"/>
      <c r="L35" s="47"/>
      <c r="M35" s="47"/>
      <c r="N35" s="39"/>
      <c r="O35" s="39"/>
      <c r="P35" s="39"/>
      <c r="Q35" s="37"/>
      <c r="R35" s="39"/>
      <c r="S35" s="39"/>
      <c r="T35" s="39"/>
      <c r="U35" s="39"/>
      <c r="V35" s="39"/>
      <c r="W35" s="39"/>
      <c r="X35" s="39"/>
    </row>
    <row r="36" spans="1:24" ht="11.25" customHeight="1">
      <c r="A36" s="47"/>
      <c r="B36" s="47"/>
      <c r="C36" s="48"/>
      <c r="D36" s="48"/>
      <c r="E36" s="48"/>
      <c r="F36" s="48"/>
      <c r="G36" s="48"/>
      <c r="H36" s="48"/>
      <c r="I36" s="48"/>
      <c r="J36" s="47"/>
      <c r="K36" s="47"/>
      <c r="L36" s="47"/>
      <c r="M36" s="47"/>
      <c r="N36" s="39"/>
      <c r="O36" s="39"/>
      <c r="P36" s="39"/>
      <c r="Q36" s="37"/>
      <c r="R36" s="39"/>
      <c r="S36" s="39"/>
      <c r="T36" s="39"/>
      <c r="U36" s="39"/>
      <c r="V36" s="39"/>
      <c r="W36" s="39"/>
      <c r="X36" s="39"/>
    </row>
    <row r="37" spans="1:24" ht="11.25" customHeight="1">
      <c r="A37" s="47"/>
      <c r="B37" s="47"/>
      <c r="C37" s="48"/>
      <c r="D37" s="48"/>
      <c r="E37" s="48"/>
      <c r="F37" s="48"/>
      <c r="G37" s="48"/>
      <c r="H37" s="48"/>
      <c r="I37" s="48"/>
      <c r="J37" s="47"/>
      <c r="K37" s="47"/>
      <c r="L37" s="47"/>
      <c r="M37" s="47"/>
      <c r="N37" s="37"/>
      <c r="O37" s="37"/>
      <c r="P37" s="37"/>
      <c r="Q37" s="37"/>
      <c r="R37" s="39"/>
      <c r="S37" s="39"/>
      <c r="T37" s="39"/>
      <c r="U37" s="39"/>
      <c r="V37" s="39"/>
      <c r="W37" s="39"/>
      <c r="X37" s="39"/>
    </row>
    <row r="38" spans="1:24" ht="11.25" customHeight="1">
      <c r="A38" s="47"/>
      <c r="B38" s="47"/>
      <c r="C38" s="48"/>
      <c r="D38" s="48"/>
      <c r="E38" s="48"/>
      <c r="F38" s="48"/>
      <c r="G38" s="48"/>
      <c r="H38" s="48"/>
      <c r="I38" s="48"/>
      <c r="J38" s="47"/>
      <c r="K38" s="47"/>
      <c r="L38" s="47"/>
      <c r="M38" s="47"/>
      <c r="N38" s="37"/>
      <c r="O38" s="37"/>
      <c r="P38" s="37"/>
      <c r="Q38" s="37"/>
      <c r="R38" s="39"/>
      <c r="S38" s="39"/>
      <c r="T38" s="39"/>
      <c r="U38" s="39"/>
      <c r="V38" s="39"/>
      <c r="W38" s="39"/>
      <c r="X38" s="39"/>
    </row>
    <row r="39" spans="1:24" ht="11.25" customHeight="1">
      <c r="A39" s="47"/>
      <c r="B39" s="47"/>
      <c r="C39" s="48"/>
      <c r="D39" s="48"/>
      <c r="E39" s="48"/>
      <c r="F39" s="48"/>
      <c r="G39" s="48"/>
      <c r="H39" s="48"/>
      <c r="I39" s="48"/>
      <c r="J39" s="47"/>
      <c r="K39" s="47"/>
      <c r="L39" s="47"/>
      <c r="M39" s="47"/>
      <c r="N39" s="37"/>
      <c r="O39" s="37"/>
      <c r="P39" s="37"/>
      <c r="Q39" s="37"/>
      <c r="R39" s="39"/>
      <c r="S39" s="39"/>
      <c r="T39" s="39"/>
      <c r="U39" s="39"/>
      <c r="V39" s="39"/>
      <c r="W39" s="39"/>
      <c r="X39" s="39"/>
    </row>
    <row r="40" spans="1:24" ht="11.25" customHeight="1">
      <c r="A40" s="47"/>
      <c r="B40" s="47"/>
      <c r="C40" s="48"/>
      <c r="D40" s="48"/>
      <c r="E40" s="48"/>
      <c r="F40" s="48"/>
      <c r="G40" s="48"/>
      <c r="H40" s="48"/>
      <c r="I40" s="48"/>
      <c r="J40" s="47"/>
      <c r="K40" s="47"/>
      <c r="L40" s="47"/>
      <c r="M40" s="47"/>
      <c r="N40" s="37"/>
      <c r="O40" s="37"/>
      <c r="P40" s="37"/>
      <c r="Q40" s="37"/>
      <c r="R40" s="39"/>
      <c r="S40" s="39"/>
      <c r="T40" s="39"/>
      <c r="U40" s="39"/>
      <c r="V40" s="39"/>
      <c r="W40" s="39"/>
      <c r="X40" s="39"/>
    </row>
    <row r="41" spans="1:24" ht="11.25" customHeight="1">
      <c r="A41" s="47"/>
      <c r="B41" s="47"/>
      <c r="C41" s="47"/>
      <c r="D41" s="48"/>
      <c r="E41" s="48"/>
      <c r="F41" s="48"/>
      <c r="G41" s="48"/>
      <c r="H41" s="47"/>
      <c r="I41" s="47"/>
      <c r="J41" s="47"/>
      <c r="K41" s="47"/>
      <c r="L41" s="47"/>
      <c r="M41" s="47"/>
      <c r="N41" s="37"/>
      <c r="O41" s="37"/>
      <c r="P41" s="37"/>
      <c r="Q41" s="37"/>
      <c r="R41" s="39"/>
      <c r="S41" s="39"/>
      <c r="T41" s="39"/>
      <c r="U41" s="39"/>
      <c r="V41" s="39"/>
      <c r="W41" s="39"/>
      <c r="X41" s="39"/>
    </row>
    <row r="42" spans="1:24" ht="11.25" customHeight="1">
      <c r="A42" s="47"/>
      <c r="B42" s="47"/>
      <c r="C42" s="48"/>
      <c r="D42" s="48"/>
      <c r="E42" s="48"/>
      <c r="F42" s="48"/>
      <c r="G42" s="48"/>
      <c r="H42" s="48"/>
      <c r="I42" s="48"/>
      <c r="J42" s="47"/>
      <c r="K42" s="47"/>
      <c r="L42" s="47"/>
      <c r="M42" s="47"/>
      <c r="N42" s="37"/>
      <c r="O42" s="37"/>
      <c r="P42" s="37"/>
      <c r="Q42" s="37"/>
      <c r="R42" s="39"/>
      <c r="S42" s="39"/>
      <c r="T42" s="39"/>
      <c r="U42" s="39"/>
      <c r="V42" s="39"/>
      <c r="W42" s="39"/>
      <c r="X42" s="39"/>
    </row>
    <row r="43" spans="1:24" ht="11.25" customHeight="1">
      <c r="A43" s="47"/>
      <c r="B43" s="47"/>
      <c r="C43" s="48"/>
      <c r="D43" s="48"/>
      <c r="E43" s="48"/>
      <c r="F43" s="48"/>
      <c r="G43" s="48"/>
      <c r="H43" s="48"/>
      <c r="I43" s="48"/>
      <c r="J43" s="47"/>
      <c r="K43" s="47"/>
      <c r="L43" s="47"/>
      <c r="M43" s="47"/>
      <c r="N43" s="37"/>
      <c r="O43" s="37"/>
      <c r="P43" s="37"/>
      <c r="Q43" s="37"/>
      <c r="R43" s="39"/>
      <c r="S43" s="39"/>
      <c r="T43" s="39"/>
      <c r="U43" s="39"/>
      <c r="V43" s="39"/>
      <c r="W43" s="39"/>
      <c r="X43" s="39"/>
    </row>
    <row r="44" spans="1:24" ht="11.25" customHeight="1">
      <c r="A44" s="47"/>
      <c r="B44" s="47"/>
      <c r="C44" s="48"/>
      <c r="D44" s="48"/>
      <c r="E44" s="48"/>
      <c r="F44" s="48"/>
      <c r="G44" s="48"/>
      <c r="H44" s="48"/>
      <c r="I44" s="48"/>
      <c r="J44" s="47"/>
      <c r="K44" s="47"/>
      <c r="L44" s="47"/>
      <c r="M44" s="47"/>
      <c r="N44" s="37"/>
      <c r="O44" s="37"/>
      <c r="P44" s="37"/>
      <c r="Q44" s="37"/>
      <c r="R44" s="39"/>
      <c r="S44" s="39"/>
      <c r="T44" s="39"/>
      <c r="U44" s="39"/>
      <c r="V44" s="39"/>
      <c r="W44" s="39"/>
      <c r="X44" s="39"/>
    </row>
    <row r="45" spans="1:24" ht="11.25" customHeight="1">
      <c r="A45" s="47"/>
      <c r="B45" s="47"/>
      <c r="C45" s="48"/>
      <c r="D45" s="48"/>
      <c r="E45" s="48"/>
      <c r="F45" s="48"/>
      <c r="G45" s="48"/>
      <c r="H45" s="48"/>
      <c r="I45" s="48"/>
      <c r="J45" s="47"/>
      <c r="K45" s="47"/>
      <c r="L45" s="47"/>
      <c r="M45" s="47"/>
      <c r="N45" s="37"/>
      <c r="O45" s="37"/>
      <c r="P45" s="37"/>
      <c r="Q45" s="37"/>
      <c r="R45" s="39"/>
      <c r="S45" s="39"/>
      <c r="T45" s="39"/>
      <c r="U45" s="39"/>
      <c r="V45" s="39"/>
      <c r="W45" s="39"/>
      <c r="X45" s="39"/>
    </row>
    <row r="46" spans="1:24" ht="11.25" customHeight="1">
      <c r="A46" s="47"/>
      <c r="B46" s="47"/>
      <c r="C46" s="47"/>
      <c r="D46" s="47"/>
      <c r="E46" s="47"/>
      <c r="F46" s="47"/>
      <c r="G46" s="47"/>
      <c r="H46" s="47"/>
      <c r="I46" s="47"/>
      <c r="J46" s="47"/>
      <c r="K46" s="47"/>
      <c r="L46" s="47"/>
      <c r="M46" s="47"/>
      <c r="N46" s="37"/>
      <c r="O46" s="37"/>
      <c r="P46" s="37"/>
      <c r="Q46" s="37"/>
      <c r="R46" s="39"/>
      <c r="S46" s="39"/>
      <c r="T46" s="39"/>
      <c r="U46" s="39"/>
      <c r="V46" s="39"/>
      <c r="W46" s="39"/>
      <c r="X46" s="39"/>
    </row>
    <row r="47" spans="1:24" ht="16.5" customHeight="1">
      <c r="A47" s="47"/>
      <c r="B47" s="801" t="str">
        <f>"Total = "&amp;TEXT(ROUND(SUM(O23:O29),2),"0 000,00")&amp;" GWh"</f>
        <v>Total = 5 077,48 GWh</v>
      </c>
      <c r="C47" s="801"/>
      <c r="D47" s="801"/>
      <c r="E47" s="801"/>
      <c r="F47" s="47"/>
      <c r="G47" s="47"/>
      <c r="H47" s="800" t="str">
        <f>"Total = "&amp;TEXT(ROUND(SUM(P23:P29),3),"0 000,000")&amp;" GWh"</f>
        <v>Total = 4 982,322 GWh</v>
      </c>
      <c r="I47" s="800"/>
      <c r="J47" s="800"/>
      <c r="K47" s="800"/>
      <c r="L47" s="47"/>
      <c r="M47" s="47"/>
      <c r="N47" s="37"/>
      <c r="O47" s="37"/>
      <c r="P47" s="37"/>
      <c r="Q47" s="37"/>
      <c r="R47" s="39"/>
      <c r="S47" s="39"/>
      <c r="T47" s="39"/>
      <c r="U47" s="39"/>
      <c r="V47" s="39"/>
      <c r="W47" s="39"/>
      <c r="X47" s="39"/>
    </row>
    <row r="48" spans="1:24" ht="11.25" customHeight="1">
      <c r="H48" s="47"/>
      <c r="I48" s="47"/>
      <c r="J48" s="47"/>
      <c r="K48" s="47"/>
      <c r="L48" s="47"/>
      <c r="M48" s="47"/>
      <c r="N48" s="37"/>
      <c r="O48" s="37"/>
      <c r="P48" s="37"/>
      <c r="Q48" s="37"/>
      <c r="R48" s="39"/>
      <c r="S48" s="39"/>
      <c r="T48" s="39"/>
      <c r="U48" s="39"/>
      <c r="V48" s="39"/>
      <c r="W48" s="39"/>
      <c r="X48" s="39"/>
    </row>
    <row r="49" spans="1:24" ht="11.25" customHeight="1">
      <c r="B49" s="799" t="str">
        <f>"Gráfico 1: Comparación de producción mensual de electricidad en "&amp;Q4&amp;" por tipo de recurso energético."</f>
        <v>Gráfico 1: Comparación de producción mensual de electricidad en mayo por tipo de recurso energético.</v>
      </c>
      <c r="C49" s="799"/>
      <c r="D49" s="799"/>
      <c r="E49" s="799"/>
      <c r="F49" s="799"/>
      <c r="G49" s="799"/>
      <c r="H49" s="799"/>
      <c r="I49" s="799"/>
      <c r="J49" s="799"/>
      <c r="K49" s="799"/>
      <c r="L49" s="799"/>
      <c r="M49" s="192"/>
      <c r="N49" s="755"/>
      <c r="O49" s="37"/>
      <c r="P49" s="37"/>
      <c r="Q49" s="37"/>
      <c r="R49" s="39"/>
      <c r="S49" s="39"/>
      <c r="T49" s="39"/>
      <c r="U49" s="39"/>
      <c r="V49" s="39"/>
      <c r="W49" s="39"/>
      <c r="X49" s="39"/>
    </row>
    <row r="50" spans="1:24" ht="11.25" customHeight="1">
      <c r="B50" s="456"/>
      <c r="C50" s="456"/>
      <c r="D50" s="456"/>
      <c r="E50" s="456"/>
      <c r="F50" s="456"/>
      <c r="G50" s="456"/>
      <c r="H50" s="456"/>
      <c r="I50" s="456"/>
      <c r="J50" s="456"/>
      <c r="K50" s="456"/>
      <c r="L50" s="456"/>
      <c r="M50" s="192"/>
      <c r="N50" s="538"/>
      <c r="O50" s="533"/>
      <c r="P50" s="533"/>
      <c r="Q50" s="533"/>
    </row>
    <row r="51" spans="1:24" ht="11.25" customHeight="1">
      <c r="A51" s="47"/>
      <c r="B51" s="47"/>
      <c r="C51" s="38"/>
      <c r="D51" s="38"/>
      <c r="E51" s="47"/>
      <c r="F51" s="47"/>
      <c r="G51" s="47"/>
      <c r="H51" s="47"/>
      <c r="I51" s="47"/>
      <c r="J51" s="47"/>
      <c r="K51" s="47"/>
      <c r="L51" s="47"/>
      <c r="M51" s="47"/>
      <c r="N51" s="533"/>
      <c r="O51" s="533"/>
      <c r="P51" s="533"/>
      <c r="Q51" s="533"/>
    </row>
    <row r="52" spans="1:24" ht="11.25" customHeight="1">
      <c r="A52" s="47"/>
      <c r="B52" s="47"/>
      <c r="C52" s="47"/>
      <c r="D52" s="47"/>
      <c r="E52" s="47"/>
      <c r="F52" s="47"/>
      <c r="G52" s="47"/>
      <c r="H52" s="47"/>
      <c r="I52" s="47"/>
      <c r="J52" s="47"/>
      <c r="K52" s="47"/>
      <c r="L52" s="47"/>
      <c r="M52" s="47"/>
      <c r="N52" s="533"/>
      <c r="O52" s="533"/>
      <c r="P52" s="533"/>
      <c r="Q52" s="533"/>
    </row>
    <row r="53" spans="1:24" ht="11.25" customHeight="1">
      <c r="A53" s="47"/>
      <c r="B53" s="47"/>
      <c r="C53" s="47"/>
      <c r="D53" s="47"/>
      <c r="E53" s="47"/>
      <c r="F53" s="47"/>
      <c r="G53" s="47"/>
      <c r="H53" s="47"/>
      <c r="I53" s="47"/>
      <c r="J53" s="47"/>
      <c r="K53" s="47"/>
      <c r="L53" s="47"/>
      <c r="M53" s="47"/>
      <c r="N53" s="533"/>
      <c r="O53" s="533"/>
      <c r="P53" s="533"/>
      <c r="Q53" s="533"/>
    </row>
    <row r="54" spans="1:24" ht="11.25" customHeight="1">
      <c r="A54" s="47"/>
      <c r="B54" s="47"/>
      <c r="C54" s="47"/>
      <c r="D54" s="47"/>
      <c r="E54" s="47"/>
      <c r="F54" s="47"/>
      <c r="G54" s="47"/>
      <c r="H54" s="47"/>
      <c r="I54" s="47"/>
      <c r="J54" s="47"/>
      <c r="K54" s="47"/>
      <c r="L54" s="47"/>
      <c r="M54" s="47"/>
      <c r="N54" s="533"/>
      <c r="O54" s="533"/>
      <c r="P54" s="533"/>
      <c r="Q54" s="533"/>
    </row>
    <row r="55" spans="1:24" ht="11.25" customHeight="1">
      <c r="A55" s="6"/>
      <c r="B55" s="49"/>
      <c r="C55" s="49"/>
      <c r="D55" s="49"/>
      <c r="E55" s="49"/>
      <c r="F55" s="49"/>
      <c r="G55" s="49"/>
      <c r="H55" s="49"/>
      <c r="I55" s="49"/>
      <c r="J55" s="49"/>
      <c r="K55" s="50"/>
      <c r="L55" s="51"/>
    </row>
    <row r="56" spans="1:24" ht="11.25" customHeight="1">
      <c r="A56" s="6"/>
      <c r="B56" s="49"/>
      <c r="C56" s="49"/>
      <c r="D56" s="49"/>
      <c r="E56" s="49"/>
      <c r="F56" s="49"/>
      <c r="G56" s="49"/>
      <c r="H56" s="49"/>
      <c r="I56" s="49"/>
      <c r="J56" s="49"/>
      <c r="K56" s="50"/>
      <c r="L56" s="51"/>
    </row>
    <row r="57" spans="1:24" ht="11.25" customHeight="1">
      <c r="A57" s="52"/>
      <c r="B57" s="52"/>
      <c r="C57" s="52"/>
      <c r="D57" s="52"/>
      <c r="E57" s="52"/>
      <c r="F57" s="52"/>
      <c r="G57" s="52"/>
      <c r="H57" s="52"/>
      <c r="I57" s="52"/>
      <c r="J57" s="52"/>
      <c r="K57" s="52"/>
      <c r="L57" s="52"/>
    </row>
    <row r="58" spans="1:24" ht="11.25" customHeight="1">
      <c r="A58" s="52"/>
      <c r="B58" s="52"/>
      <c r="C58" s="52"/>
      <c r="D58" s="52"/>
      <c r="E58" s="52"/>
      <c r="F58" s="52"/>
      <c r="G58" s="52"/>
      <c r="H58" s="52"/>
      <c r="I58" s="52"/>
      <c r="J58" s="52"/>
      <c r="K58" s="52"/>
      <c r="L58" s="52"/>
    </row>
    <row r="59" spans="1:24" ht="11.25" customHeight="1">
      <c r="A59" s="52"/>
      <c r="B59" s="52"/>
      <c r="C59" s="52"/>
      <c r="D59" s="52"/>
      <c r="E59" s="52"/>
      <c r="F59" s="52"/>
      <c r="G59" s="52"/>
      <c r="H59" s="52"/>
      <c r="I59" s="52"/>
      <c r="J59" s="52"/>
      <c r="K59" s="52"/>
      <c r="L59" s="52"/>
    </row>
    <row r="60" spans="1:24" ht="11.25" customHeight="1">
      <c r="A60" s="52"/>
      <c r="B60" s="52"/>
      <c r="C60" s="52"/>
      <c r="D60" s="52"/>
      <c r="E60" s="52"/>
      <c r="F60" s="52"/>
      <c r="G60" s="52"/>
      <c r="H60" s="52"/>
      <c r="I60" s="52"/>
      <c r="J60" s="52"/>
      <c r="K60" s="52"/>
      <c r="L60" s="52"/>
    </row>
    <row r="61" spans="1:24" ht="11.25" customHeight="1">
      <c r="A61" s="52"/>
      <c r="B61" s="52"/>
      <c r="C61" s="52"/>
      <c r="D61" s="52"/>
      <c r="E61" s="52"/>
      <c r="F61" s="52"/>
      <c r="G61" s="52"/>
      <c r="H61" s="52"/>
      <c r="I61" s="52"/>
      <c r="J61" s="52"/>
      <c r="K61" s="52"/>
      <c r="L61" s="52"/>
    </row>
    <row r="62" spans="1:24" ht="11.4">
      <c r="A62" s="52"/>
      <c r="B62" s="52"/>
      <c r="C62" s="52"/>
      <c r="D62" s="52"/>
      <c r="E62" s="52"/>
      <c r="F62" s="52"/>
      <c r="G62" s="52"/>
      <c r="H62" s="52"/>
      <c r="I62" s="52"/>
      <c r="J62" s="52"/>
      <c r="K62" s="52"/>
      <c r="L62" s="52"/>
    </row>
    <row r="63" spans="1:24" ht="11.4">
      <c r="A63" s="52"/>
      <c r="B63" s="52"/>
      <c r="C63" s="52"/>
      <c r="D63" s="52"/>
      <c r="E63" s="52"/>
      <c r="F63" s="52"/>
      <c r="G63" s="52"/>
      <c r="H63" s="52"/>
      <c r="I63" s="52"/>
      <c r="J63" s="52"/>
      <c r="K63" s="52"/>
      <c r="L63" s="52"/>
    </row>
    <row r="64" spans="1:24"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dimension ref="A1:I8"/>
  <sheetViews>
    <sheetView showGridLines="0" view="pageBreakPreview" zoomScaleNormal="100" zoomScaleSheetLayoutView="100" zoomScalePageLayoutView="145" workbookViewId="0">
      <selection activeCell="D22" sqref="D22"/>
    </sheetView>
  </sheetViews>
  <sheetFormatPr baseColWidth="10" defaultColWidth="9.28515625" defaultRowHeight="9.6"/>
  <cols>
    <col min="1" max="1" width="16.140625" style="459" customWidth="1"/>
    <col min="2" max="2" width="19.7109375" style="459" customWidth="1"/>
    <col min="3" max="3" width="12.85546875" style="459" bestFit="1" customWidth="1"/>
    <col min="4" max="4" width="51.28515625" style="459" customWidth="1"/>
    <col min="5" max="5" width="12.140625" style="459" customWidth="1"/>
    <col min="6" max="6" width="12" style="459" customWidth="1"/>
    <col min="7" max="8" width="9.28515625" style="459" customWidth="1"/>
    <col min="9" max="16384" width="9.28515625" style="459"/>
  </cols>
  <sheetData>
    <row r="1" spans="1:9" ht="11.25" customHeight="1">
      <c r="A1" s="457" t="s">
        <v>266</v>
      </c>
      <c r="B1" s="458"/>
      <c r="C1" s="458"/>
      <c r="D1" s="458"/>
      <c r="E1" s="458"/>
      <c r="F1" s="458"/>
    </row>
    <row r="2" spans="1:9" ht="30" customHeight="1">
      <c r="A2" s="460" t="s">
        <v>191</v>
      </c>
      <c r="B2" s="461" t="s">
        <v>267</v>
      </c>
      <c r="C2" s="460" t="s">
        <v>256</v>
      </c>
      <c r="D2" s="462" t="s">
        <v>268</v>
      </c>
      <c r="E2" s="463" t="s">
        <v>269</v>
      </c>
      <c r="F2" s="463" t="s">
        <v>270</v>
      </c>
      <c r="G2" s="464"/>
      <c r="H2" s="465"/>
      <c r="I2" s="466"/>
    </row>
    <row r="3" spans="1:9" ht="57" customHeight="1">
      <c r="A3" s="469" t="s">
        <v>345</v>
      </c>
      <c r="B3" s="469" t="s">
        <v>677</v>
      </c>
      <c r="C3" s="467" t="s">
        <v>714</v>
      </c>
      <c r="D3" s="468" t="s">
        <v>715</v>
      </c>
      <c r="E3" s="469">
        <v>3.5</v>
      </c>
      <c r="F3" s="469"/>
      <c r="G3" s="470"/>
      <c r="H3" s="470"/>
      <c r="I3" s="474"/>
    </row>
    <row r="4" spans="1:9" ht="57" customHeight="1">
      <c r="A4" s="469" t="s">
        <v>345</v>
      </c>
      <c r="B4" s="469" t="s">
        <v>677</v>
      </c>
      <c r="C4" s="467" t="s">
        <v>717</v>
      </c>
      <c r="D4" s="468" t="s">
        <v>718</v>
      </c>
      <c r="E4" s="469">
        <v>3.5</v>
      </c>
      <c r="F4" s="469"/>
      <c r="G4" s="470"/>
      <c r="H4" s="470"/>
      <c r="I4" s="474"/>
    </row>
    <row r="5" spans="1:9" ht="57" customHeight="1">
      <c r="A5" s="469" t="s">
        <v>573</v>
      </c>
      <c r="B5" s="469" t="s">
        <v>719</v>
      </c>
      <c r="C5" s="467" t="s">
        <v>720</v>
      </c>
      <c r="D5" s="468" t="s">
        <v>721</v>
      </c>
      <c r="E5" s="469"/>
      <c r="F5" s="469">
        <v>3</v>
      </c>
      <c r="G5" s="470"/>
      <c r="H5" s="470"/>
      <c r="I5" s="474"/>
    </row>
    <row r="6" spans="1:9" ht="57" customHeight="1">
      <c r="A6" s="469" t="s">
        <v>722</v>
      </c>
      <c r="B6" s="469" t="s">
        <v>723</v>
      </c>
      <c r="C6" s="467" t="s">
        <v>724</v>
      </c>
      <c r="D6" s="468" t="s">
        <v>725</v>
      </c>
      <c r="E6" s="469">
        <v>8.3000000000000007</v>
      </c>
      <c r="F6" s="469"/>
      <c r="G6" s="470"/>
      <c r="H6" s="470"/>
      <c r="I6" s="474"/>
    </row>
    <row r="7" spans="1:9" ht="57" customHeight="1">
      <c r="A7" s="469" t="s">
        <v>102</v>
      </c>
      <c r="B7" s="469" t="s">
        <v>662</v>
      </c>
      <c r="C7" s="467" t="s">
        <v>726</v>
      </c>
      <c r="D7" s="468" t="s">
        <v>727</v>
      </c>
      <c r="E7" s="469">
        <v>9.9</v>
      </c>
      <c r="F7" s="469"/>
      <c r="G7" s="470"/>
      <c r="H7" s="470"/>
      <c r="I7" s="474"/>
    </row>
    <row r="8" spans="1:9" ht="57" customHeight="1">
      <c r="A8" s="469" t="s">
        <v>345</v>
      </c>
      <c r="B8" s="469" t="s">
        <v>728</v>
      </c>
      <c r="C8" s="467" t="s">
        <v>729</v>
      </c>
      <c r="D8" s="468" t="s">
        <v>730</v>
      </c>
      <c r="E8" s="469">
        <v>28.4</v>
      </c>
      <c r="F8" s="469"/>
      <c r="G8" s="470"/>
      <c r="H8" s="470"/>
      <c r="I8" s="474"/>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BreakPreview" zoomScaleNormal="100" zoomScaleSheetLayoutView="100" workbookViewId="0">
      <selection activeCell="D22" sqref="D22"/>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2"/>
      <c r="C7" s="21"/>
      <c r="D7" s="21"/>
      <c r="E7" s="21"/>
      <c r="F7" s="21"/>
      <c r="G7" s="21"/>
      <c r="H7" s="21"/>
      <c r="I7" s="21"/>
      <c r="J7" s="21"/>
      <c r="K7" s="21"/>
      <c r="L7" s="21"/>
      <c r="M7" s="21"/>
      <c r="N7" s="21"/>
      <c r="O7" s="21"/>
    </row>
    <row r="8" spans="2:15">
      <c r="B8" s="182"/>
      <c r="C8" s="21"/>
      <c r="D8" s="21"/>
      <c r="E8" s="21"/>
      <c r="F8" s="21"/>
      <c r="G8" s="21"/>
      <c r="H8" s="21"/>
      <c r="I8" s="21"/>
      <c r="J8" s="21"/>
      <c r="K8" s="21"/>
      <c r="L8" s="21"/>
      <c r="M8" s="21"/>
      <c r="N8" s="21"/>
      <c r="O8" s="21"/>
    </row>
    <row r="9" spans="2:15">
      <c r="B9" s="182"/>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5"/>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7</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Q59"/>
  <sheetViews>
    <sheetView showGridLines="0" view="pageBreakPreview" zoomScale="130" zoomScaleNormal="100" zoomScaleSheetLayoutView="130" zoomScalePageLayoutView="115" workbookViewId="0">
      <selection activeCell="D22" sqref="D22"/>
    </sheetView>
  </sheetViews>
  <sheetFormatPr baseColWidth="10" defaultColWidth="9.28515625" defaultRowHeight="10.199999999999999"/>
  <cols>
    <col min="1" max="1" width="16" style="39" customWidth="1"/>
    <col min="2" max="3" width="11" style="39" customWidth="1"/>
    <col min="4" max="6" width="13.7109375" style="39" customWidth="1"/>
    <col min="7" max="7" width="9.28515625" style="39"/>
    <col min="8" max="8" width="13.28515625" style="39" customWidth="1"/>
    <col min="9" max="9" width="13.140625" style="39" customWidth="1"/>
    <col min="10" max="10" width="11.7109375" style="39" customWidth="1"/>
    <col min="11" max="11" width="9.28515625" style="531"/>
    <col min="12" max="12" width="18.7109375" style="236" bestFit="1" customWidth="1"/>
    <col min="13" max="14" width="9.28515625" style="236"/>
    <col min="15" max="16" width="9.28515625" style="531"/>
    <col min="17" max="17" width="9.28515625" style="526"/>
    <col min="18" max="16384" width="9.28515625" style="39"/>
  </cols>
  <sheetData>
    <row r="2" spans="1:17" ht="16.5" customHeight="1">
      <c r="A2" s="810" t="s">
        <v>582</v>
      </c>
      <c r="B2" s="810"/>
      <c r="C2" s="810"/>
      <c r="D2" s="810"/>
      <c r="E2" s="810"/>
      <c r="F2" s="810"/>
      <c r="G2" s="810"/>
      <c r="H2" s="810"/>
      <c r="I2" s="810"/>
      <c r="J2" s="810"/>
      <c r="K2" s="539"/>
    </row>
    <row r="3" spans="1:17" ht="12" customHeight="1">
      <c r="A3" s="125"/>
      <c r="B3" s="173"/>
      <c r="C3" s="183"/>
      <c r="D3" s="184"/>
      <c r="E3" s="184"/>
      <c r="F3" s="185"/>
      <c r="G3" s="186"/>
      <c r="H3" s="186"/>
      <c r="I3" s="148"/>
      <c r="J3" s="185"/>
    </row>
    <row r="4" spans="1:17" ht="11.25" customHeight="1">
      <c r="A4" s="155" t="s">
        <v>330</v>
      </c>
      <c r="B4" s="173"/>
      <c r="C4" s="183"/>
      <c r="D4" s="184"/>
      <c r="E4" s="184"/>
      <c r="F4" s="185"/>
      <c r="G4" s="186"/>
      <c r="H4" s="186"/>
      <c r="I4" s="148"/>
      <c r="J4" s="185"/>
      <c r="K4" s="530"/>
    </row>
    <row r="5" spans="1:17" ht="11.25" customHeight="1">
      <c r="A5" s="155"/>
      <c r="B5" s="173"/>
      <c r="C5" s="183"/>
      <c r="D5" s="184"/>
      <c r="E5" s="184"/>
      <c r="F5" s="185"/>
      <c r="G5" s="186"/>
      <c r="H5" s="186"/>
      <c r="I5" s="148"/>
      <c r="J5" s="185"/>
      <c r="K5" s="530"/>
    </row>
    <row r="6" spans="1:17" ht="20.399999999999999" customHeight="1">
      <c r="A6" s="630" t="s">
        <v>514</v>
      </c>
      <c r="B6" s="631" t="s">
        <v>161</v>
      </c>
      <c r="C6" s="631" t="s">
        <v>515</v>
      </c>
      <c r="D6" s="631" t="s">
        <v>516</v>
      </c>
      <c r="E6" s="631" t="s">
        <v>517</v>
      </c>
      <c r="F6" s="632" t="s">
        <v>518</v>
      </c>
      <c r="G6" s="633" t="s">
        <v>519</v>
      </c>
      <c r="H6" s="633" t="s">
        <v>520</v>
      </c>
      <c r="I6" s="634" t="s">
        <v>521</v>
      </c>
      <c r="K6" s="530"/>
    </row>
    <row r="7" spans="1:17" ht="19.8" customHeight="1">
      <c r="A7" s="635" t="s">
        <v>94</v>
      </c>
      <c r="B7" s="636" t="s">
        <v>525</v>
      </c>
      <c r="C7" s="636" t="s">
        <v>41</v>
      </c>
      <c r="D7" s="636" t="s">
        <v>564</v>
      </c>
      <c r="E7" s="636" t="s">
        <v>565</v>
      </c>
      <c r="F7" s="637" t="s">
        <v>517</v>
      </c>
      <c r="G7" s="638">
        <v>10.5</v>
      </c>
      <c r="H7" s="639">
        <v>12.23</v>
      </c>
      <c r="I7" s="655" t="s">
        <v>566</v>
      </c>
      <c r="K7" s="685"/>
    </row>
    <row r="8" spans="1:17" ht="19.8" customHeight="1">
      <c r="A8" s="635" t="s">
        <v>89</v>
      </c>
      <c r="B8" s="636" t="s">
        <v>525</v>
      </c>
      <c r="C8" s="636" t="s">
        <v>41</v>
      </c>
      <c r="D8" s="636" t="s">
        <v>564</v>
      </c>
      <c r="E8" s="636" t="s">
        <v>590</v>
      </c>
      <c r="F8" s="637" t="s">
        <v>517</v>
      </c>
      <c r="G8" s="638">
        <v>13.8</v>
      </c>
      <c r="H8" s="639">
        <v>2.1520000000000001</v>
      </c>
      <c r="I8" s="655">
        <v>45716</v>
      </c>
      <c r="K8" s="685"/>
    </row>
    <row r="9" spans="1:17" ht="19.8" customHeight="1">
      <c r="A9" s="635" t="s">
        <v>621</v>
      </c>
      <c r="B9" s="636" t="s">
        <v>525</v>
      </c>
      <c r="C9" s="636" t="s">
        <v>41</v>
      </c>
      <c r="D9" s="636" t="s">
        <v>564</v>
      </c>
      <c r="E9" s="636" t="s">
        <v>775</v>
      </c>
      <c r="F9" s="637" t="s">
        <v>517</v>
      </c>
      <c r="G9" s="638">
        <v>13.8</v>
      </c>
      <c r="H9" s="639">
        <v>209.3</v>
      </c>
      <c r="I9" s="655">
        <v>45807</v>
      </c>
      <c r="K9" s="685"/>
    </row>
    <row r="10" spans="1:17" ht="11.25" customHeight="1">
      <c r="A10" s="640" t="s">
        <v>39</v>
      </c>
      <c r="B10" s="641"/>
      <c r="C10" s="641"/>
      <c r="D10" s="641"/>
      <c r="E10" s="642"/>
      <c r="F10" s="643"/>
      <c r="G10" s="644"/>
      <c r="H10" s="645">
        <f>+H7+H8+H9</f>
        <v>223.68200000000002</v>
      </c>
      <c r="I10" s="646"/>
      <c r="K10" s="530"/>
    </row>
    <row r="11" spans="1:17" s="187" customFormat="1" ht="13.2" customHeight="1">
      <c r="A11" s="228" t="s">
        <v>596</v>
      </c>
      <c r="H11" s="186"/>
      <c r="I11" s="517"/>
      <c r="J11" s="518"/>
      <c r="K11" s="530"/>
      <c r="L11" s="525"/>
      <c r="M11" s="525"/>
      <c r="N11" s="525"/>
      <c r="O11" s="541"/>
      <c r="P11" s="541"/>
      <c r="Q11" s="527"/>
    </row>
    <row r="12" spans="1:17" s="187" customFormat="1" ht="13.2" customHeight="1">
      <c r="A12" s="726"/>
      <c r="H12" s="186"/>
      <c r="I12" s="517"/>
      <c r="J12" s="518"/>
      <c r="K12" s="530"/>
      <c r="L12" s="525"/>
      <c r="M12" s="525"/>
      <c r="N12" s="525"/>
      <c r="O12" s="541"/>
      <c r="P12" s="541"/>
      <c r="Q12" s="527"/>
    </row>
    <row r="13" spans="1:17" s="187" customFormat="1" ht="13.2" customHeight="1">
      <c r="A13" s="155" t="s">
        <v>591</v>
      </c>
      <c r="B13" s="173"/>
      <c r="C13" s="183"/>
      <c r="D13" s="184"/>
      <c r="E13" s="184"/>
      <c r="F13" s="185"/>
      <c r="G13" s="186"/>
      <c r="H13" s="186"/>
      <c r="I13" s="148"/>
      <c r="J13" s="518"/>
      <c r="K13" s="530"/>
      <c r="L13" s="525"/>
      <c r="M13" s="525"/>
      <c r="N13" s="525"/>
      <c r="O13" s="541"/>
      <c r="P13" s="541"/>
      <c r="Q13" s="527"/>
    </row>
    <row r="14" spans="1:17" s="187" customFormat="1" ht="13.2" customHeight="1">
      <c r="A14" s="155"/>
      <c r="B14" s="173"/>
      <c r="C14" s="183"/>
      <c r="D14" s="184"/>
      <c r="E14" s="184"/>
      <c r="F14" s="185"/>
      <c r="G14" s="186"/>
      <c r="H14" s="186"/>
      <c r="I14" s="148"/>
      <c r="J14" s="518"/>
      <c r="K14" s="530"/>
      <c r="L14" s="525"/>
      <c r="M14" s="525"/>
      <c r="N14" s="525"/>
      <c r="O14" s="541"/>
      <c r="P14" s="541"/>
      <c r="Q14" s="527"/>
    </row>
    <row r="15" spans="1:17" s="187" customFormat="1" ht="20.399999999999999" customHeight="1">
      <c r="A15" s="630" t="s">
        <v>514</v>
      </c>
      <c r="B15" s="631" t="s">
        <v>161</v>
      </c>
      <c r="C15" s="631" t="s">
        <v>515</v>
      </c>
      <c r="D15" s="631" t="s">
        <v>516</v>
      </c>
      <c r="E15" s="631" t="s">
        <v>517</v>
      </c>
      <c r="F15" s="632" t="s">
        <v>518</v>
      </c>
      <c r="G15" s="633" t="s">
        <v>519</v>
      </c>
      <c r="H15" s="633" t="s">
        <v>520</v>
      </c>
      <c r="I15" s="634" t="s">
        <v>857</v>
      </c>
      <c r="J15" s="518"/>
      <c r="K15" s="530"/>
      <c r="L15" s="525"/>
      <c r="M15" s="525"/>
      <c r="N15" s="525"/>
      <c r="O15" s="541"/>
      <c r="P15" s="541"/>
      <c r="Q15" s="527"/>
    </row>
    <row r="16" spans="1:17" s="187" customFormat="1" ht="19.8" customHeight="1">
      <c r="A16" s="635" t="s">
        <v>364</v>
      </c>
      <c r="B16" s="636" t="s">
        <v>525</v>
      </c>
      <c r="C16" s="636" t="s">
        <v>41</v>
      </c>
      <c r="D16" s="636" t="s">
        <v>592</v>
      </c>
      <c r="E16" s="636" t="s">
        <v>593</v>
      </c>
      <c r="F16" s="637" t="s">
        <v>517</v>
      </c>
      <c r="G16" s="638">
        <v>13.8</v>
      </c>
      <c r="H16" s="639">
        <v>1.1177699999999999</v>
      </c>
      <c r="I16" s="655">
        <v>45738</v>
      </c>
      <c r="J16" s="518"/>
      <c r="K16" s="530"/>
      <c r="L16" s="525"/>
      <c r="M16" s="525"/>
      <c r="N16" s="525"/>
      <c r="O16" s="541"/>
      <c r="P16" s="541"/>
      <c r="Q16" s="527"/>
    </row>
    <row r="17" spans="1:17" s="187" customFormat="1" ht="19.8" customHeight="1">
      <c r="A17" s="635" t="s">
        <v>364</v>
      </c>
      <c r="B17" s="636" t="s">
        <v>525</v>
      </c>
      <c r="C17" s="636" t="s">
        <v>41</v>
      </c>
      <c r="D17" s="636" t="s">
        <v>592</v>
      </c>
      <c r="E17" s="636" t="s">
        <v>594</v>
      </c>
      <c r="F17" s="637" t="s">
        <v>517</v>
      </c>
      <c r="G17" s="638">
        <v>13.8</v>
      </c>
      <c r="H17" s="639">
        <v>1.62887</v>
      </c>
      <c r="I17" s="655">
        <v>45738</v>
      </c>
      <c r="J17" s="518"/>
      <c r="K17" s="530"/>
      <c r="L17" s="525"/>
      <c r="M17" s="525"/>
      <c r="N17" s="525"/>
      <c r="O17" s="541"/>
      <c r="P17" s="541"/>
      <c r="Q17" s="527"/>
    </row>
    <row r="18" spans="1:17" s="187" customFormat="1" ht="13.2" customHeight="1">
      <c r="A18" s="640" t="s">
        <v>39</v>
      </c>
      <c r="B18" s="641"/>
      <c r="C18" s="641"/>
      <c r="D18" s="641"/>
      <c r="E18" s="642"/>
      <c r="F18" s="643"/>
      <c r="G18" s="644"/>
      <c r="H18" s="645">
        <f>+SUM(H16:H17)</f>
        <v>2.7466400000000002</v>
      </c>
      <c r="I18" s="646"/>
      <c r="J18" s="518"/>
      <c r="K18" s="530"/>
      <c r="L18" s="525"/>
      <c r="M18" s="525"/>
      <c r="N18" s="525"/>
      <c r="O18" s="541"/>
      <c r="P18" s="541"/>
      <c r="Q18" s="527"/>
    </row>
    <row r="19" spans="1:17" s="187" customFormat="1" ht="13.2" customHeight="1">
      <c r="A19" s="228" t="s">
        <v>597</v>
      </c>
      <c r="H19" s="517"/>
      <c r="I19" s="517"/>
      <c r="J19" s="518"/>
      <c r="K19" s="530"/>
      <c r="L19" s="525"/>
      <c r="M19" s="525"/>
      <c r="N19" s="525"/>
      <c r="O19" s="541"/>
      <c r="P19" s="541"/>
      <c r="Q19" s="527"/>
    </row>
    <row r="20" spans="1:17" s="187" customFormat="1" ht="13.95" customHeight="1">
      <c r="A20" s="450"/>
      <c r="B20" s="451"/>
      <c r="C20" s="451"/>
      <c r="D20" s="451"/>
      <c r="E20" s="451"/>
      <c r="F20" s="452"/>
      <c r="G20" s="453"/>
      <c r="H20" s="454"/>
      <c r="I20" s="454"/>
      <c r="J20" s="455"/>
      <c r="K20" s="540"/>
      <c r="L20" s="525"/>
      <c r="M20" s="525"/>
      <c r="N20" s="525"/>
      <c r="O20" s="541"/>
      <c r="P20" s="541"/>
      <c r="Q20" s="527"/>
    </row>
    <row r="21" spans="1:17" ht="11.25" customHeight="1">
      <c r="A21" s="155" t="s">
        <v>595</v>
      </c>
      <c r="B21" s="120"/>
      <c r="C21" s="188"/>
      <c r="D21" s="120"/>
      <c r="E21" s="120"/>
      <c r="F21" s="120"/>
      <c r="G21" s="120"/>
      <c r="H21" s="120"/>
      <c r="I21" s="120"/>
      <c r="J21" s="120"/>
      <c r="K21" s="542"/>
    </row>
    <row r="22" spans="1:17" ht="11.25" customHeight="1">
      <c r="B22" s="120"/>
      <c r="C22" s="188"/>
      <c r="D22" s="120"/>
      <c r="E22" s="120"/>
      <c r="F22" s="120"/>
      <c r="G22" s="120"/>
      <c r="H22" s="120"/>
      <c r="I22" s="120"/>
      <c r="J22" s="120"/>
      <c r="K22" s="542"/>
    </row>
    <row r="23" spans="1:17" ht="21" customHeight="1">
      <c r="B23" s="808" t="s">
        <v>585</v>
      </c>
      <c r="C23" s="809"/>
      <c r="D23" s="303" t="str">
        <f>UPPER('1. Resumen'!Q4)&amp;" "&amp;'1. Resumen'!Q5</f>
        <v>MAYO 2025</v>
      </c>
      <c r="E23" s="303" t="str">
        <f>UPPER('1. Resumen'!Q4)&amp;" "&amp;'1. Resumen'!Q5-1</f>
        <v>MAYO 2024</v>
      </c>
      <c r="F23" s="304" t="s">
        <v>165</v>
      </c>
      <c r="G23" s="189"/>
      <c r="H23" s="189"/>
      <c r="I23" s="120"/>
      <c r="J23" s="120"/>
    </row>
    <row r="24" spans="1:17" ht="9.75" customHeight="1">
      <c r="B24" s="811" t="s">
        <v>162</v>
      </c>
      <c r="C24" s="812"/>
      <c r="D24" s="294">
        <v>5464.6608069999975</v>
      </c>
      <c r="E24" s="295">
        <v>5161.3098199999986</v>
      </c>
      <c r="F24" s="519">
        <f>+D24/E24-1</f>
        <v>5.8774031704998286E-2</v>
      </c>
      <c r="G24" s="189"/>
      <c r="H24" s="189"/>
      <c r="I24" s="188"/>
      <c r="J24" s="120"/>
      <c r="K24" s="542"/>
    </row>
    <row r="25" spans="1:17" ht="9.75" customHeight="1">
      <c r="B25" s="813" t="s">
        <v>163</v>
      </c>
      <c r="C25" s="814"/>
      <c r="D25" s="296">
        <v>7054.3537300000007</v>
      </c>
      <c r="E25" s="297">
        <v>6954.3690200000001</v>
      </c>
      <c r="F25" s="520">
        <f>+D25/E25-1</f>
        <v>1.4377251151392212E-2</v>
      </c>
      <c r="G25" s="190"/>
      <c r="H25" s="190"/>
      <c r="M25" s="528"/>
      <c r="N25" s="528"/>
      <c r="O25" s="543"/>
    </row>
    <row r="26" spans="1:17" ht="9.75" customHeight="1">
      <c r="B26" s="815" t="s">
        <v>164</v>
      </c>
      <c r="C26" s="816"/>
      <c r="D26" s="298">
        <v>1021.3000000000001</v>
      </c>
      <c r="E26" s="299">
        <v>1015.4</v>
      </c>
      <c r="F26" s="521">
        <f>+D26/E26-1</f>
        <v>5.8105180224543584E-3</v>
      </c>
      <c r="G26" s="190"/>
      <c r="H26" s="190"/>
    </row>
    <row r="27" spans="1:17" ht="9.75" customHeight="1">
      <c r="B27" s="817" t="s">
        <v>74</v>
      </c>
      <c r="C27" s="818"/>
      <c r="D27" s="300">
        <v>477.755</v>
      </c>
      <c r="E27" s="301">
        <v>397.82</v>
      </c>
      <c r="F27" s="522">
        <f>+D27/E27-1</f>
        <v>0.20093258257503388</v>
      </c>
      <c r="G27" s="190"/>
      <c r="H27" s="190"/>
    </row>
    <row r="28" spans="1:17" ht="10.5" customHeight="1">
      <c r="B28" s="806" t="s">
        <v>146</v>
      </c>
      <c r="C28" s="807"/>
      <c r="D28" s="302">
        <f>+SUM(D24:D27)</f>
        <v>14018.069536999998</v>
      </c>
      <c r="E28" s="302">
        <f>+SUM(E24:E27)</f>
        <v>13528.898839999998</v>
      </c>
      <c r="F28" s="523">
        <f>+D28/E28-1</f>
        <v>3.6157465791206933E-2</v>
      </c>
      <c r="G28" s="268"/>
      <c r="H28" s="190"/>
    </row>
    <row r="29" spans="1:17" ht="11.25" customHeight="1">
      <c r="B29" s="228" t="str">
        <f>"Cuadro N° 3: Comparación de la potencia efectiva en el SEIN al término de "&amp;'1. Resumen'!Q4&amp;" "&amp;'1. Resumen'!Q5-1&amp;" y "&amp;'1. Resumen'!Q4&amp;" "&amp;'1. Resumen'!Q5</f>
        <v>Cuadro N° 3: Comparación de la potencia efectiva en el SEIN al término de mayo 2024 y mayo 2025</v>
      </c>
      <c r="C29" s="189"/>
      <c r="D29" s="189"/>
      <c r="E29" s="189"/>
      <c r="F29" s="189"/>
      <c r="G29" s="189"/>
      <c r="H29" s="189"/>
      <c r="I29" s="120"/>
      <c r="J29" s="120"/>
      <c r="K29" s="542"/>
    </row>
    <row r="30" spans="1:17" ht="9" customHeight="1">
      <c r="B30" s="228"/>
      <c r="C30" s="189"/>
      <c r="D30" s="189"/>
      <c r="E30" s="189"/>
      <c r="F30" s="189"/>
      <c r="G30" s="189"/>
      <c r="H30" s="189"/>
      <c r="I30" s="120"/>
      <c r="J30" s="120"/>
      <c r="K30" s="542"/>
    </row>
    <row r="31" spans="1:17" ht="9" customHeight="1">
      <c r="B31" s="228"/>
      <c r="C31" s="189"/>
      <c r="D31" s="189"/>
      <c r="E31" s="189"/>
      <c r="F31" s="189"/>
      <c r="G31" s="189"/>
      <c r="H31" s="189"/>
      <c r="I31" s="120"/>
      <c r="J31" s="120"/>
      <c r="K31" s="542"/>
    </row>
    <row r="32" spans="1:17" ht="9" customHeight="1">
      <c r="B32" s="228"/>
      <c r="C32" s="189"/>
      <c r="D32" s="189"/>
      <c r="E32" s="189"/>
      <c r="F32" s="189"/>
      <c r="G32" s="189"/>
      <c r="H32" s="189"/>
      <c r="I32" s="120"/>
      <c r="J32" s="120"/>
      <c r="K32" s="542"/>
    </row>
    <row r="33" spans="2:11" ht="9" customHeight="1">
      <c r="B33" s="228"/>
      <c r="C33" s="189"/>
      <c r="D33" s="189"/>
      <c r="E33" s="189"/>
      <c r="F33" s="189"/>
      <c r="G33" s="189"/>
      <c r="H33" s="189"/>
      <c r="I33" s="120"/>
      <c r="J33" s="120"/>
      <c r="K33" s="542"/>
    </row>
    <row r="34" spans="2:11" ht="9" customHeight="1">
      <c r="B34" s="228"/>
      <c r="C34" s="189"/>
      <c r="D34" s="189"/>
      <c r="E34" s="189"/>
      <c r="F34" s="189"/>
      <c r="G34" s="189"/>
      <c r="H34" s="189"/>
      <c r="I34" s="120"/>
      <c r="J34" s="120"/>
      <c r="K34" s="542"/>
    </row>
    <row r="35" spans="2:11" ht="9" customHeight="1">
      <c r="B35" s="228"/>
      <c r="C35" s="189"/>
      <c r="D35" s="189"/>
      <c r="E35" s="189"/>
      <c r="F35" s="189"/>
      <c r="G35" s="189"/>
      <c r="H35" s="189"/>
      <c r="I35" s="120"/>
      <c r="J35" s="120"/>
      <c r="K35" s="542"/>
    </row>
    <row r="36" spans="2:11" ht="9" customHeight="1">
      <c r="B36" s="228"/>
      <c r="C36" s="189"/>
      <c r="D36" s="189"/>
      <c r="E36" s="189"/>
      <c r="F36" s="189"/>
      <c r="G36" s="189"/>
      <c r="H36" s="189"/>
      <c r="I36" s="120"/>
      <c r="J36" s="120"/>
      <c r="K36" s="542"/>
    </row>
    <row r="37" spans="2:11" ht="9" customHeight="1">
      <c r="B37" s="228"/>
      <c r="C37" s="189"/>
      <c r="D37" s="189"/>
      <c r="E37" s="189"/>
      <c r="F37" s="189"/>
      <c r="G37" s="189"/>
      <c r="H37" s="189"/>
      <c r="I37" s="120"/>
      <c r="J37" s="120"/>
      <c r="K37" s="542"/>
    </row>
    <row r="38" spans="2:11" ht="9" customHeight="1">
      <c r="B38" s="228"/>
      <c r="C38" s="189"/>
      <c r="D38" s="189"/>
      <c r="E38" s="189"/>
      <c r="F38" s="189"/>
      <c r="G38" s="189"/>
      <c r="H38" s="189"/>
      <c r="I38" s="120"/>
      <c r="J38" s="120"/>
      <c r="K38" s="542"/>
    </row>
    <row r="39" spans="2:11" ht="9" customHeight="1">
      <c r="B39" s="228"/>
      <c r="C39" s="189"/>
      <c r="D39" s="189"/>
      <c r="E39" s="189"/>
      <c r="F39" s="189"/>
      <c r="G39" s="189"/>
      <c r="H39" s="189"/>
      <c r="I39" s="120"/>
      <c r="J39" s="120"/>
      <c r="K39" s="542"/>
    </row>
    <row r="40" spans="2:11" ht="9" customHeight="1">
      <c r="B40" s="228"/>
      <c r="C40" s="189"/>
      <c r="D40" s="189"/>
      <c r="E40" s="189"/>
      <c r="F40" s="189"/>
      <c r="G40" s="189"/>
      <c r="H40" s="189"/>
      <c r="I40" s="120"/>
      <c r="J40" s="120"/>
      <c r="K40" s="542"/>
    </row>
    <row r="41" spans="2:11" ht="9" customHeight="1">
      <c r="B41" s="228"/>
      <c r="C41" s="189"/>
      <c r="D41" s="189"/>
      <c r="E41" s="189"/>
      <c r="F41" s="189"/>
      <c r="G41" s="189"/>
      <c r="H41" s="189"/>
      <c r="I41" s="120"/>
      <c r="J41" s="120"/>
      <c r="K41" s="542"/>
    </row>
    <row r="42" spans="2:11" ht="9" customHeight="1">
      <c r="B42" s="228"/>
      <c r="C42" s="189"/>
      <c r="D42" s="189"/>
      <c r="E42" s="189"/>
      <c r="F42" s="189"/>
      <c r="G42" s="189"/>
      <c r="H42" s="189"/>
      <c r="I42" s="120"/>
      <c r="J42" s="120"/>
      <c r="K42" s="542"/>
    </row>
    <row r="43" spans="2:11" ht="9" customHeight="1">
      <c r="B43" s="228"/>
      <c r="C43" s="189"/>
      <c r="D43" s="189"/>
      <c r="E43" s="189"/>
      <c r="F43" s="189"/>
      <c r="G43" s="189"/>
      <c r="H43" s="189"/>
      <c r="I43" s="120"/>
      <c r="J43" s="120"/>
      <c r="K43" s="542"/>
    </row>
    <row r="44" spans="2:11" ht="9" customHeight="1">
      <c r="B44" s="228"/>
      <c r="C44" s="189"/>
      <c r="D44" s="189"/>
      <c r="E44" s="189"/>
      <c r="F44" s="189"/>
      <c r="G44" s="189"/>
      <c r="H44" s="189"/>
      <c r="I44" s="120"/>
      <c r="J44" s="120"/>
      <c r="K44" s="542"/>
    </row>
    <row r="45" spans="2:11" ht="9" customHeight="1">
      <c r="B45" s="228"/>
      <c r="C45" s="189"/>
      <c r="D45" s="189"/>
      <c r="E45" s="189"/>
      <c r="F45" s="189"/>
      <c r="G45" s="189"/>
      <c r="H45" s="189"/>
      <c r="I45" s="120"/>
      <c r="J45" s="120"/>
      <c r="K45" s="542"/>
    </row>
    <row r="46" spans="2:11" ht="9" customHeight="1">
      <c r="B46" s="228"/>
      <c r="C46" s="189"/>
      <c r="D46" s="189"/>
      <c r="E46" s="189"/>
      <c r="F46" s="189"/>
      <c r="G46" s="189"/>
      <c r="H46" s="189"/>
      <c r="I46" s="120"/>
      <c r="J46" s="120"/>
      <c r="K46" s="542"/>
    </row>
    <row r="47" spans="2:11" ht="9" customHeight="1">
      <c r="B47" s="228"/>
      <c r="C47" s="189"/>
      <c r="D47" s="189"/>
      <c r="E47" s="189"/>
      <c r="F47" s="189"/>
      <c r="G47" s="189"/>
      <c r="H47" s="189"/>
      <c r="I47" s="120"/>
      <c r="J47" s="120"/>
      <c r="K47" s="542"/>
    </row>
    <row r="48" spans="2:11" ht="9" customHeight="1">
      <c r="B48" s="228"/>
      <c r="C48" s="189"/>
      <c r="D48" s="189"/>
      <c r="E48" s="189"/>
      <c r="F48" s="189"/>
      <c r="G48" s="189"/>
      <c r="H48" s="189"/>
      <c r="I48" s="120"/>
      <c r="J48" s="120"/>
      <c r="K48" s="542"/>
    </row>
    <row r="49" spans="1:11" ht="9" customHeight="1">
      <c r="B49" s="228"/>
      <c r="C49" s="189"/>
      <c r="D49" s="189"/>
      <c r="E49" s="189"/>
      <c r="F49" s="189"/>
      <c r="G49" s="189"/>
      <c r="H49" s="189"/>
      <c r="I49" s="120"/>
      <c r="J49" s="120"/>
      <c r="K49" s="542"/>
    </row>
    <row r="50" spans="1:11" ht="9" customHeight="1">
      <c r="B50" s="228"/>
      <c r="C50" s="189"/>
      <c r="D50" s="189"/>
      <c r="E50" s="189"/>
      <c r="F50" s="189"/>
      <c r="G50" s="189"/>
      <c r="H50" s="189"/>
      <c r="I50" s="120"/>
      <c r="J50" s="120"/>
      <c r="K50" s="542"/>
    </row>
    <row r="51" spans="1:11" ht="9" customHeight="1">
      <c r="B51" s="228"/>
      <c r="C51" s="189"/>
      <c r="D51" s="189"/>
      <c r="E51" s="189"/>
      <c r="F51" s="189"/>
      <c r="G51" s="189"/>
      <c r="H51" s="189"/>
      <c r="I51" s="120"/>
      <c r="J51" s="120"/>
      <c r="K51" s="542"/>
    </row>
    <row r="52" spans="1:11" ht="9" customHeight="1">
      <c r="B52" s="228"/>
      <c r="C52" s="189"/>
      <c r="D52" s="189"/>
      <c r="E52" s="189"/>
      <c r="F52" s="189"/>
      <c r="G52" s="189"/>
      <c r="H52" s="189"/>
      <c r="I52" s="120"/>
      <c r="J52" s="120"/>
      <c r="K52" s="542"/>
    </row>
    <row r="53" spans="1:11" ht="9" customHeight="1">
      <c r="B53" s="228"/>
      <c r="C53" s="189"/>
      <c r="D53" s="189"/>
      <c r="E53" s="189"/>
      <c r="F53" s="189"/>
      <c r="G53" s="189"/>
      <c r="H53" s="189"/>
      <c r="I53" s="120"/>
      <c r="J53" s="120"/>
      <c r="K53" s="542"/>
    </row>
    <row r="54" spans="1:11" ht="9" customHeight="1">
      <c r="B54" s="228"/>
      <c r="C54" s="189"/>
      <c r="D54" s="189"/>
      <c r="E54" s="189"/>
      <c r="F54" s="189"/>
      <c r="G54" s="189"/>
      <c r="H54" s="189"/>
      <c r="I54" s="120"/>
      <c r="J54" s="120"/>
      <c r="K54" s="542"/>
    </row>
    <row r="55" spans="1:11" ht="9" customHeight="1">
      <c r="B55" s="228"/>
      <c r="C55" s="189"/>
      <c r="D55" s="189"/>
      <c r="E55" s="189"/>
      <c r="F55" s="189"/>
      <c r="G55" s="189"/>
      <c r="H55" s="189"/>
      <c r="I55" s="120"/>
      <c r="J55" s="120"/>
      <c r="K55" s="542"/>
    </row>
    <row r="56" spans="1:11" ht="11.25" customHeight="1">
      <c r="B56" s="228"/>
      <c r="C56" s="189"/>
      <c r="D56" s="189"/>
      <c r="E56" s="189"/>
      <c r="F56" s="189"/>
      <c r="G56" s="189"/>
      <c r="H56" s="189"/>
      <c r="I56" s="120"/>
      <c r="J56" s="120"/>
      <c r="K56" s="542"/>
    </row>
    <row r="57" spans="1:11" ht="25.2" customHeight="1">
      <c r="A57" s="120"/>
      <c r="B57" s="120"/>
      <c r="C57" s="120"/>
      <c r="D57" s="120"/>
      <c r="E57" s="120"/>
      <c r="F57" s="120"/>
      <c r="G57" s="120"/>
      <c r="H57" s="120"/>
      <c r="I57" s="120"/>
      <c r="J57" s="120"/>
    </row>
    <row r="58" spans="1:11" ht="25.2" customHeight="1">
      <c r="A58" s="120"/>
      <c r="B58" s="120"/>
      <c r="C58" s="120"/>
      <c r="D58" s="120"/>
      <c r="E58" s="120"/>
      <c r="F58" s="120"/>
      <c r="G58" s="120"/>
      <c r="H58" s="120"/>
      <c r="I58" s="120"/>
      <c r="J58" s="120"/>
    </row>
    <row r="59" spans="1:11" ht="24" customHeight="1">
      <c r="A59" s="267" t="str">
        <f>"Gráfico N° 3: Comparación de la potencia instalada en el SEIN al término de "&amp;'1. Resumen'!Q4&amp;" "&amp;'1. Resumen'!Q5-1&amp;" y "&amp;'1. Resumen'!Q4&amp;" "&amp;'1. Resumen'!Q5</f>
        <v>Gráfico N° 3: Comparación de la potencia instalada en el SEIN al término de mayo 2024 y mayo 2025</v>
      </c>
      <c r="C59" s="120"/>
      <c r="D59" s="120"/>
      <c r="E59" s="120"/>
      <c r="F59" s="120"/>
      <c r="G59" s="120"/>
      <c r="H59" s="120"/>
      <c r="I59" s="120"/>
      <c r="J59" s="120"/>
    </row>
  </sheetData>
  <mergeCells count="7">
    <mergeCell ref="B28:C28"/>
    <mergeCell ref="B23:C23"/>
    <mergeCell ref="A2:J2"/>
    <mergeCell ref="B24:C24"/>
    <mergeCell ref="B25:C25"/>
    <mergeCell ref="B26:C26"/>
    <mergeCell ref="B27:C27"/>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68"/>
  <sheetViews>
    <sheetView showGridLines="0" view="pageBreakPreview" topLeftCell="B4" zoomScale="110" zoomScaleNormal="100" zoomScaleSheetLayoutView="110" zoomScalePageLayoutView="115" workbookViewId="0">
      <selection activeCell="D22" sqref="D22"/>
    </sheetView>
  </sheetViews>
  <sheetFormatPr baseColWidth="10" defaultColWidth="9.28515625" defaultRowHeight="10.199999999999999"/>
  <cols>
    <col min="1" max="1" width="21" style="39" customWidth="1"/>
    <col min="2" max="2" width="12.28515625" style="39" bestFit="1" customWidth="1"/>
    <col min="3" max="4" width="10.5703125" style="39" bestFit="1" customWidth="1"/>
    <col min="5" max="5" width="10" style="39" customWidth="1"/>
    <col min="6" max="6" width="9.7109375" style="39" customWidth="1"/>
    <col min="7" max="8" width="10.85546875" style="39" bestFit="1" customWidth="1"/>
    <col min="9" max="9" width="10.140625" style="39" customWidth="1"/>
    <col min="10" max="10" width="10.85546875" style="39" bestFit="1"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23" t="s">
        <v>166</v>
      </c>
      <c r="B2" s="823"/>
      <c r="C2" s="823"/>
      <c r="D2" s="823"/>
      <c r="E2" s="823"/>
      <c r="F2" s="823"/>
      <c r="G2" s="823"/>
      <c r="H2" s="823"/>
      <c r="I2" s="823"/>
      <c r="J2" s="823"/>
      <c r="K2" s="823"/>
    </row>
    <row r="3" spans="1:14" ht="11.25" customHeight="1">
      <c r="A3" s="74"/>
      <c r="B3" s="75"/>
      <c r="C3" s="76"/>
      <c r="D3" s="77"/>
      <c r="E3" s="77"/>
      <c r="F3" s="77"/>
      <c r="G3" s="77"/>
      <c r="H3" s="74"/>
      <c r="I3" s="74"/>
      <c r="J3" s="74"/>
      <c r="K3" s="78"/>
    </row>
    <row r="4" spans="1:14" ht="11.25" customHeight="1">
      <c r="A4" s="824" t="str">
        <f>+"3.1. PRODUCCIÓN POR TIPO DE GENERACIÓN (GWh)"</f>
        <v>3.1. PRODUCCIÓN POR TIPO DE GENERACIÓN (GWh)</v>
      </c>
      <c r="B4" s="824"/>
      <c r="C4" s="824"/>
      <c r="D4" s="824"/>
      <c r="E4" s="824"/>
      <c r="F4" s="824"/>
      <c r="G4" s="824"/>
      <c r="H4" s="824"/>
      <c r="I4" s="824"/>
      <c r="J4" s="824"/>
      <c r="K4" s="824"/>
    </row>
    <row r="5" spans="1:14" ht="11.25" customHeight="1">
      <c r="A5" s="47"/>
      <c r="B5" s="777"/>
      <c r="C5" s="777"/>
      <c r="D5" s="777"/>
      <c r="E5" s="79"/>
      <c r="F5" s="79"/>
      <c r="G5" s="79"/>
      <c r="H5" s="80"/>
      <c r="I5" s="74"/>
      <c r="J5" s="74"/>
      <c r="K5" s="81"/>
    </row>
    <row r="6" spans="1:14" ht="18" customHeight="1">
      <c r="A6" s="821" t="s">
        <v>29</v>
      </c>
      <c r="B6" s="825" t="s">
        <v>30</v>
      </c>
      <c r="C6" s="826"/>
      <c r="D6" s="826"/>
      <c r="E6" s="826" t="s">
        <v>31</v>
      </c>
      <c r="F6" s="826"/>
      <c r="G6" s="827" t="str">
        <f>"Generación Acumulada a "&amp;'1. Resumen'!Q4</f>
        <v>Generación Acumulada a mayo</v>
      </c>
      <c r="H6" s="827"/>
      <c r="I6" s="827"/>
      <c r="J6" s="827"/>
      <c r="K6" s="828"/>
    </row>
    <row r="7" spans="1:14" ht="32.25" customHeight="1">
      <c r="A7" s="822"/>
      <c r="B7" s="305">
        <f>+C7-30</f>
        <v>45720</v>
      </c>
      <c r="C7" s="305">
        <f>+D7-28</f>
        <v>45750</v>
      </c>
      <c r="D7" s="305">
        <f>+'1. Resumen'!Q6</f>
        <v>45778</v>
      </c>
      <c r="E7" s="305">
        <f>+D7-365</f>
        <v>45413</v>
      </c>
      <c r="F7" s="306" t="s">
        <v>32</v>
      </c>
      <c r="G7" s="307">
        <v>2025</v>
      </c>
      <c r="H7" s="307">
        <v>2024</v>
      </c>
      <c r="I7" s="306" t="s">
        <v>581</v>
      </c>
      <c r="J7" s="307">
        <v>2023</v>
      </c>
      <c r="K7" s="308" t="s">
        <v>387</v>
      </c>
    </row>
    <row r="8" spans="1:14" ht="15" customHeight="1">
      <c r="A8" s="105" t="s">
        <v>33</v>
      </c>
      <c r="B8" s="251">
        <v>3142.6600324074998</v>
      </c>
      <c r="C8" s="249">
        <v>3260.5241830800014</v>
      </c>
      <c r="D8" s="252">
        <v>3066.7897235099999</v>
      </c>
      <c r="E8" s="251">
        <v>2689.1808162449997</v>
      </c>
      <c r="F8" s="197">
        <f>IF(E8=0,"",D8/E8-1)</f>
        <v>0.14041781979996015</v>
      </c>
      <c r="G8" s="259">
        <v>15904.9683447475</v>
      </c>
      <c r="H8" s="249">
        <v>15326.785117079999</v>
      </c>
      <c r="I8" s="201">
        <f>IF(H8=0,"",G8/H8-1)</f>
        <v>3.7723712001623833E-2</v>
      </c>
      <c r="J8" s="251">
        <v>13899.929987617501</v>
      </c>
      <c r="K8" s="197">
        <f>IF(J8=0,"",H8/J8-1)</f>
        <v>0.10265196520655762</v>
      </c>
    </row>
    <row r="9" spans="1:14" ht="15" customHeight="1">
      <c r="A9" s="106" t="s">
        <v>34</v>
      </c>
      <c r="B9" s="253">
        <v>1761.50165049</v>
      </c>
      <c r="C9" s="207">
        <v>1299.9371481550004</v>
      </c>
      <c r="D9" s="254">
        <v>1525.01222736</v>
      </c>
      <c r="E9" s="253">
        <v>1839.8576682774997</v>
      </c>
      <c r="F9" s="198">
        <f t="shared" ref="F9" si="0">IF(E9=0,"",D9/E9-1)</f>
        <v>-0.17112488990100105</v>
      </c>
      <c r="G9" s="260">
        <v>7462.720913905001</v>
      </c>
      <c r="H9" s="207">
        <v>7757.0083669175001</v>
      </c>
      <c r="I9" s="202">
        <f t="shared" ref="I9:I15" si="1">IF(H9=0,"",G9/H9-1)</f>
        <v>-3.7938266802391429E-2</v>
      </c>
      <c r="J9" s="253">
        <v>9248.4286917725003</v>
      </c>
      <c r="K9" s="198">
        <f t="shared" ref="K9:K15" si="2">IF(J9=0,"",H9/J9-1)</f>
        <v>-0.16126202348100316</v>
      </c>
    </row>
    <row r="10" spans="1:14" ht="15" customHeight="1">
      <c r="A10" s="107" t="s">
        <v>35</v>
      </c>
      <c r="B10" s="255">
        <v>330.48742763999996</v>
      </c>
      <c r="C10" s="208">
        <v>375.92274478999997</v>
      </c>
      <c r="D10" s="256">
        <v>153.69746294000001</v>
      </c>
      <c r="E10" s="255">
        <v>368.52996849750002</v>
      </c>
      <c r="F10" s="199">
        <f>IF(E10=0,"",D10/E10-1)</f>
        <v>-0.58294446563836866</v>
      </c>
      <c r="G10" s="261">
        <v>1374.54444603</v>
      </c>
      <c r="H10" s="208">
        <v>1428.3066700475001</v>
      </c>
      <c r="I10" s="203">
        <f t="shared" si="1"/>
        <v>-3.764053276857704E-2</v>
      </c>
      <c r="J10" s="255">
        <v>789.94336493499998</v>
      </c>
      <c r="K10" s="199">
        <f t="shared" si="2"/>
        <v>0.80811275016535844</v>
      </c>
    </row>
    <row r="11" spans="1:14" ht="15" customHeight="1">
      <c r="A11" s="106" t="s">
        <v>27</v>
      </c>
      <c r="B11" s="253">
        <v>114.0615374225</v>
      </c>
      <c r="C11" s="207">
        <v>141.33472454750003</v>
      </c>
      <c r="D11" s="254">
        <v>331.98247399249999</v>
      </c>
      <c r="E11" s="253">
        <v>84.753996027500008</v>
      </c>
      <c r="F11" s="198">
        <f>IF(E11=0,"",D11/E11-1)</f>
        <v>2.9170126430945169</v>
      </c>
      <c r="G11" s="260">
        <v>798.04096376500001</v>
      </c>
      <c r="H11" s="207">
        <v>460.44591376249997</v>
      </c>
      <c r="I11" s="202">
        <f t="shared" si="1"/>
        <v>0.73319154304979461</v>
      </c>
      <c r="J11" s="253">
        <v>307.86532708750002</v>
      </c>
      <c r="K11" s="198">
        <f t="shared" si="2"/>
        <v>0.49560821973185121</v>
      </c>
      <c r="N11" s="587"/>
    </row>
    <row r="12" spans="1:14" ht="15" customHeight="1">
      <c r="A12" s="133" t="s">
        <v>39</v>
      </c>
      <c r="B12" s="257">
        <f>+SUM(B8:B11)</f>
        <v>5348.7106479599997</v>
      </c>
      <c r="C12" s="250">
        <f t="shared" ref="C12:E12" si="3">+SUM(C8:C11)</f>
        <v>5077.718800572502</v>
      </c>
      <c r="D12" s="258">
        <f>+SUM(D8:D11)</f>
        <v>5077.4818878024998</v>
      </c>
      <c r="E12" s="257">
        <f t="shared" si="3"/>
        <v>4982.3224490474995</v>
      </c>
      <c r="F12" s="200">
        <f>IF(E12=0,"",D12/E12-1)</f>
        <v>1.9099413923559405E-2</v>
      </c>
      <c r="G12" s="257">
        <f t="shared" ref="G12" si="4">+SUM(G8:G11)</f>
        <v>25540.274668447499</v>
      </c>
      <c r="H12" s="250">
        <f>+SUM(H8:H11)</f>
        <v>24972.5460678075</v>
      </c>
      <c r="I12" s="204">
        <f>IF(H12=0,"",G12/H12-1)</f>
        <v>2.2734109653795631E-2</v>
      </c>
      <c r="J12" s="257">
        <f>+SUM(J8:J11)</f>
        <v>24246.167371412503</v>
      </c>
      <c r="K12" s="200">
        <f t="shared" si="2"/>
        <v>2.995849551263241E-2</v>
      </c>
    </row>
    <row r="13" spans="1:14" ht="15" customHeight="1">
      <c r="A13" s="101"/>
      <c r="B13" s="101"/>
      <c r="C13" s="101"/>
      <c r="D13" s="101"/>
      <c r="E13" s="101"/>
      <c r="F13" s="103"/>
      <c r="G13" s="101"/>
      <c r="H13" s="101"/>
      <c r="I13" s="479"/>
      <c r="J13" s="102"/>
      <c r="K13" s="103" t="str">
        <f t="shared" si="2"/>
        <v/>
      </c>
    </row>
    <row r="14" spans="1:14" ht="15" customHeight="1">
      <c r="A14" s="108" t="s">
        <v>36</v>
      </c>
      <c r="B14" s="690">
        <v>0.14509192999999998</v>
      </c>
      <c r="C14" s="691">
        <v>0.82109803000000003</v>
      </c>
      <c r="D14" s="692">
        <v>0</v>
      </c>
      <c r="E14" s="690">
        <v>0</v>
      </c>
      <c r="F14" s="109" t="str">
        <f>IF(E14=0,"",D14/E14-1)</f>
        <v/>
      </c>
      <c r="G14" s="195">
        <v>1.8491507299999999</v>
      </c>
      <c r="H14" s="196">
        <v>0</v>
      </c>
      <c r="I14" s="112" t="str">
        <f>IF(H14=0,"",G14/H14-1)</f>
        <v/>
      </c>
      <c r="J14" s="195">
        <v>2.0966887600000002</v>
      </c>
      <c r="K14" s="109">
        <f t="shared" si="2"/>
        <v>-1</v>
      </c>
    </row>
    <row r="15" spans="1:14" ht="15" customHeight="1">
      <c r="A15" s="107" t="s">
        <v>37</v>
      </c>
      <c r="B15" s="255">
        <v>0</v>
      </c>
      <c r="C15" s="208">
        <v>0</v>
      </c>
      <c r="D15" s="256">
        <v>0</v>
      </c>
      <c r="E15" s="255">
        <v>0</v>
      </c>
      <c r="F15" s="110" t="str">
        <f t="shared" ref="F15" si="5">IF(E15=0,"",D15/E15-1)</f>
        <v/>
      </c>
      <c r="G15" s="193">
        <v>0</v>
      </c>
      <c r="H15" s="194">
        <v>2.9687826900000034</v>
      </c>
      <c r="I15" s="104">
        <f t="shared" si="1"/>
        <v>-1</v>
      </c>
      <c r="J15" s="193">
        <v>0.25442452999999998</v>
      </c>
      <c r="K15" s="110">
        <f t="shared" si="2"/>
        <v>10.668618155647192</v>
      </c>
    </row>
    <row r="16" spans="1:14" ht="23.25" customHeight="1">
      <c r="A16" s="114" t="s">
        <v>38</v>
      </c>
      <c r="B16" s="205">
        <f>+B15-B14</f>
        <v>-0.14509192999999998</v>
      </c>
      <c r="C16" s="206">
        <f t="shared" ref="C16:E16" si="6">+C15-C14</f>
        <v>-0.82109803000000003</v>
      </c>
      <c r="D16" s="206">
        <f t="shared" si="6"/>
        <v>0</v>
      </c>
      <c r="E16" s="205">
        <f t="shared" si="6"/>
        <v>0</v>
      </c>
      <c r="F16" s="111"/>
      <c r="G16" s="205">
        <f t="shared" ref="G16:H16" si="7">+G15-G14</f>
        <v>-1.8491507299999999</v>
      </c>
      <c r="H16" s="206">
        <f t="shared" si="7"/>
        <v>2.9687826900000034</v>
      </c>
      <c r="I16" s="113"/>
      <c r="J16" s="205">
        <f>+J15-J14</f>
        <v>-1.8422642300000001</v>
      </c>
      <c r="K16" s="111"/>
    </row>
    <row r="17" spans="1:11" ht="11.25" customHeight="1">
      <c r="A17" s="192" t="s">
        <v>598</v>
      </c>
      <c r="B17" s="99"/>
      <c r="C17" s="99"/>
      <c r="D17" s="99"/>
      <c r="E17" s="99"/>
      <c r="F17" s="99"/>
      <c r="G17" s="99"/>
      <c r="H17" s="99"/>
      <c r="I17" s="99"/>
      <c r="J17" s="99"/>
      <c r="K17" s="99"/>
    </row>
    <row r="18" spans="1:11" ht="24.6" customHeight="1">
      <c r="A18" s="26" t="s">
        <v>374</v>
      </c>
      <c r="B18" s="99"/>
      <c r="C18" s="99"/>
      <c r="D18" s="99"/>
      <c r="E18" s="99"/>
      <c r="F18" s="99"/>
      <c r="G18" s="99"/>
      <c r="H18" s="99"/>
      <c r="I18" s="99"/>
      <c r="J18" s="99"/>
      <c r="K18" s="99"/>
    </row>
    <row r="19" spans="1:11" ht="11.25" customHeight="1">
      <c r="A19" s="1"/>
      <c r="B19" s="84"/>
      <c r="C19" s="84"/>
      <c r="D19" s="84"/>
      <c r="E19" s="84"/>
      <c r="F19" s="84"/>
      <c r="G19" s="84"/>
      <c r="H19" s="84"/>
      <c r="I19" s="84"/>
      <c r="J19" s="84"/>
      <c r="K19" s="84"/>
    </row>
    <row r="20" spans="1:11" ht="11.25" customHeight="1">
      <c r="A20" s="1"/>
      <c r="B20" s="84"/>
      <c r="C20" s="84"/>
      <c r="D20" s="84"/>
      <c r="E20" s="84"/>
      <c r="F20" s="84"/>
      <c r="G20" s="84"/>
      <c r="H20" s="84"/>
      <c r="I20" s="84"/>
      <c r="J20" s="84"/>
      <c r="K20" s="84"/>
    </row>
    <row r="21" spans="1:11" ht="11.25" customHeight="1">
      <c r="A21" s="47"/>
      <c r="B21" s="47"/>
      <c r="C21" s="47"/>
      <c r="D21" s="47"/>
      <c r="E21" s="47"/>
      <c r="F21" s="47"/>
      <c r="G21" s="47"/>
      <c r="H21" s="47"/>
      <c r="I21" s="47"/>
      <c r="J21" s="47"/>
      <c r="K21" s="47"/>
    </row>
    <row r="22" spans="1:11" ht="11.25" customHeight="1">
      <c r="A22" s="1"/>
      <c r="B22" s="84"/>
      <c r="C22" s="84"/>
      <c r="D22" s="84"/>
      <c r="E22" s="84"/>
      <c r="F22" s="84"/>
      <c r="G22" s="84"/>
      <c r="H22" s="84"/>
      <c r="I22" s="84"/>
      <c r="J22" s="84"/>
      <c r="K22" s="84"/>
    </row>
    <row r="23" spans="1:11" ht="11.25" customHeight="1">
      <c r="A23" s="1"/>
      <c r="B23" s="84"/>
      <c r="C23" s="84"/>
      <c r="D23" s="84"/>
      <c r="E23" s="84"/>
      <c r="F23" s="84"/>
      <c r="G23" s="84"/>
      <c r="H23" s="84"/>
      <c r="I23" s="84"/>
      <c r="J23" s="84"/>
      <c r="K23" s="84"/>
    </row>
    <row r="24" spans="1:11" ht="11.25" customHeight="1">
      <c r="A24" s="1"/>
      <c r="B24" s="84"/>
      <c r="C24" s="84"/>
      <c r="D24" s="84"/>
      <c r="E24" s="84"/>
      <c r="F24" s="84"/>
      <c r="G24" s="84"/>
      <c r="H24" s="84"/>
      <c r="I24" s="84"/>
      <c r="J24" s="84"/>
      <c r="K24" s="84"/>
    </row>
    <row r="25" spans="1:11" ht="11.25" customHeight="1">
      <c r="A25" s="1"/>
      <c r="B25" s="84"/>
      <c r="C25" s="84"/>
      <c r="D25" s="84"/>
      <c r="E25" s="84"/>
      <c r="F25" s="84"/>
      <c r="G25" s="84"/>
      <c r="H25" s="84"/>
      <c r="I25" s="84"/>
      <c r="J25" s="84"/>
      <c r="K25" s="84"/>
    </row>
    <row r="26" spans="1:11" ht="11.25" customHeight="1">
      <c r="A26" s="1"/>
      <c r="B26" s="84"/>
      <c r="C26" s="84"/>
      <c r="D26" s="84"/>
      <c r="E26" s="84"/>
      <c r="F26" s="84"/>
      <c r="G26" s="84"/>
      <c r="H26" s="84"/>
      <c r="I26" s="84"/>
      <c r="J26" s="84"/>
      <c r="K26" s="84"/>
    </row>
    <row r="27" spans="1:11" ht="11.25" customHeight="1">
      <c r="A27" s="1"/>
      <c r="B27" s="84"/>
      <c r="C27" s="84"/>
      <c r="D27" s="84"/>
      <c r="E27" s="84"/>
      <c r="F27" s="84"/>
      <c r="G27" s="84"/>
      <c r="H27" s="84"/>
      <c r="I27" s="84"/>
      <c r="J27" s="84"/>
      <c r="K27" s="84"/>
    </row>
    <row r="28" spans="1:11" ht="11.25" customHeight="1">
      <c r="A28" s="1"/>
      <c r="B28" s="84"/>
      <c r="C28" s="84"/>
      <c r="D28" s="84"/>
      <c r="E28" s="84"/>
      <c r="F28" s="84"/>
      <c r="G28" s="84"/>
      <c r="H28" s="84"/>
      <c r="I28" s="84"/>
      <c r="J28" s="84"/>
      <c r="K28" s="84"/>
    </row>
    <row r="29" spans="1:11" ht="11.25" customHeight="1">
      <c r="A29" s="1"/>
      <c r="B29" s="84"/>
      <c r="C29" s="84"/>
      <c r="D29" s="84"/>
      <c r="E29" s="84"/>
      <c r="F29" s="84"/>
      <c r="G29" s="84"/>
      <c r="H29" s="84"/>
      <c r="I29" s="84"/>
      <c r="J29" s="84"/>
      <c r="K29" s="84"/>
    </row>
    <row r="30" spans="1:11" ht="11.25" customHeight="1">
      <c r="A30" s="1"/>
      <c r="B30" s="84"/>
      <c r="C30" s="84"/>
      <c r="D30" s="84"/>
      <c r="E30" s="84"/>
      <c r="F30" s="84"/>
      <c r="G30" s="84"/>
      <c r="H30" s="84"/>
      <c r="I30" s="84"/>
      <c r="J30" s="84"/>
      <c r="K30" s="84"/>
    </row>
    <row r="31" spans="1:11" ht="11.25" customHeight="1">
      <c r="A31" s="1"/>
      <c r="B31" s="84"/>
      <c r="C31" s="84"/>
      <c r="D31" s="84"/>
      <c r="E31" s="84"/>
      <c r="F31" s="84"/>
      <c r="G31" s="84"/>
      <c r="H31" s="84"/>
      <c r="I31" s="84"/>
      <c r="J31" s="84"/>
      <c r="K31" s="84"/>
    </row>
    <row r="32" spans="1:11" ht="11.25" customHeight="1">
      <c r="A32" s="1"/>
      <c r="B32" s="84"/>
      <c r="C32" s="84"/>
      <c r="D32" s="84"/>
      <c r="E32" s="84"/>
      <c r="F32" s="84"/>
      <c r="G32" s="84"/>
      <c r="H32" s="84"/>
      <c r="I32" s="84"/>
      <c r="J32" s="84"/>
      <c r="K32" s="84"/>
    </row>
    <row r="33" spans="1:11" ht="11.25" customHeight="1">
      <c r="A33" s="1"/>
      <c r="B33" s="84"/>
      <c r="C33" s="84"/>
      <c r="D33" s="84"/>
      <c r="E33" s="84"/>
      <c r="F33" s="84"/>
      <c r="G33" s="84"/>
      <c r="H33" s="84"/>
      <c r="I33" s="84"/>
      <c r="J33" s="84"/>
      <c r="K33" s="84"/>
    </row>
    <row r="34" spans="1:11" ht="11.25" customHeight="1">
      <c r="A34" s="1"/>
      <c r="B34" s="84"/>
      <c r="C34" s="84"/>
      <c r="D34" s="84"/>
      <c r="E34" s="84"/>
      <c r="F34" s="84"/>
      <c r="G34" s="84"/>
      <c r="H34" s="84"/>
      <c r="I34" s="84"/>
      <c r="J34" s="84"/>
      <c r="K34" s="84"/>
    </row>
    <row r="35" spans="1:11" ht="11.25" customHeight="1">
      <c r="A35" s="1"/>
      <c r="B35" s="84"/>
      <c r="C35" s="84"/>
      <c r="D35" s="84"/>
      <c r="E35" s="84"/>
      <c r="F35" s="84"/>
      <c r="G35" s="84"/>
      <c r="H35" s="84"/>
      <c r="I35" s="84"/>
      <c r="J35" s="84"/>
      <c r="K35" s="84"/>
    </row>
    <row r="36" spans="1:11" ht="11.25" customHeight="1">
      <c r="A36" s="1"/>
      <c r="B36" s="84"/>
      <c r="C36" s="84"/>
      <c r="D36" s="84"/>
      <c r="E36" s="84"/>
      <c r="F36" s="84"/>
      <c r="G36" s="84"/>
      <c r="H36" s="84"/>
      <c r="I36" s="84"/>
      <c r="J36" s="84"/>
      <c r="K36" s="84"/>
    </row>
    <row r="37" spans="1:11" ht="11.25" customHeight="1">
      <c r="A37" s="1"/>
      <c r="B37" s="84"/>
      <c r="C37" s="84"/>
      <c r="D37" s="84"/>
      <c r="E37" s="84"/>
      <c r="F37" s="84"/>
      <c r="G37" s="84"/>
      <c r="H37" s="84"/>
      <c r="I37" s="84"/>
      <c r="J37" s="84"/>
      <c r="K37" s="84"/>
    </row>
    <row r="38" spans="1:11" ht="11.25" customHeight="1">
      <c r="A38" s="1"/>
      <c r="B38" s="84"/>
      <c r="C38" s="84"/>
      <c r="D38" s="84"/>
      <c r="E38" s="84"/>
      <c r="F38" s="84"/>
      <c r="G38" s="84"/>
      <c r="H38" s="84"/>
      <c r="I38" s="84"/>
      <c r="J38" s="84"/>
      <c r="K38" s="84"/>
    </row>
    <row r="39" spans="1:11" ht="11.25" customHeight="1">
      <c r="A39" s="1"/>
      <c r="B39" s="84"/>
      <c r="C39" s="84"/>
      <c r="D39" s="84"/>
      <c r="E39" s="84"/>
      <c r="F39" s="84"/>
      <c r="G39" s="84"/>
      <c r="H39" s="84"/>
      <c r="I39" s="84"/>
      <c r="J39" s="84"/>
      <c r="K39" s="84"/>
    </row>
    <row r="40" spans="1:11" ht="11.25" customHeight="1">
      <c r="A40" s="1"/>
      <c r="B40" s="84"/>
      <c r="C40" s="84"/>
      <c r="D40" s="84"/>
      <c r="E40" s="84"/>
      <c r="F40" s="84"/>
      <c r="G40" s="84"/>
      <c r="H40" s="84"/>
      <c r="I40" s="84"/>
      <c r="J40" s="84"/>
      <c r="K40" s="84"/>
    </row>
    <row r="41" spans="1:11" ht="11.25" customHeight="1">
      <c r="A41" s="1"/>
      <c r="B41" s="84"/>
      <c r="C41" s="84"/>
      <c r="D41" s="84"/>
      <c r="E41" s="84"/>
      <c r="F41" s="84"/>
      <c r="G41" s="84"/>
      <c r="H41" s="84"/>
      <c r="I41" s="84"/>
      <c r="J41" s="84"/>
      <c r="K41" s="84"/>
    </row>
    <row r="42" spans="1:11" ht="11.25" customHeight="1">
      <c r="A42" s="85"/>
      <c r="B42" s="819"/>
      <c r="C42" s="819"/>
      <c r="D42" s="819"/>
      <c r="E42" s="82"/>
      <c r="F42" s="82"/>
      <c r="G42" s="820"/>
      <c r="H42" s="820"/>
      <c r="I42" s="820"/>
      <c r="J42" s="820"/>
      <c r="K42" s="820"/>
    </row>
    <row r="43" spans="1:11" ht="11.25" customHeight="1">
      <c r="A43" s="86"/>
      <c r="B43" s="87"/>
      <c r="C43" s="87"/>
      <c r="D43" s="87"/>
      <c r="E43" s="87"/>
      <c r="F43" s="87"/>
      <c r="G43" s="88"/>
      <c r="H43" s="88"/>
      <c r="I43" s="89"/>
      <c r="J43" s="88"/>
      <c r="K43" s="88"/>
    </row>
    <row r="44" spans="1:11" ht="11.25" customHeight="1">
      <c r="A44" s="85"/>
      <c r="B44" s="90"/>
      <c r="C44" s="83"/>
      <c r="D44" s="83"/>
      <c r="E44" s="83"/>
      <c r="F44" s="83"/>
      <c r="G44" s="83"/>
      <c r="H44" s="83"/>
      <c r="I44" s="83"/>
      <c r="J44" s="83"/>
      <c r="K44" s="83"/>
    </row>
    <row r="45" spans="1:11" ht="11.25" customHeight="1">
      <c r="A45" s="1"/>
      <c r="B45" s="65"/>
      <c r="C45" s="65"/>
      <c r="D45" s="65"/>
      <c r="E45" s="65"/>
      <c r="F45" s="65"/>
      <c r="G45" s="65"/>
      <c r="H45" s="65"/>
      <c r="I45" s="91"/>
      <c r="J45" s="65"/>
      <c r="K45" s="92"/>
    </row>
    <row r="46" spans="1:11" ht="11.25" customHeight="1">
      <c r="A46" s="1"/>
      <c r="B46" s="65"/>
      <c r="C46" s="65"/>
      <c r="D46" s="65"/>
      <c r="E46" s="65"/>
      <c r="F46" s="65"/>
      <c r="G46" s="65"/>
      <c r="H46" s="65"/>
      <c r="I46" s="91"/>
      <c r="J46" s="65"/>
      <c r="K46" s="92"/>
    </row>
    <row r="47" spans="1:11" ht="11.25" customHeight="1">
      <c r="A47" s="1"/>
      <c r="B47" s="65"/>
      <c r="C47" s="65"/>
      <c r="D47" s="65"/>
      <c r="E47" s="65"/>
      <c r="F47" s="65"/>
      <c r="G47" s="65"/>
      <c r="H47" s="65"/>
      <c r="I47" s="91"/>
      <c r="J47" s="65"/>
      <c r="K47" s="92"/>
    </row>
    <row r="48" spans="1:11" ht="11.25" customHeight="1">
      <c r="A48" s="1"/>
      <c r="B48" s="65"/>
      <c r="C48" s="65"/>
      <c r="D48" s="65"/>
      <c r="E48" s="65"/>
      <c r="F48" s="65"/>
      <c r="G48" s="65"/>
      <c r="H48" s="65"/>
      <c r="I48" s="91"/>
      <c r="J48" s="65"/>
      <c r="K48" s="92"/>
    </row>
    <row r="49" spans="1:11" ht="11.25" customHeight="1">
      <c r="A49" s="1"/>
      <c r="B49" s="65"/>
      <c r="C49" s="65"/>
      <c r="D49" s="65"/>
      <c r="E49" s="65"/>
      <c r="F49" s="65"/>
      <c r="G49" s="65"/>
      <c r="H49" s="65"/>
      <c r="I49" s="91"/>
      <c r="J49" s="65"/>
      <c r="K49" s="92"/>
    </row>
    <row r="50" spans="1:11" ht="11.25" customHeight="1">
      <c r="A50" s="1"/>
      <c r="B50" s="65"/>
      <c r="C50" s="65"/>
      <c r="D50" s="65"/>
      <c r="E50" s="65"/>
      <c r="F50" s="65"/>
      <c r="G50" s="65"/>
      <c r="H50" s="65"/>
      <c r="I50" s="91"/>
      <c r="J50" s="65"/>
      <c r="K50" s="92"/>
    </row>
    <row r="51" spans="1:11" ht="11.25" customHeight="1">
      <c r="A51" s="1"/>
      <c r="B51" s="65"/>
      <c r="C51" s="65"/>
      <c r="D51" s="65"/>
      <c r="E51" s="65"/>
      <c r="F51" s="65"/>
      <c r="G51" s="65"/>
      <c r="H51" s="65"/>
      <c r="I51" s="91"/>
      <c r="J51" s="65"/>
      <c r="K51" s="92"/>
    </row>
    <row r="52" spans="1:11" ht="13.2">
      <c r="A52" s="1"/>
      <c r="B52" s="65"/>
      <c r="C52" s="65"/>
      <c r="D52" s="65"/>
      <c r="E52" s="65"/>
      <c r="F52" s="65"/>
      <c r="G52" s="65"/>
      <c r="H52" s="65"/>
      <c r="I52" s="91"/>
      <c r="J52" s="65"/>
      <c r="K52" s="92"/>
    </row>
    <row r="53" spans="1:11" ht="13.2">
      <c r="A53" s="1"/>
      <c r="B53" s="65"/>
      <c r="C53" s="65"/>
      <c r="D53" s="65"/>
      <c r="E53" s="65"/>
      <c r="F53" s="65"/>
      <c r="G53" s="65"/>
      <c r="H53" s="65"/>
      <c r="I53" s="91"/>
      <c r="J53" s="65"/>
      <c r="K53" s="92"/>
    </row>
    <row r="54" spans="1:11" ht="13.2">
      <c r="A54" s="1"/>
      <c r="B54" s="65"/>
      <c r="C54" s="65"/>
      <c r="D54" s="65"/>
      <c r="E54" s="65"/>
      <c r="F54" s="65"/>
      <c r="G54" s="65"/>
      <c r="H54" s="65"/>
      <c r="I54" s="91"/>
      <c r="J54" s="65"/>
      <c r="K54" s="92"/>
    </row>
    <row r="55" spans="1:11" ht="13.2">
      <c r="A55" s="1"/>
      <c r="B55" s="65"/>
      <c r="C55" s="65"/>
      <c r="D55" s="65"/>
      <c r="E55" s="65"/>
      <c r="F55" s="65"/>
      <c r="G55" s="65"/>
      <c r="H55" s="65"/>
      <c r="I55" s="91"/>
      <c r="J55" s="65"/>
      <c r="K55" s="92"/>
    </row>
    <row r="56" spans="1:11" ht="13.2">
      <c r="A56" s="1"/>
      <c r="B56" s="65"/>
      <c r="C56" s="65"/>
      <c r="D56" s="65"/>
      <c r="E56" s="65"/>
      <c r="F56" s="65"/>
      <c r="G56" s="65"/>
      <c r="H56" s="65"/>
      <c r="I56" s="91"/>
      <c r="J56" s="65"/>
      <c r="K56" s="92"/>
    </row>
    <row r="57" spans="1:11" ht="13.2">
      <c r="A57" s="192" t="str">
        <f>"Gráfico N° 4: Comparación de la producción de energía eléctrica por tipo de generación acumulada a "&amp;'1. Resumen'!Q4&amp;"."</f>
        <v>Gráfico N° 4: Comparación de la producción de energía eléctrica por tipo de generación acumulada a mayo.</v>
      </c>
      <c r="B57" s="65"/>
      <c r="C57" s="65"/>
      <c r="D57" s="65"/>
      <c r="E57" s="65"/>
      <c r="F57" s="65"/>
      <c r="G57" s="65"/>
      <c r="H57" s="65"/>
      <c r="I57" s="91"/>
      <c r="J57" s="65"/>
      <c r="K57" s="92"/>
    </row>
    <row r="58" spans="1:11" ht="13.2">
      <c r="B58" s="65"/>
      <c r="C58" s="65"/>
      <c r="D58" s="65"/>
      <c r="E58" s="65"/>
      <c r="F58" s="65"/>
      <c r="G58" s="65"/>
      <c r="H58" s="65"/>
      <c r="I58" s="91"/>
      <c r="J58" s="65"/>
      <c r="K58" s="92"/>
    </row>
    <row r="59" spans="1:11" ht="13.2">
      <c r="A59" s="1"/>
      <c r="B59" s="65"/>
      <c r="C59" s="65"/>
      <c r="D59" s="65"/>
      <c r="E59" s="65"/>
      <c r="F59" s="65"/>
      <c r="G59" s="65"/>
      <c r="H59" s="65"/>
      <c r="I59" s="91"/>
      <c r="J59" s="65"/>
      <c r="K59" s="92"/>
    </row>
    <row r="60" spans="1:11" ht="13.2">
      <c r="A60" s="1"/>
      <c r="B60" s="65"/>
      <c r="C60" s="65"/>
      <c r="D60" s="65"/>
      <c r="E60" s="65"/>
      <c r="F60" s="65"/>
      <c r="G60" s="65"/>
      <c r="H60" s="65"/>
      <c r="I60" s="91"/>
      <c r="J60" s="65"/>
      <c r="K60" s="92"/>
    </row>
    <row r="62" spans="1:11" ht="13.2">
      <c r="A62" s="93"/>
      <c r="B62" s="94"/>
      <c r="C62" s="94"/>
      <c r="D62" s="94"/>
      <c r="E62" s="94"/>
      <c r="F62" s="94"/>
      <c r="G62" s="94"/>
      <c r="H62" s="91"/>
      <c r="I62" s="91"/>
      <c r="J62" s="94"/>
      <c r="K62" s="92"/>
    </row>
    <row r="63" spans="1:11" ht="13.2">
      <c r="A63" s="1"/>
      <c r="B63" s="65"/>
      <c r="C63" s="65"/>
      <c r="D63" s="65"/>
      <c r="E63" s="65"/>
      <c r="F63" s="65"/>
      <c r="G63" s="65"/>
      <c r="H63" s="65"/>
      <c r="I63" s="91"/>
      <c r="J63" s="65"/>
      <c r="K63" s="95"/>
    </row>
    <row r="64" spans="1:11" ht="13.2">
      <c r="A64" s="1"/>
      <c r="B64" s="65"/>
      <c r="C64" s="65"/>
      <c r="D64" s="65"/>
      <c r="E64" s="65"/>
      <c r="F64" s="65"/>
      <c r="G64" s="65"/>
      <c r="H64" s="65"/>
      <c r="I64" s="96"/>
      <c r="J64" s="65"/>
      <c r="K64" s="95"/>
    </row>
    <row r="65" spans="1:11" ht="13.2">
      <c r="A65" s="1"/>
      <c r="B65" s="65"/>
      <c r="C65" s="65"/>
      <c r="D65" s="65"/>
      <c r="E65" s="65"/>
      <c r="F65" s="65"/>
      <c r="G65" s="65"/>
      <c r="H65" s="97"/>
      <c r="I65" s="97"/>
      <c r="J65" s="65"/>
      <c r="K65" s="95"/>
    </row>
    <row r="66" spans="1:11" ht="13.2">
      <c r="A66" s="1"/>
      <c r="B66" s="65"/>
      <c r="C66" s="65"/>
      <c r="D66" s="65"/>
      <c r="E66" s="65"/>
      <c r="F66" s="65"/>
      <c r="G66" s="65"/>
      <c r="H66" s="97"/>
      <c r="I66" s="97"/>
      <c r="J66" s="65"/>
      <c r="K66" s="95"/>
    </row>
    <row r="67" spans="1:11" ht="13.2">
      <c r="A67" s="93"/>
      <c r="B67" s="94"/>
      <c r="C67" s="94"/>
      <c r="D67" s="94"/>
      <c r="E67" s="94"/>
      <c r="F67" s="94"/>
      <c r="G67" s="94"/>
      <c r="H67" s="98"/>
      <c r="I67" s="91"/>
      <c r="J67" s="94"/>
      <c r="K67" s="92"/>
    </row>
    <row r="68" spans="1:11" ht="13.2">
      <c r="A68" s="93"/>
      <c r="B68" s="94"/>
      <c r="C68" s="94"/>
      <c r="D68" s="94"/>
      <c r="E68" s="94"/>
      <c r="F68" s="94"/>
      <c r="G68" s="94"/>
      <c r="H68" s="91"/>
      <c r="I68" s="91"/>
      <c r="J68" s="94"/>
      <c r="K68" s="92"/>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61"/>
  <sheetViews>
    <sheetView showGridLines="0" view="pageBreakPreview" zoomScale="110" zoomScaleNormal="100" zoomScaleSheetLayoutView="110" workbookViewId="0">
      <selection activeCell="D22" sqref="D22"/>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1" ht="11.25" customHeight="1"/>
    <row r="2" spans="1:11" ht="11.25" customHeight="1">
      <c r="A2" s="830" t="str">
        <f>+"3.2. PRODUCCIÓN POR TIPO DE RECURSO ENERGÉTICO (GWh)"</f>
        <v>3.2. PRODUCCIÓN POR TIPO DE RECURSO ENERGÉTICO (GWh)</v>
      </c>
      <c r="B2" s="830"/>
      <c r="C2" s="830"/>
      <c r="D2" s="830"/>
      <c r="E2" s="830"/>
      <c r="F2" s="830"/>
      <c r="G2" s="830"/>
      <c r="H2" s="830"/>
      <c r="I2" s="830"/>
      <c r="J2" s="830"/>
      <c r="K2" s="830"/>
    </row>
    <row r="3" spans="1:11" ht="18.75" customHeight="1">
      <c r="A3" s="115"/>
      <c r="B3" s="116"/>
      <c r="C3" s="779"/>
      <c r="D3" s="778"/>
      <c r="E3" s="117"/>
      <c r="F3" s="117"/>
      <c r="G3" s="118"/>
      <c r="H3" s="118"/>
      <c r="I3" s="118"/>
      <c r="J3" s="115"/>
      <c r="K3" s="115"/>
    </row>
    <row r="4" spans="1:11" ht="14.25" customHeight="1">
      <c r="A4" s="834" t="s">
        <v>40</v>
      </c>
      <c r="B4" s="831" t="s">
        <v>30</v>
      </c>
      <c r="C4" s="832"/>
      <c r="D4" s="832"/>
      <c r="E4" s="832" t="s">
        <v>31</v>
      </c>
      <c r="F4" s="832"/>
      <c r="G4" s="833" t="str">
        <f>+'3. Tipo Generación'!G6:K6</f>
        <v>Generación Acumulada a mayo</v>
      </c>
      <c r="H4" s="833"/>
      <c r="I4" s="833"/>
      <c r="J4" s="833"/>
      <c r="K4" s="833"/>
    </row>
    <row r="5" spans="1:11" ht="26.25" customHeight="1">
      <c r="A5" s="834"/>
      <c r="B5" s="309">
        <f>+'3. Tipo Generación'!B7</f>
        <v>45720</v>
      </c>
      <c r="C5" s="309">
        <f>+'3. Tipo Generación'!C7</f>
        <v>45750</v>
      </c>
      <c r="D5" s="309">
        <f>+'3. Tipo Generación'!D7</f>
        <v>45778</v>
      </c>
      <c r="E5" s="309">
        <f>+'3. Tipo Generación'!E7</f>
        <v>45413</v>
      </c>
      <c r="F5" s="310" t="s">
        <v>32</v>
      </c>
      <c r="G5" s="307">
        <v>2025</v>
      </c>
      <c r="H5" s="307">
        <v>2024</v>
      </c>
      <c r="I5" s="306" t="s">
        <v>581</v>
      </c>
      <c r="J5" s="307">
        <v>2023</v>
      </c>
      <c r="K5" s="308" t="s">
        <v>387</v>
      </c>
    </row>
    <row r="6" spans="1:11" ht="11.25" customHeight="1">
      <c r="A6" s="127" t="s">
        <v>41</v>
      </c>
      <c r="B6" s="238">
        <v>3142.6600324074998</v>
      </c>
      <c r="C6" s="239">
        <v>3260.5241830800014</v>
      </c>
      <c r="D6" s="240">
        <v>3066.7897235099999</v>
      </c>
      <c r="E6" s="238">
        <v>2689.1808162449997</v>
      </c>
      <c r="F6" s="212">
        <f>IF(E6=0,"",D6/E6-1)</f>
        <v>0.14041781979996015</v>
      </c>
      <c r="G6" s="238">
        <v>15904.9683447475</v>
      </c>
      <c r="H6" s="239">
        <v>15326.785117079999</v>
      </c>
      <c r="I6" s="212">
        <f t="shared" ref="I6:I14" si="0">IF(H6=0,"",G6/H6-1)</f>
        <v>3.7723712001623833E-2</v>
      </c>
      <c r="J6" s="238">
        <v>13899.929987617501</v>
      </c>
      <c r="K6" s="212">
        <f>IF(J6=0,"",H6/J6-1)</f>
        <v>0.10265196520655762</v>
      </c>
    </row>
    <row r="7" spans="1:11" ht="11.25" customHeight="1">
      <c r="A7" s="128" t="s">
        <v>46</v>
      </c>
      <c r="B7" s="241">
        <v>1658.7980756549998</v>
      </c>
      <c r="C7" s="207">
        <v>1214.8833852075002</v>
      </c>
      <c r="D7" s="242">
        <v>1449.34524401</v>
      </c>
      <c r="E7" s="241">
        <v>1742.0715279099998</v>
      </c>
      <c r="F7" s="213">
        <f t="shared" ref="F7:F16" si="1">IF(E7=0,"",D7/E7-1)</f>
        <v>-0.16803344708307688</v>
      </c>
      <c r="G7" s="241">
        <v>6986.8618428725013</v>
      </c>
      <c r="H7" s="207">
        <v>7383.8394947100005</v>
      </c>
      <c r="I7" s="213">
        <f t="shared" si="0"/>
        <v>-5.3763039150824699E-2</v>
      </c>
      <c r="J7" s="241">
        <v>8718.4971428824992</v>
      </c>
      <c r="K7" s="213">
        <f t="shared" ref="K7:K17" si="2">IF(J7=0,"",H7/J7-1)</f>
        <v>-0.15308345306531068</v>
      </c>
    </row>
    <row r="8" spans="1:11" ht="11.25" customHeight="1">
      <c r="A8" s="129" t="s">
        <v>47</v>
      </c>
      <c r="B8" s="243">
        <v>24.161755675000002</v>
      </c>
      <c r="C8" s="208">
        <v>20.638466722500002</v>
      </c>
      <c r="D8" s="244">
        <v>22.186145</v>
      </c>
      <c r="E8" s="243">
        <v>31.489980749999997</v>
      </c>
      <c r="F8" s="270">
        <f t="shared" si="1"/>
        <v>-0.29545384050449119</v>
      </c>
      <c r="G8" s="243">
        <v>119.93497995</v>
      </c>
      <c r="H8" s="208">
        <v>144.65176624999998</v>
      </c>
      <c r="I8" s="270">
        <f t="shared" si="0"/>
        <v>-0.17087096093442955</v>
      </c>
      <c r="J8" s="243">
        <v>292.68943375000003</v>
      </c>
      <c r="K8" s="270">
        <f t="shared" si="2"/>
        <v>-0.50578411937632861</v>
      </c>
    </row>
    <row r="9" spans="1:11" ht="11.25" customHeight="1">
      <c r="A9" s="128" t="s">
        <v>48</v>
      </c>
      <c r="B9" s="241">
        <v>7.3501977750000007</v>
      </c>
      <c r="C9" s="207">
        <v>4.9681476674999994</v>
      </c>
      <c r="D9" s="242">
        <v>0.36170688000000001</v>
      </c>
      <c r="E9" s="241">
        <v>1.8968526475</v>
      </c>
      <c r="F9" s="213">
        <f t="shared" si="1"/>
        <v>-0.80931208310950264</v>
      </c>
      <c r="G9" s="241">
        <v>31.538097270000002</v>
      </c>
      <c r="H9" s="207">
        <v>33.528832070000007</v>
      </c>
      <c r="I9" s="213">
        <f t="shared" si="0"/>
        <v>-5.937381880298831E-2</v>
      </c>
      <c r="J9" s="241">
        <v>88.791737174999994</v>
      </c>
      <c r="K9" s="213">
        <f t="shared" si="2"/>
        <v>-0.62238792553503153</v>
      </c>
    </row>
    <row r="10" spans="1:11" ht="11.25" customHeight="1">
      <c r="A10" s="129" t="s">
        <v>42</v>
      </c>
      <c r="B10" s="243">
        <v>1.1180153800000001</v>
      </c>
      <c r="C10" s="208">
        <v>0.60572562749999992</v>
      </c>
      <c r="D10" s="244">
        <v>0</v>
      </c>
      <c r="E10" s="243">
        <v>0</v>
      </c>
      <c r="F10" s="270" t="str">
        <f t="shared" si="1"/>
        <v/>
      </c>
      <c r="G10" s="243">
        <v>2.62654729</v>
      </c>
      <c r="H10" s="208">
        <v>1.3806114575000001</v>
      </c>
      <c r="I10" s="270">
        <f t="shared" si="0"/>
        <v>0.90245218937711136</v>
      </c>
      <c r="J10" s="243">
        <v>4.1587273124999999</v>
      </c>
      <c r="K10" s="270">
        <f t="shared" si="2"/>
        <v>-0.66802068186816221</v>
      </c>
    </row>
    <row r="11" spans="1:11" s="39" customFormat="1" ht="19.8" customHeight="1">
      <c r="A11" s="756" t="s">
        <v>562</v>
      </c>
      <c r="B11" s="241">
        <v>37.081841375000003</v>
      </c>
      <c r="C11" s="207">
        <v>36.88897936</v>
      </c>
      <c r="D11" s="242">
        <v>20.507750000000001</v>
      </c>
      <c r="E11" s="241">
        <v>0.999981275</v>
      </c>
      <c r="F11" s="213">
        <f>IF(E11=0,"",D11/E11-1)</f>
        <v>19.508134014809428</v>
      </c>
      <c r="G11" s="241">
        <v>151.19396210500003</v>
      </c>
      <c r="H11" s="207">
        <v>52.5739620425</v>
      </c>
      <c r="I11" s="213">
        <f t="shared" si="0"/>
        <v>1.8758335158909483</v>
      </c>
      <c r="J11" s="241">
        <v>0</v>
      </c>
      <c r="K11" s="213" t="str">
        <f t="shared" si="2"/>
        <v/>
      </c>
    </row>
    <row r="12" spans="1:11" ht="11.25" customHeight="1">
      <c r="A12" s="129" t="s">
        <v>43</v>
      </c>
      <c r="B12" s="243">
        <v>9.6498961649999977</v>
      </c>
      <c r="C12" s="208">
        <v>6.3586731249999984</v>
      </c>
      <c r="D12" s="244">
        <v>9.1396241074999995</v>
      </c>
      <c r="E12" s="243">
        <v>37.624717850000003</v>
      </c>
      <c r="F12" s="270">
        <f>IF(E12=0,"",D12/E12-1)</f>
        <v>-0.75708458083493646</v>
      </c>
      <c r="G12" s="243">
        <v>41.01420083</v>
      </c>
      <c r="H12" s="208">
        <v>21.738446009999997</v>
      </c>
      <c r="I12" s="270">
        <f t="shared" si="0"/>
        <v>0.88671263857282523</v>
      </c>
      <c r="J12" s="243">
        <v>42.21193702499999</v>
      </c>
      <c r="K12" s="270">
        <f t="shared" si="2"/>
        <v>-0.48501661989296019</v>
      </c>
    </row>
    <row r="13" spans="1:11" ht="11.25" customHeight="1">
      <c r="A13" s="128" t="s">
        <v>44</v>
      </c>
      <c r="B13" s="241">
        <v>15.411062115</v>
      </c>
      <c r="C13" s="207">
        <v>9.9760662700000005</v>
      </c>
      <c r="D13" s="242">
        <v>18.796244587499999</v>
      </c>
      <c r="E13" s="241">
        <v>2.3605540399999998</v>
      </c>
      <c r="F13" s="213">
        <f t="shared" si="1"/>
        <v>6.9626410872169657</v>
      </c>
      <c r="G13" s="241">
        <v>96.055783787499976</v>
      </c>
      <c r="H13" s="207">
        <v>88.803794957499974</v>
      </c>
      <c r="I13" s="213">
        <f>IF(H13=0,"",G13/H13-1)</f>
        <v>8.166305092559023E-2</v>
      </c>
      <c r="J13" s="241">
        <v>75.795192377500001</v>
      </c>
      <c r="K13" s="213">
        <f t="shared" si="2"/>
        <v>0.17162833382901477</v>
      </c>
    </row>
    <row r="14" spans="1:11" ht="11.25" customHeight="1">
      <c r="A14" s="129" t="s">
        <v>45</v>
      </c>
      <c r="B14" s="243">
        <v>7.9308063499999992</v>
      </c>
      <c r="C14" s="208">
        <v>5.6177041750000001</v>
      </c>
      <c r="D14" s="244">
        <v>4.6755127749999996</v>
      </c>
      <c r="E14" s="243">
        <v>18.748835404999998</v>
      </c>
      <c r="F14" s="270">
        <f t="shared" si="1"/>
        <v>-0.75062382948046369</v>
      </c>
      <c r="G14" s="243">
        <v>33.495499799999997</v>
      </c>
      <c r="H14" s="208">
        <v>30.491459419999998</v>
      </c>
      <c r="I14" s="270">
        <f t="shared" si="0"/>
        <v>9.8520714886791705E-2</v>
      </c>
      <c r="J14" s="243">
        <v>26.284521250000001</v>
      </c>
      <c r="K14" s="270">
        <f t="shared" si="2"/>
        <v>0.16005382521471634</v>
      </c>
    </row>
    <row r="15" spans="1:11" ht="11.25" customHeight="1">
      <c r="A15" s="128" t="s">
        <v>27</v>
      </c>
      <c r="B15" s="241">
        <v>114.0615374225</v>
      </c>
      <c r="C15" s="207">
        <v>141.33472454750003</v>
      </c>
      <c r="D15" s="242">
        <v>153.69746294000001</v>
      </c>
      <c r="E15" s="241">
        <v>4.6652183999999997</v>
      </c>
      <c r="F15" s="213">
        <f t="shared" si="1"/>
        <v>31.945394998013384</v>
      </c>
      <c r="G15" s="241">
        <v>619.75595271250006</v>
      </c>
      <c r="H15" s="207">
        <v>460.44591376249997</v>
      </c>
      <c r="I15" s="213">
        <f>IF(H15=0,"",G15/H15-1)</f>
        <v>0.34599077587247939</v>
      </c>
      <c r="J15" s="241">
        <v>307.86532708750002</v>
      </c>
      <c r="K15" s="213">
        <f t="shared" si="2"/>
        <v>0.49560821973185121</v>
      </c>
    </row>
    <row r="16" spans="1:11" ht="11.25" customHeight="1">
      <c r="A16" s="129" t="s">
        <v>26</v>
      </c>
      <c r="B16" s="243">
        <v>330.48742763999996</v>
      </c>
      <c r="C16" s="208">
        <v>375.92274478999997</v>
      </c>
      <c r="D16" s="244">
        <v>331.98247399249999</v>
      </c>
      <c r="E16" s="243">
        <v>84.753996027500008</v>
      </c>
      <c r="F16" s="270">
        <f t="shared" si="1"/>
        <v>2.9170126430945169</v>
      </c>
      <c r="G16" s="243">
        <v>1552.8294570825001</v>
      </c>
      <c r="H16" s="208">
        <v>1428.3066700475001</v>
      </c>
      <c r="I16" s="270">
        <f>IF(H16=0,"",G16/H16-1)</f>
        <v>8.7182108468945918E-2</v>
      </c>
      <c r="J16" s="243">
        <v>789.94336493499998</v>
      </c>
      <c r="K16" s="270">
        <f t="shared" si="2"/>
        <v>0.80811275016535844</v>
      </c>
    </row>
    <row r="17" spans="1:11" ht="11.25" customHeight="1">
      <c r="A17" s="134" t="s">
        <v>39</v>
      </c>
      <c r="B17" s="245">
        <f>+SUM(B6:B16)</f>
        <v>5348.7106479599997</v>
      </c>
      <c r="C17" s="246">
        <f t="shared" ref="C17:D17" si="3">+SUM(C6:C16)</f>
        <v>5077.7188005725011</v>
      </c>
      <c r="D17" s="698">
        <f t="shared" si="3"/>
        <v>5077.4818878024998</v>
      </c>
      <c r="E17" s="245">
        <v>368.52996849750002</v>
      </c>
      <c r="F17" s="271">
        <f>IF(E17=0,"",D17/E17-1)</f>
        <v>12.777663478776065</v>
      </c>
      <c r="G17" s="245">
        <f t="shared" ref="G17:H17" si="4">+SUM(G6:G16)</f>
        <v>25540.274668447506</v>
      </c>
      <c r="H17" s="246">
        <f t="shared" si="4"/>
        <v>24972.546067807507</v>
      </c>
      <c r="I17" s="271">
        <f>IF(H17=0,"",G17/H17-1)</f>
        <v>2.2734109653795631E-2</v>
      </c>
      <c r="J17" s="245">
        <f>+SUM(J6:J16)</f>
        <v>24246.167371412503</v>
      </c>
      <c r="K17" s="271">
        <f t="shared" si="2"/>
        <v>2.9958495512632854E-2</v>
      </c>
    </row>
    <row r="18" spans="1:11" ht="11.25" customHeight="1">
      <c r="A18" s="18"/>
      <c r="B18" s="18"/>
      <c r="C18" s="18"/>
      <c r="D18" s="18"/>
      <c r="E18" s="18"/>
      <c r="F18" s="18"/>
      <c r="G18" s="18"/>
      <c r="H18" s="18"/>
      <c r="I18" s="18"/>
      <c r="J18" s="18"/>
      <c r="K18" s="18"/>
    </row>
    <row r="19" spans="1:11" ht="11.25" customHeight="1">
      <c r="A19" s="130" t="s">
        <v>36</v>
      </c>
      <c r="B19" s="690">
        <v>0.14509192999999998</v>
      </c>
      <c r="C19" s="691">
        <v>0.82109803000000003</v>
      </c>
      <c r="D19" s="692">
        <v>0</v>
      </c>
      <c r="E19" s="693">
        <v>0</v>
      </c>
      <c r="F19" s="109" t="str">
        <f>IF(E19=0,"",D19/E19-1)</f>
        <v/>
      </c>
      <c r="G19" s="690">
        <v>1.8491507299999999</v>
      </c>
      <c r="H19" s="695">
        <v>0</v>
      </c>
      <c r="I19" s="112" t="str">
        <f>IF(H19=0,"",G19/H19-1)</f>
        <v/>
      </c>
      <c r="J19" s="690">
        <v>2.0966887600000002</v>
      </c>
      <c r="K19" s="109">
        <f>IF(J19=0,"",H19/J19-1)</f>
        <v>-1</v>
      </c>
    </row>
    <row r="20" spans="1:11" ht="11.25" customHeight="1">
      <c r="A20" s="131" t="s">
        <v>37</v>
      </c>
      <c r="B20" s="255">
        <v>0</v>
      </c>
      <c r="C20" s="208">
        <v>0</v>
      </c>
      <c r="D20" s="256">
        <v>0</v>
      </c>
      <c r="E20" s="694">
        <v>0</v>
      </c>
      <c r="F20" s="104" t="str">
        <f>IF(E20=0,"",D20/E20-1)</f>
        <v/>
      </c>
      <c r="G20" s="255">
        <v>0</v>
      </c>
      <c r="H20" s="208">
        <v>2.9687826900000034</v>
      </c>
      <c r="I20" s="104">
        <f>IF(H20=0,"",G20/H20-1)</f>
        <v>-1</v>
      </c>
      <c r="J20" s="255">
        <v>0.25442452999999998</v>
      </c>
      <c r="K20" s="110">
        <f>IF(J20=0,"",H20/J20-1)</f>
        <v>10.668618155647192</v>
      </c>
    </row>
    <row r="21" spans="1:11" ht="23.25" customHeight="1">
      <c r="A21" s="132" t="s">
        <v>38</v>
      </c>
      <c r="B21" s="205">
        <f>+B20-B19</f>
        <v>-0.14509192999999998</v>
      </c>
      <c r="C21" s="206">
        <f>+C20-C19</f>
        <v>-0.82109803000000003</v>
      </c>
      <c r="D21" s="272">
        <f>+D20-D19</f>
        <v>0</v>
      </c>
      <c r="E21" s="431">
        <f>+E20-E19</f>
        <v>0</v>
      </c>
      <c r="F21" s="206"/>
      <c r="G21" s="205">
        <f>+G20-G19</f>
        <v>-1.8491507299999999</v>
      </c>
      <c r="H21" s="206">
        <f>+H20-H19</f>
        <v>2.9687826900000034</v>
      </c>
      <c r="I21" s="113"/>
      <c r="J21" s="205">
        <f>+J20-J19</f>
        <v>-1.8422642300000001</v>
      </c>
      <c r="K21" s="111"/>
    </row>
    <row r="22" spans="1:11" ht="11.25" customHeight="1">
      <c r="A22" s="191" t="s">
        <v>599</v>
      </c>
      <c r="B22" s="121"/>
      <c r="C22" s="121"/>
      <c r="D22" s="121"/>
      <c r="E22" s="121"/>
      <c r="F22" s="121"/>
      <c r="G22" s="121"/>
      <c r="H22" s="122"/>
      <c r="I22" s="122"/>
      <c r="J22" s="121"/>
      <c r="K22" s="123"/>
    </row>
    <row r="23" spans="1:11" ht="39.6" customHeight="1">
      <c r="A23" s="829" t="s">
        <v>373</v>
      </c>
      <c r="B23" s="829"/>
      <c r="C23" s="829"/>
      <c r="D23" s="829"/>
      <c r="E23" s="829"/>
      <c r="F23" s="829"/>
      <c r="G23" s="829"/>
      <c r="H23" s="829"/>
      <c r="I23" s="829"/>
      <c r="J23" s="829"/>
      <c r="K23" s="829"/>
    </row>
    <row r="24" spans="1:11" ht="11.25" customHeight="1">
      <c r="A24" s="125"/>
      <c r="B24" s="125"/>
      <c r="C24" s="125"/>
      <c r="D24" s="125"/>
      <c r="E24" s="125"/>
      <c r="F24" s="125"/>
      <c r="G24" s="125"/>
      <c r="H24" s="125"/>
      <c r="I24" s="125"/>
      <c r="J24" s="125"/>
      <c r="K24" s="125"/>
    </row>
    <row r="25" spans="1:11" ht="11.25" customHeight="1">
      <c r="A25" s="124"/>
      <c r="B25" s="126"/>
      <c r="C25" s="126"/>
      <c r="D25" s="126"/>
      <c r="E25" s="126"/>
      <c r="F25" s="126"/>
      <c r="G25" s="126"/>
      <c r="H25" s="126"/>
      <c r="I25" s="126"/>
      <c r="J25" s="126"/>
      <c r="K25" s="126"/>
    </row>
    <row r="26" spans="1:11" ht="11.25" customHeight="1">
      <c r="A26" s="124"/>
      <c r="B26" s="126"/>
      <c r="C26" s="126"/>
      <c r="D26" s="126"/>
      <c r="E26" s="126"/>
      <c r="F26" s="126"/>
      <c r="G26" s="126"/>
      <c r="H26" s="126"/>
      <c r="I26" s="126"/>
      <c r="J26" s="126"/>
      <c r="K26" s="126"/>
    </row>
    <row r="27" spans="1:11" ht="11.25" customHeight="1">
      <c r="A27" s="124"/>
      <c r="B27" s="126"/>
      <c r="C27" s="126"/>
      <c r="D27" s="126"/>
      <c r="E27" s="126"/>
      <c r="F27" s="126"/>
      <c r="G27" s="126"/>
      <c r="H27" s="126"/>
      <c r="I27" s="126"/>
      <c r="J27" s="126"/>
      <c r="K27" s="126"/>
    </row>
    <row r="28" spans="1:11" ht="11.25" customHeight="1">
      <c r="A28" s="124"/>
      <c r="B28" s="126"/>
      <c r="C28" s="126"/>
      <c r="D28" s="126"/>
      <c r="E28" s="126"/>
      <c r="F28" s="126"/>
      <c r="G28" s="126"/>
      <c r="H28" s="126"/>
      <c r="I28" s="126"/>
      <c r="J28" s="126"/>
      <c r="K28" s="126"/>
    </row>
    <row r="29" spans="1:11" ht="11.25" customHeight="1">
      <c r="A29" s="124"/>
      <c r="B29" s="126"/>
      <c r="C29" s="126"/>
      <c r="D29" s="126"/>
      <c r="E29" s="126"/>
      <c r="F29" s="126"/>
      <c r="G29" s="126"/>
      <c r="H29" s="126"/>
      <c r="I29" s="126"/>
      <c r="J29" s="126"/>
      <c r="K29" s="126"/>
    </row>
    <row r="30" spans="1:11" ht="11.25" customHeight="1">
      <c r="A30" s="124"/>
      <c r="B30" s="126"/>
      <c r="C30" s="126"/>
      <c r="D30" s="126"/>
      <c r="E30" s="126"/>
      <c r="F30" s="126"/>
      <c r="G30" s="126"/>
      <c r="H30" s="126"/>
      <c r="I30" s="126"/>
      <c r="J30" s="126"/>
      <c r="K30" s="126"/>
    </row>
    <row r="31" spans="1:11" ht="11.25" customHeight="1">
      <c r="A31" s="124"/>
      <c r="B31" s="126"/>
      <c r="C31" s="126"/>
      <c r="D31" s="126"/>
      <c r="E31" s="126"/>
      <c r="F31" s="126"/>
      <c r="G31" s="126"/>
      <c r="H31" s="126"/>
      <c r="I31" s="126"/>
      <c r="J31" s="126"/>
      <c r="K31" s="126"/>
    </row>
    <row r="32" spans="1:11" ht="11.25" customHeight="1">
      <c r="A32" s="124"/>
      <c r="B32" s="126"/>
      <c r="C32" s="126"/>
      <c r="D32" s="126"/>
      <c r="E32" s="126"/>
      <c r="F32" s="126"/>
      <c r="G32" s="126"/>
      <c r="H32" s="126"/>
      <c r="I32" s="126"/>
      <c r="J32" s="126"/>
      <c r="K32" s="126"/>
    </row>
    <row r="33" spans="1:11" ht="11.25" customHeight="1">
      <c r="A33" s="124"/>
      <c r="B33" s="126"/>
      <c r="C33" s="126"/>
      <c r="D33" s="126"/>
      <c r="E33" s="126"/>
      <c r="F33" s="126"/>
      <c r="G33" s="126"/>
      <c r="H33" s="126"/>
      <c r="I33" s="126"/>
      <c r="J33" s="126"/>
      <c r="K33" s="126"/>
    </row>
    <row r="34" spans="1:11" ht="11.25" customHeight="1">
      <c r="A34" s="124"/>
      <c r="B34" s="126"/>
      <c r="C34" s="126"/>
      <c r="D34" s="126"/>
      <c r="E34" s="126"/>
      <c r="F34" s="126"/>
      <c r="G34" s="126"/>
      <c r="H34" s="126"/>
      <c r="I34" s="126"/>
      <c r="J34" s="126"/>
      <c r="K34" s="126"/>
    </row>
    <row r="35" spans="1:11" ht="11.25" customHeight="1">
      <c r="A35" s="124"/>
      <c r="B35" s="126"/>
      <c r="C35" s="126"/>
      <c r="D35" s="126"/>
      <c r="E35" s="126"/>
      <c r="F35" s="126"/>
      <c r="G35" s="126"/>
      <c r="H35" s="126"/>
      <c r="I35" s="126"/>
      <c r="J35" s="126"/>
      <c r="K35" s="126"/>
    </row>
    <row r="36" spans="1:11" ht="11.25" customHeight="1">
      <c r="A36" s="124"/>
      <c r="B36" s="126"/>
      <c r="C36" s="126"/>
      <c r="D36" s="126"/>
      <c r="E36" s="126"/>
      <c r="F36" s="126"/>
      <c r="G36" s="126"/>
      <c r="H36" s="126"/>
      <c r="I36" s="126"/>
      <c r="J36" s="126"/>
      <c r="K36" s="126"/>
    </row>
    <row r="37" spans="1:11" ht="11.25" customHeight="1">
      <c r="A37" s="124"/>
      <c r="B37" s="126"/>
      <c r="C37" s="126"/>
      <c r="D37" s="126"/>
      <c r="E37" s="126"/>
      <c r="F37" s="126"/>
      <c r="G37" s="126"/>
      <c r="H37" s="126"/>
      <c r="I37" s="126"/>
      <c r="J37" s="126"/>
      <c r="K37" s="126"/>
    </row>
    <row r="38" spans="1:11" ht="11.25" customHeight="1">
      <c r="A38" s="124"/>
      <c r="B38" s="126"/>
      <c r="C38" s="126"/>
      <c r="D38" s="126"/>
      <c r="E38" s="126"/>
      <c r="F38" s="126"/>
      <c r="G38" s="126"/>
      <c r="H38" s="126"/>
      <c r="I38" s="126"/>
      <c r="J38" s="126"/>
      <c r="K38" s="126"/>
    </row>
    <row r="39" spans="1:11" ht="11.25" customHeight="1">
      <c r="A39" s="124"/>
      <c r="B39" s="126"/>
      <c r="C39" s="126"/>
      <c r="D39" s="126"/>
      <c r="E39" s="126"/>
      <c r="F39" s="126"/>
      <c r="G39" s="126"/>
      <c r="H39" s="126"/>
      <c r="I39" s="126"/>
      <c r="J39" s="126"/>
      <c r="K39" s="126"/>
    </row>
    <row r="40" spans="1:11" ht="11.25" customHeight="1">
      <c r="A40" s="124"/>
      <c r="B40" s="126"/>
      <c r="C40" s="126"/>
      <c r="D40" s="126"/>
      <c r="E40" s="126"/>
      <c r="F40" s="126"/>
      <c r="G40" s="126"/>
      <c r="H40" s="126"/>
      <c r="I40" s="126"/>
      <c r="J40" s="126"/>
      <c r="K40" s="126"/>
    </row>
    <row r="41" spans="1:11" ht="11.25" customHeight="1">
      <c r="A41" s="124"/>
      <c r="B41" s="126"/>
      <c r="C41" s="126"/>
      <c r="D41" s="126"/>
      <c r="E41" s="126"/>
      <c r="F41" s="126"/>
      <c r="G41" s="126"/>
      <c r="H41" s="126"/>
      <c r="I41" s="126"/>
      <c r="J41" s="126"/>
      <c r="K41" s="126"/>
    </row>
    <row r="42" spans="1:11" ht="11.25" customHeight="1">
      <c r="A42" s="124"/>
      <c r="B42" s="126"/>
      <c r="C42" s="126"/>
      <c r="D42" s="126"/>
      <c r="E42" s="126"/>
      <c r="F42" s="126"/>
      <c r="G42" s="126"/>
      <c r="H42" s="126"/>
      <c r="I42" s="126"/>
      <c r="J42" s="126"/>
      <c r="K42" s="126"/>
    </row>
    <row r="43" spans="1:11" ht="11.25" customHeight="1">
      <c r="A43" s="124"/>
      <c r="B43" s="126"/>
      <c r="C43" s="126"/>
      <c r="D43" s="126"/>
      <c r="E43" s="126"/>
      <c r="F43" s="126"/>
      <c r="G43" s="126"/>
      <c r="H43" s="126"/>
      <c r="I43" s="126"/>
      <c r="J43" s="126"/>
      <c r="K43" s="126"/>
    </row>
    <row r="44" spans="1:11" ht="11.25" customHeight="1">
      <c r="A44" s="124"/>
      <c r="B44" s="126"/>
      <c r="C44" s="126"/>
      <c r="D44" s="126"/>
      <c r="E44" s="126"/>
      <c r="F44" s="126"/>
      <c r="G44" s="126"/>
      <c r="H44" s="126"/>
      <c r="I44" s="126"/>
      <c r="J44" s="126"/>
      <c r="K44" s="126"/>
    </row>
    <row r="45" spans="1:11" ht="11.25" customHeight="1">
      <c r="A45" s="124"/>
      <c r="B45" s="126"/>
      <c r="C45" s="126"/>
      <c r="D45" s="126"/>
      <c r="E45" s="126"/>
      <c r="F45" s="126"/>
      <c r="G45" s="126"/>
      <c r="H45" s="126"/>
      <c r="I45" s="126"/>
      <c r="J45" s="126"/>
      <c r="K45" s="126"/>
    </row>
    <row r="46" spans="1:11" ht="11.25" customHeight="1">
      <c r="A46" s="124"/>
      <c r="B46" s="126"/>
      <c r="C46" s="126"/>
      <c r="D46" s="126"/>
      <c r="E46" s="126"/>
      <c r="F46" s="126"/>
      <c r="G46" s="126"/>
      <c r="H46" s="126"/>
      <c r="I46" s="126"/>
      <c r="J46" s="126"/>
      <c r="K46" s="126"/>
    </row>
    <row r="47" spans="1:11">
      <c r="A47" s="124"/>
      <c r="B47" s="126"/>
      <c r="C47" s="126"/>
      <c r="D47" s="126"/>
      <c r="E47" s="126"/>
      <c r="F47" s="126"/>
      <c r="G47" s="126"/>
      <c r="H47" s="126"/>
      <c r="I47" s="126"/>
      <c r="J47" s="126"/>
      <c r="K47" s="126"/>
    </row>
    <row r="48" spans="1:11">
      <c r="A48" s="124"/>
      <c r="B48" s="126"/>
      <c r="C48" s="126"/>
      <c r="D48" s="126"/>
      <c r="E48" s="126"/>
      <c r="F48" s="126"/>
      <c r="G48" s="126"/>
      <c r="H48" s="126"/>
      <c r="I48" s="126"/>
      <c r="J48" s="126"/>
      <c r="K48" s="126"/>
    </row>
    <row r="49" spans="1:11">
      <c r="A49" s="124"/>
      <c r="B49" s="126"/>
      <c r="C49" s="126"/>
      <c r="D49" s="126"/>
      <c r="E49" s="126"/>
      <c r="F49" s="126"/>
      <c r="G49" s="126"/>
      <c r="H49" s="126"/>
      <c r="I49" s="126"/>
      <c r="J49" s="126"/>
      <c r="K49" s="126"/>
    </row>
    <row r="50" spans="1:11">
      <c r="A50" s="124"/>
      <c r="B50" s="126"/>
      <c r="C50" s="126"/>
      <c r="D50" s="126"/>
      <c r="E50" s="126"/>
      <c r="F50" s="126"/>
      <c r="G50" s="126"/>
      <c r="H50" s="126"/>
      <c r="I50" s="126"/>
      <c r="J50" s="126"/>
      <c r="K50" s="126"/>
    </row>
    <row r="51" spans="1:11">
      <c r="A51" s="124"/>
      <c r="B51" s="126"/>
      <c r="C51" s="126"/>
      <c r="D51" s="126"/>
      <c r="E51" s="126"/>
      <c r="F51" s="126"/>
      <c r="G51" s="126"/>
      <c r="H51" s="126"/>
      <c r="I51" s="126"/>
      <c r="J51" s="126"/>
      <c r="K51" s="126"/>
    </row>
    <row r="52" spans="1:11">
      <c r="A52" s="124"/>
      <c r="B52" s="126"/>
      <c r="C52" s="126"/>
      <c r="D52" s="126"/>
      <c r="E52" s="126"/>
      <c r="F52" s="126"/>
      <c r="G52" s="126"/>
      <c r="H52" s="126"/>
      <c r="I52" s="126"/>
      <c r="J52" s="126"/>
      <c r="K52" s="126"/>
    </row>
    <row r="53" spans="1:11">
      <c r="A53" s="124"/>
      <c r="B53" s="126"/>
      <c r="C53" s="126"/>
      <c r="D53" s="126"/>
      <c r="E53" s="126"/>
      <c r="F53" s="126"/>
      <c r="G53" s="126"/>
      <c r="H53" s="126"/>
      <c r="I53" s="126"/>
      <c r="J53" s="126"/>
      <c r="K53" s="126"/>
    </row>
    <row r="54" spans="1:11">
      <c r="A54" s="124"/>
      <c r="B54" s="126"/>
      <c r="C54" s="126"/>
      <c r="D54" s="126"/>
      <c r="E54" s="126"/>
      <c r="F54" s="126"/>
      <c r="G54" s="126"/>
      <c r="H54" s="126"/>
      <c r="I54" s="126"/>
      <c r="J54" s="126"/>
      <c r="K54" s="126"/>
    </row>
    <row r="55" spans="1:11">
      <c r="A55" s="124"/>
      <c r="B55" s="126"/>
      <c r="C55" s="126"/>
      <c r="D55" s="126"/>
      <c r="E55" s="126"/>
      <c r="F55" s="126"/>
      <c r="G55" s="126"/>
      <c r="H55" s="126"/>
      <c r="I55" s="126"/>
      <c r="J55" s="126"/>
      <c r="K55" s="126"/>
    </row>
    <row r="56" spans="1:11">
      <c r="A56" s="124"/>
      <c r="B56" s="126"/>
      <c r="C56" s="126"/>
      <c r="D56" s="126"/>
      <c r="E56" s="126"/>
      <c r="F56" s="126"/>
      <c r="G56" s="126"/>
      <c r="H56" s="126"/>
      <c r="I56" s="126"/>
      <c r="J56" s="126"/>
      <c r="K56" s="126"/>
    </row>
    <row r="57" spans="1:11">
      <c r="A57" s="124"/>
      <c r="B57" s="126"/>
      <c r="C57" s="126"/>
      <c r="D57" s="126"/>
      <c r="E57" s="126"/>
      <c r="F57" s="126"/>
      <c r="G57" s="126"/>
      <c r="H57" s="126"/>
      <c r="I57" s="126"/>
      <c r="J57" s="126"/>
      <c r="K57" s="126"/>
    </row>
    <row r="58" spans="1:11">
      <c r="A58" s="124"/>
      <c r="B58" s="126"/>
      <c r="C58" s="126"/>
      <c r="D58" s="126"/>
      <c r="E58" s="126"/>
      <c r="F58" s="126"/>
      <c r="G58" s="126"/>
      <c r="H58" s="126"/>
      <c r="I58" s="126"/>
      <c r="J58" s="126"/>
      <c r="K58" s="126"/>
    </row>
    <row r="59" spans="1:11">
      <c r="A59" s="124"/>
      <c r="B59" s="126"/>
      <c r="C59" s="126"/>
      <c r="D59" s="126"/>
      <c r="E59" s="126"/>
      <c r="F59" s="126"/>
      <c r="G59" s="126"/>
      <c r="H59" s="126"/>
      <c r="I59" s="126"/>
      <c r="J59" s="126"/>
      <c r="K59" s="126"/>
    </row>
    <row r="60" spans="1:11">
      <c r="B60" s="126"/>
      <c r="C60" s="126"/>
      <c r="D60" s="126"/>
      <c r="E60" s="126"/>
      <c r="F60" s="126"/>
      <c r="G60" s="126"/>
      <c r="H60" s="126"/>
      <c r="I60" s="126"/>
      <c r="J60" s="126"/>
      <c r="K60" s="126"/>
    </row>
    <row r="61" spans="1:11">
      <c r="A61" s="191" t="str">
        <f>"Gráfico N° 5: Comparación de la producción de energía eléctrica (GWh) por tipo de recurso energético acumulado a "&amp;'1. Resumen'!Q4&amp;"."</f>
        <v>Gráfico N° 5: Comparación de la producción de energía eléctrica (GWh) por tipo de recurso energético acumulado a mayo.</v>
      </c>
    </row>
  </sheetData>
  <mergeCells count="6">
    <mergeCell ref="A23:K23"/>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ignoredErrors>
    <ignoredError sqref="K17 I17"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63"/>
  <sheetViews>
    <sheetView showGridLines="0" view="pageBreakPreview" zoomScale="115" zoomScaleNormal="100" zoomScaleSheetLayoutView="115" zoomScalePageLayoutView="115" workbookViewId="0">
      <selection activeCell="D22" sqref="D22"/>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46"/>
  </cols>
  <sheetData>
    <row r="1" spans="1:15" ht="11.25" customHeight="1"/>
    <row r="2" spans="1:15" ht="11.25" customHeight="1">
      <c r="A2" s="836" t="s">
        <v>173</v>
      </c>
      <c r="B2" s="836"/>
      <c r="C2" s="836"/>
      <c r="D2" s="836"/>
      <c r="E2" s="836"/>
      <c r="F2" s="836"/>
      <c r="G2" s="836"/>
      <c r="H2" s="836"/>
      <c r="I2" s="836"/>
      <c r="J2" s="836"/>
      <c r="K2" s="836"/>
      <c r="L2" s="347"/>
    </row>
    <row r="3" spans="1:15" ht="11.25" customHeight="1">
      <c r="A3" s="67"/>
      <c r="B3" s="66"/>
      <c r="C3" s="66"/>
      <c r="D3" s="66"/>
      <c r="E3" s="66"/>
      <c r="F3" s="66"/>
      <c r="G3" s="66"/>
      <c r="H3" s="66"/>
      <c r="I3" s="66"/>
      <c r="J3" s="66"/>
      <c r="K3" s="66"/>
      <c r="L3" s="347"/>
    </row>
    <row r="4" spans="1:15" ht="15.75" customHeight="1">
      <c r="A4" s="834" t="s">
        <v>169</v>
      </c>
      <c r="B4" s="831" t="s">
        <v>30</v>
      </c>
      <c r="C4" s="832"/>
      <c r="D4" s="832"/>
      <c r="E4" s="832" t="s">
        <v>31</v>
      </c>
      <c r="F4" s="832"/>
      <c r="G4" s="833" t="str">
        <f>+'4. Tipo Recurso'!G4:K4</f>
        <v>Generación Acumulada a mayo</v>
      </c>
      <c r="H4" s="833"/>
      <c r="I4" s="833"/>
      <c r="J4" s="833"/>
      <c r="K4" s="833"/>
      <c r="L4" s="348"/>
    </row>
    <row r="5" spans="1:15" ht="29.25" customHeight="1">
      <c r="A5" s="834"/>
      <c r="B5" s="309">
        <f>+'4. Tipo Recurso'!B5</f>
        <v>45720</v>
      </c>
      <c r="C5" s="309">
        <f>+'4. Tipo Recurso'!C5</f>
        <v>45750</v>
      </c>
      <c r="D5" s="309">
        <f>+'4. Tipo Recurso'!D5</f>
        <v>45778</v>
      </c>
      <c r="E5" s="309">
        <f>+'4. Tipo Recurso'!E5</f>
        <v>45413</v>
      </c>
      <c r="F5" s="309" t="s">
        <v>32</v>
      </c>
      <c r="G5" s="307">
        <v>2025</v>
      </c>
      <c r="H5" s="307">
        <v>2024</v>
      </c>
      <c r="I5" s="306" t="s">
        <v>581</v>
      </c>
      <c r="J5" s="307">
        <v>2023</v>
      </c>
      <c r="K5" s="308" t="s">
        <v>387</v>
      </c>
      <c r="L5" s="349"/>
    </row>
    <row r="6" spans="1:15" ht="11.25" customHeight="1">
      <c r="A6" s="127" t="s">
        <v>41</v>
      </c>
      <c r="B6" s="238">
        <v>245.0234213425</v>
      </c>
      <c r="C6" s="239">
        <v>243.34230603500009</v>
      </c>
      <c r="D6" s="240">
        <v>232.2332244625</v>
      </c>
      <c r="E6" s="238">
        <v>191.89439994249997</v>
      </c>
      <c r="F6" s="212">
        <f t="shared" ref="F6:F11" si="0">IF(E6=0,"",D6/E6-1)</f>
        <v>0.21021366195202851</v>
      </c>
      <c r="G6" s="238">
        <v>1190.641203705</v>
      </c>
      <c r="H6" s="239">
        <v>1174.9843080449998</v>
      </c>
      <c r="I6" s="216">
        <f t="shared" ref="I6:I11" si="1">IF(H6=0,"",G6/H6-1)</f>
        <v>1.3325195539037438E-2</v>
      </c>
      <c r="J6" s="238">
        <v>1119.7193371650003</v>
      </c>
      <c r="K6" s="212">
        <f t="shared" ref="K6:K11" si="2">IF(J6=0,"",H6/J6-1)</f>
        <v>4.935609223283044E-2</v>
      </c>
      <c r="L6" s="350"/>
    </row>
    <row r="7" spans="1:15" ht="11.25" customHeight="1">
      <c r="A7" s="128" t="s">
        <v>35</v>
      </c>
      <c r="B7" s="241">
        <v>330.48742763999996</v>
      </c>
      <c r="C7" s="207">
        <v>375.92274478999997</v>
      </c>
      <c r="D7" s="242">
        <v>331.98247399249999</v>
      </c>
      <c r="E7" s="241">
        <v>368.52996849750002</v>
      </c>
      <c r="F7" s="213">
        <f t="shared" si="0"/>
        <v>-9.9171024419003162E-2</v>
      </c>
      <c r="G7" s="241">
        <v>1552.8294570825001</v>
      </c>
      <c r="H7" s="207">
        <v>1428.3066700475001</v>
      </c>
      <c r="I7" s="202">
        <f t="shared" si="1"/>
        <v>8.7182108468945918E-2</v>
      </c>
      <c r="J7" s="241">
        <v>789.94336493499998</v>
      </c>
      <c r="K7" s="213">
        <f t="shared" si="2"/>
        <v>0.80811275016535844</v>
      </c>
      <c r="L7" s="350"/>
    </row>
    <row r="8" spans="1:15" ht="11.25" customHeight="1">
      <c r="A8" s="210" t="s">
        <v>27</v>
      </c>
      <c r="B8" s="277">
        <v>114.0615374225</v>
      </c>
      <c r="C8" s="247">
        <v>141.33472454750003</v>
      </c>
      <c r="D8" s="278">
        <v>153.69746294000001</v>
      </c>
      <c r="E8" s="277">
        <v>84.753996027500008</v>
      </c>
      <c r="F8" s="214">
        <f t="shared" si="0"/>
        <v>0.81345387998142304</v>
      </c>
      <c r="G8" s="277">
        <v>619.75595271250006</v>
      </c>
      <c r="H8" s="247">
        <v>460.44591376249997</v>
      </c>
      <c r="I8" s="209">
        <f t="shared" si="1"/>
        <v>0.34599077587247939</v>
      </c>
      <c r="J8" s="277">
        <v>307.86532708750002</v>
      </c>
      <c r="K8" s="214">
        <f t="shared" si="2"/>
        <v>0.49560821973185121</v>
      </c>
      <c r="L8" s="350"/>
      <c r="N8" s="727"/>
    </row>
    <row r="9" spans="1:15" ht="11.25" customHeight="1">
      <c r="A9" s="128" t="s">
        <v>44</v>
      </c>
      <c r="B9" s="241">
        <v>15.411062115</v>
      </c>
      <c r="C9" s="207">
        <v>9.9760662700000005</v>
      </c>
      <c r="D9" s="242">
        <v>18.796244587499999</v>
      </c>
      <c r="E9" s="241">
        <v>18.748835404999998</v>
      </c>
      <c r="F9" s="213">
        <f t="shared" si="0"/>
        <v>2.5286467919685141E-3</v>
      </c>
      <c r="G9" s="241">
        <v>96.055783787499976</v>
      </c>
      <c r="H9" s="207">
        <v>88.803794957499974</v>
      </c>
      <c r="I9" s="202">
        <f t="shared" si="1"/>
        <v>8.166305092559023E-2</v>
      </c>
      <c r="J9" s="241">
        <v>75.795192377500001</v>
      </c>
      <c r="K9" s="213">
        <f t="shared" si="2"/>
        <v>0.17162833382901477</v>
      </c>
      <c r="L9" s="351"/>
      <c r="O9" s="353"/>
    </row>
    <row r="10" spans="1:15" ht="11.25" customHeight="1">
      <c r="A10" s="211" t="s">
        <v>45</v>
      </c>
      <c r="B10" s="279">
        <v>7.9308063499999992</v>
      </c>
      <c r="C10" s="280">
        <v>5.6177041750000001</v>
      </c>
      <c r="D10" s="281">
        <v>4.6755127749999996</v>
      </c>
      <c r="E10" s="279">
        <v>4.6652183999999997</v>
      </c>
      <c r="F10" s="215">
        <f t="shared" si="0"/>
        <v>2.206622309472106E-3</v>
      </c>
      <c r="G10" s="279">
        <v>33.495499799999997</v>
      </c>
      <c r="H10" s="280">
        <v>30.491459419999998</v>
      </c>
      <c r="I10" s="217">
        <f t="shared" si="1"/>
        <v>9.8520714886791705E-2</v>
      </c>
      <c r="J10" s="279">
        <v>26.284521250000001</v>
      </c>
      <c r="K10" s="215">
        <f t="shared" si="2"/>
        <v>0.16005382521471634</v>
      </c>
      <c r="L10" s="350"/>
    </row>
    <row r="11" spans="1:15" ht="11.25" customHeight="1">
      <c r="A11" s="218" t="s">
        <v>167</v>
      </c>
      <c r="B11" s="262">
        <f>+B6+B7+B8+B9+B10</f>
        <v>712.91425487000004</v>
      </c>
      <c r="C11" s="263">
        <f t="shared" ref="C11:D11" si="3">+C6+C7+C8+C9+C10</f>
        <v>776.19354581750019</v>
      </c>
      <c r="D11" s="264">
        <f t="shared" si="3"/>
        <v>741.38491875750003</v>
      </c>
      <c r="E11" s="265">
        <f>+E6+E7+E8+E9+E10</f>
        <v>668.59241827249991</v>
      </c>
      <c r="F11" s="219">
        <f t="shared" si="0"/>
        <v>0.10887425357451774</v>
      </c>
      <c r="G11" s="275">
        <f>+G6+G7+G8+G9+G10</f>
        <v>3492.7778970874997</v>
      </c>
      <c r="H11" s="276">
        <f>+H6+H7+H8+H9+H10</f>
        <v>3183.0321462325001</v>
      </c>
      <c r="I11" s="220">
        <f t="shared" si="1"/>
        <v>9.7311537120861491E-2</v>
      </c>
      <c r="J11" s="275">
        <f>+J6+J7+J8+J9+J10</f>
        <v>2319.6077428150006</v>
      </c>
      <c r="K11" s="219">
        <f t="shared" si="2"/>
        <v>0.37222862619421826</v>
      </c>
      <c r="L11" s="348"/>
    </row>
    <row r="12" spans="1:15" ht="24.75" customHeight="1">
      <c r="A12" s="221" t="s">
        <v>168</v>
      </c>
      <c r="B12" s="222">
        <f>B11/'4. Tipo Recurso'!B17</f>
        <v>0.1332871231577849</v>
      </c>
      <c r="C12" s="442">
        <f>C11/'4. Tipo Recurso'!C17</f>
        <v>0.15286264881977832</v>
      </c>
      <c r="D12" s="442">
        <f>D11/'4. Tipo Recurso'!D17</f>
        <v>0.14601429116635736</v>
      </c>
      <c r="E12" s="586">
        <f>E11/'4. Tipo Recurso'!E17</f>
        <v>1.8142145155748315</v>
      </c>
      <c r="F12" s="223"/>
      <c r="G12" s="222">
        <f>G11/'4. Tipo Recurso'!G17</f>
        <v>0.13675569047041153</v>
      </c>
      <c r="H12" s="220">
        <f>H11/'4. Tipo Recurso'!H17</f>
        <v>0.12746125835906638</v>
      </c>
      <c r="I12" s="220"/>
      <c r="J12" s="222">
        <f>J11/'4. Tipo Recurso'!J17</f>
        <v>9.5669047700707499E-2</v>
      </c>
      <c r="K12" s="223"/>
      <c r="L12" s="348"/>
    </row>
    <row r="13" spans="1:15" ht="11.25" customHeight="1">
      <c r="A13" s="224" t="s">
        <v>600</v>
      </c>
      <c r="B13" s="122"/>
      <c r="C13" s="122"/>
      <c r="D13" s="122"/>
      <c r="E13" s="122"/>
      <c r="F13" s="122"/>
      <c r="G13" s="122"/>
      <c r="H13" s="122"/>
      <c r="I13" s="122"/>
      <c r="J13" s="122"/>
      <c r="K13" s="123"/>
      <c r="L13" s="348"/>
    </row>
    <row r="14" spans="1:15" ht="35.25" customHeight="1">
      <c r="A14" s="837" t="s">
        <v>388</v>
      </c>
      <c r="B14" s="837"/>
      <c r="C14" s="837"/>
      <c r="D14" s="837"/>
      <c r="E14" s="837"/>
      <c r="F14" s="837"/>
      <c r="G14" s="837"/>
      <c r="H14" s="837"/>
      <c r="I14" s="837"/>
      <c r="J14" s="837"/>
      <c r="K14" s="837"/>
      <c r="L14" s="348"/>
    </row>
    <row r="15" spans="1:15" ht="11.25" customHeight="1">
      <c r="A15" s="26"/>
      <c r="L15" s="348"/>
    </row>
    <row r="16" spans="1:15" ht="11.25" customHeight="1">
      <c r="A16" s="124"/>
      <c r="B16" s="135"/>
      <c r="C16" s="135"/>
      <c r="D16" s="135"/>
      <c r="E16" s="135"/>
      <c r="F16" s="135"/>
      <c r="G16" s="135"/>
      <c r="H16" s="135"/>
      <c r="I16" s="135"/>
      <c r="J16" s="135"/>
      <c r="K16" s="135"/>
      <c r="L16" s="348"/>
    </row>
    <row r="17" spans="1:12" ht="11.25" customHeight="1">
      <c r="A17" s="135"/>
      <c r="B17" s="135"/>
      <c r="C17" s="135"/>
      <c r="D17" s="135"/>
      <c r="E17" s="135"/>
      <c r="F17" s="135"/>
      <c r="G17" s="135"/>
      <c r="H17" s="135"/>
      <c r="I17" s="135"/>
      <c r="J17" s="135"/>
      <c r="K17" s="135"/>
      <c r="L17" s="348"/>
    </row>
    <row r="18" spans="1:12" ht="11.25" customHeight="1">
      <c r="A18" s="135"/>
      <c r="B18" s="135"/>
      <c r="C18" s="135"/>
      <c r="D18" s="135"/>
      <c r="E18" s="135"/>
      <c r="F18" s="135"/>
      <c r="G18" s="135"/>
      <c r="H18" s="135"/>
      <c r="I18" s="135"/>
      <c r="J18" s="135"/>
      <c r="K18" s="135"/>
      <c r="L18" s="352"/>
    </row>
    <row r="19" spans="1:12" ht="11.25" customHeight="1">
      <c r="A19" s="124"/>
      <c r="B19" s="126"/>
      <c r="C19" s="126"/>
      <c r="D19" s="126"/>
      <c r="E19" s="126"/>
      <c r="F19" s="126"/>
      <c r="G19" s="126"/>
      <c r="H19" s="126"/>
      <c r="I19" s="126"/>
      <c r="J19" s="126"/>
      <c r="K19" s="126"/>
      <c r="L19" s="348"/>
    </row>
    <row r="20" spans="1:12" ht="11.25" customHeight="1">
      <c r="A20" s="124"/>
      <c r="B20" s="126"/>
      <c r="C20" s="126"/>
      <c r="D20" s="126"/>
      <c r="E20" s="126"/>
      <c r="F20" s="126"/>
      <c r="G20" s="126"/>
      <c r="H20" s="126"/>
      <c r="I20" s="126"/>
      <c r="J20" s="126"/>
      <c r="K20" s="126"/>
      <c r="L20" s="348"/>
    </row>
    <row r="21" spans="1:12" ht="11.25" customHeight="1">
      <c r="A21" s="124"/>
      <c r="B21" s="126"/>
      <c r="C21" s="126"/>
      <c r="D21" s="126"/>
      <c r="E21" s="126"/>
      <c r="F21" s="126"/>
      <c r="G21" s="126"/>
      <c r="H21" s="126"/>
      <c r="I21" s="126"/>
      <c r="J21" s="126"/>
      <c r="K21" s="126"/>
      <c r="L21" s="348"/>
    </row>
    <row r="22" spans="1:12" ht="11.25" customHeight="1">
      <c r="A22" s="124"/>
      <c r="B22" s="126"/>
      <c r="C22" s="126"/>
      <c r="D22" s="126"/>
      <c r="E22" s="126"/>
      <c r="F22" s="126"/>
      <c r="G22" s="126"/>
      <c r="H22" s="126"/>
      <c r="I22" s="126"/>
      <c r="J22" s="126"/>
      <c r="K22" s="126"/>
      <c r="L22" s="352"/>
    </row>
    <row r="23" spans="1:12" ht="11.25" customHeight="1">
      <c r="A23" s="124"/>
      <c r="B23" s="126"/>
      <c r="C23" s="126"/>
      <c r="D23" s="126"/>
      <c r="E23" s="126"/>
      <c r="F23" s="126"/>
      <c r="G23" s="126"/>
      <c r="H23" s="126"/>
      <c r="I23" s="126"/>
      <c r="J23" s="126"/>
      <c r="K23" s="126"/>
      <c r="L23" s="348"/>
    </row>
    <row r="24" spans="1:12" ht="11.25" customHeight="1">
      <c r="A24" s="124"/>
      <c r="B24" s="126"/>
      <c r="C24" s="126"/>
      <c r="D24" s="126"/>
      <c r="E24" s="126"/>
      <c r="F24" s="126"/>
      <c r="G24" s="126"/>
      <c r="H24" s="126"/>
      <c r="I24" s="126"/>
      <c r="J24" s="126"/>
      <c r="K24" s="126"/>
      <c r="L24" s="348"/>
    </row>
    <row r="25" spans="1:12" ht="11.25" customHeight="1">
      <c r="A25" s="124"/>
      <c r="B25" s="126"/>
      <c r="C25" s="126"/>
      <c r="D25" s="126"/>
      <c r="E25" s="126"/>
      <c r="F25" s="126"/>
      <c r="G25" s="126"/>
      <c r="H25" s="126"/>
      <c r="I25" s="126"/>
      <c r="J25" s="126"/>
      <c r="K25" s="126"/>
      <c r="L25" s="348"/>
    </row>
    <row r="26" spans="1:12" ht="11.25" customHeight="1">
      <c r="A26" s="124"/>
      <c r="B26" s="126"/>
      <c r="C26" s="126"/>
      <c r="D26" s="126"/>
      <c r="E26" s="126"/>
      <c r="F26" s="126"/>
      <c r="G26" s="126"/>
      <c r="H26" s="126"/>
      <c r="I26" s="126"/>
      <c r="J26" s="126"/>
      <c r="K26" s="126"/>
      <c r="L26" s="348"/>
    </row>
    <row r="27" spans="1:12" ht="11.25" customHeight="1">
      <c r="A27" s="124"/>
      <c r="B27" s="126"/>
      <c r="C27" s="126"/>
      <c r="D27" s="126"/>
      <c r="E27" s="126"/>
      <c r="F27" s="126"/>
      <c r="G27" s="126"/>
      <c r="H27" s="126"/>
      <c r="I27" s="126"/>
      <c r="J27" s="126"/>
      <c r="K27" s="126"/>
      <c r="L27" s="348"/>
    </row>
    <row r="28" spans="1:12" ht="11.25" customHeight="1">
      <c r="A28" s="124"/>
      <c r="B28" s="126"/>
      <c r="C28" s="126"/>
      <c r="D28" s="126"/>
      <c r="E28" s="126"/>
      <c r="F28" s="126"/>
      <c r="G28" s="126"/>
      <c r="H28" s="126"/>
      <c r="I28" s="126"/>
      <c r="J28" s="126"/>
      <c r="K28" s="126"/>
      <c r="L28" s="348"/>
    </row>
    <row r="29" spans="1:12" ht="11.25" customHeight="1">
      <c r="A29" s="124"/>
      <c r="B29" s="126"/>
      <c r="C29" s="126"/>
      <c r="D29" s="126"/>
      <c r="E29" s="126"/>
      <c r="F29" s="126"/>
      <c r="G29" s="126"/>
      <c r="H29" s="126"/>
      <c r="I29" s="126"/>
      <c r="J29" s="126"/>
      <c r="K29" s="126"/>
      <c r="L29" s="348"/>
    </row>
    <row r="30" spans="1:12" ht="11.25" customHeight="1">
      <c r="A30" s="124"/>
      <c r="B30" s="126"/>
      <c r="C30" s="126"/>
      <c r="D30" s="126"/>
      <c r="E30" s="126"/>
      <c r="F30" s="126"/>
      <c r="G30" s="126"/>
      <c r="H30" s="126"/>
      <c r="I30" s="126"/>
      <c r="J30" s="126"/>
      <c r="K30" s="126"/>
      <c r="L30" s="348"/>
    </row>
    <row r="31" spans="1:12" ht="11.25" customHeight="1">
      <c r="A31" s="124"/>
      <c r="B31" s="126"/>
      <c r="C31" s="126"/>
      <c r="D31" s="126"/>
      <c r="E31" s="126"/>
      <c r="F31" s="126"/>
      <c r="G31" s="126"/>
      <c r="H31" s="126"/>
      <c r="I31" s="126"/>
      <c r="J31" s="126"/>
      <c r="K31" s="126"/>
      <c r="L31" s="348"/>
    </row>
    <row r="32" spans="1:12" ht="11.25" customHeight="1">
      <c r="A32" s="124"/>
      <c r="B32" s="126"/>
      <c r="C32" s="126"/>
      <c r="D32" s="126"/>
      <c r="E32" s="126"/>
      <c r="F32" s="126"/>
      <c r="G32" s="126"/>
      <c r="H32" s="126"/>
      <c r="I32" s="126"/>
      <c r="J32" s="126"/>
      <c r="K32" s="126"/>
      <c r="L32" s="348"/>
    </row>
    <row r="33" spans="1:16" ht="11.25" customHeight="1">
      <c r="A33" s="124"/>
      <c r="B33" s="126"/>
      <c r="C33" s="126"/>
      <c r="D33" s="126"/>
      <c r="E33" s="126"/>
      <c r="F33" s="126"/>
      <c r="G33" s="126"/>
      <c r="H33" s="126"/>
      <c r="I33" s="126"/>
      <c r="J33" s="126"/>
      <c r="K33" s="126"/>
      <c r="L33" s="348"/>
    </row>
    <row r="34" spans="1:16" ht="11.25" customHeight="1">
      <c r="A34" s="124"/>
      <c r="B34" s="126"/>
      <c r="C34" s="126"/>
      <c r="D34" s="126"/>
      <c r="E34" s="126"/>
      <c r="F34" s="126"/>
      <c r="G34" s="126"/>
      <c r="H34" s="126"/>
      <c r="I34" s="126"/>
      <c r="J34" s="126"/>
      <c r="K34" s="126"/>
      <c r="L34" s="348"/>
    </row>
    <row r="35" spans="1:16" ht="11.25" customHeight="1">
      <c r="A35" s="835" t="str">
        <f>"Gráfico N° 6: Comparación de la producción de energía eléctrica acumulada (GWh) con recursos energéticos renovables en "&amp;'1. Resumen'!Q4&amp;"."</f>
        <v>Gráfico N° 6: Comparación de la producción de energía eléctrica acumulada (GWh) con recursos energéticos renovables en mayo.</v>
      </c>
      <c r="B35" s="835"/>
      <c r="C35" s="835"/>
      <c r="D35" s="835"/>
      <c r="E35" s="835"/>
      <c r="F35" s="835"/>
      <c r="G35" s="835"/>
      <c r="H35" s="835"/>
      <c r="I35" s="835"/>
      <c r="J35" s="835"/>
      <c r="K35" s="835"/>
      <c r="L35" s="480"/>
      <c r="M35" s="237"/>
      <c r="N35" s="237"/>
      <c r="O35" s="237"/>
    </row>
    <row r="36" spans="1:16" ht="11.25" customHeight="1">
      <c r="L36" s="481"/>
      <c r="M36" s="447"/>
      <c r="N36" s="447"/>
      <c r="O36" s="447"/>
    </row>
    <row r="37" spans="1:16" ht="11.25" customHeight="1">
      <c r="A37" s="124"/>
      <c r="B37" s="126"/>
      <c r="C37" s="126"/>
      <c r="D37" s="126"/>
      <c r="E37" s="126"/>
      <c r="F37" s="126"/>
      <c r="G37" s="126"/>
      <c r="H37" s="126"/>
      <c r="I37" s="126"/>
      <c r="J37" s="126"/>
      <c r="K37" s="126"/>
      <c r="L37" s="480"/>
      <c r="M37" s="447"/>
      <c r="N37" s="447"/>
      <c r="O37" s="447"/>
    </row>
    <row r="38" spans="1:16" ht="11.25" customHeight="1">
      <c r="A38" s="124"/>
      <c r="B38" s="126"/>
      <c r="C38" s="126"/>
      <c r="D38" s="126"/>
      <c r="E38" s="126"/>
      <c r="F38" s="593"/>
      <c r="G38" s="126"/>
      <c r="H38" s="126"/>
      <c r="I38" s="126"/>
      <c r="J38" s="126"/>
      <c r="K38" s="126"/>
      <c r="L38" s="480"/>
      <c r="M38" s="447"/>
      <c r="N38" s="447"/>
      <c r="O38" s="447"/>
    </row>
    <row r="39" spans="1:16" ht="11.25" customHeight="1">
      <c r="A39" s="124"/>
      <c r="B39" s="126"/>
      <c r="C39" s="126"/>
      <c r="D39" s="126"/>
      <c r="E39" s="126"/>
      <c r="F39" s="126"/>
      <c r="G39" s="126"/>
      <c r="H39" s="126"/>
      <c r="I39" s="126"/>
      <c r="J39" s="126"/>
      <c r="K39" s="126"/>
      <c r="L39" s="480"/>
      <c r="M39" s="237"/>
      <c r="N39" s="237"/>
      <c r="O39" s="447"/>
    </row>
    <row r="40" spans="1:16" ht="11.25" customHeight="1">
      <c r="A40" s="124"/>
      <c r="B40" s="126"/>
      <c r="C40" s="225" t="s">
        <v>171</v>
      </c>
      <c r="D40" s="143"/>
      <c r="E40" s="143"/>
      <c r="F40" s="274">
        <f>+'4. Tipo Recurso'!D17</f>
        <v>5077.4818878024998</v>
      </c>
      <c r="G40" s="225" t="s">
        <v>170</v>
      </c>
      <c r="H40" s="126"/>
      <c r="I40" s="126"/>
      <c r="J40" s="126"/>
      <c r="K40" s="126"/>
      <c r="L40" s="480"/>
      <c r="M40" s="696">
        <f>+F40-F41</f>
        <v>4336.1018878024997</v>
      </c>
      <c r="N40" s="237"/>
      <c r="O40" s="447"/>
      <c r="P40" s="353"/>
    </row>
    <row r="41" spans="1:16" ht="11.25" customHeight="1">
      <c r="A41" s="124"/>
      <c r="B41" s="126"/>
      <c r="C41" s="225" t="s">
        <v>172</v>
      </c>
      <c r="D41" s="143"/>
      <c r="E41" s="143"/>
      <c r="F41" s="274">
        <f>ROUND(D11,2)</f>
        <v>741.38</v>
      </c>
      <c r="G41" s="225" t="s">
        <v>170</v>
      </c>
      <c r="H41" s="126"/>
      <c r="I41" s="126"/>
      <c r="J41" s="126"/>
      <c r="K41" s="126"/>
      <c r="L41" s="480"/>
      <c r="M41" s="697"/>
      <c r="N41" s="237"/>
      <c r="O41" s="447"/>
      <c r="P41" s="353"/>
    </row>
    <row r="42" spans="1:16" ht="11.25" customHeight="1">
      <c r="A42" s="124"/>
      <c r="B42" s="126"/>
      <c r="C42" s="126"/>
      <c r="D42" s="126"/>
      <c r="E42" s="126"/>
      <c r="F42" s="126"/>
      <c r="G42" s="126"/>
      <c r="H42" s="126"/>
      <c r="I42" s="126"/>
      <c r="J42" s="126"/>
      <c r="K42" s="126"/>
      <c r="L42" s="480"/>
      <c r="M42" s="237"/>
      <c r="N42" s="237"/>
      <c r="O42" s="447"/>
      <c r="P42" s="353"/>
    </row>
    <row r="43" spans="1:16" ht="11.25" customHeight="1">
      <c r="A43" s="124"/>
      <c r="B43" s="126"/>
      <c r="C43" s="126"/>
      <c r="D43" s="126"/>
      <c r="E43" s="126"/>
      <c r="F43" s="126"/>
      <c r="G43" s="126"/>
      <c r="H43" s="126"/>
      <c r="I43" s="126"/>
      <c r="J43" s="126"/>
      <c r="K43" s="126"/>
      <c r="L43" s="480"/>
      <c r="M43" s="237"/>
      <c r="N43" s="237"/>
      <c r="O43" s="447"/>
      <c r="P43" s="353"/>
    </row>
    <row r="44" spans="1:16" ht="11.25" customHeight="1">
      <c r="A44" s="124"/>
      <c r="B44" s="126"/>
      <c r="C44" s="126"/>
      <c r="D44" s="126"/>
      <c r="E44" s="126"/>
      <c r="F44" s="126"/>
      <c r="G44" s="126"/>
      <c r="H44" s="126"/>
      <c r="I44" s="126"/>
      <c r="J44" s="126"/>
      <c r="K44" s="126"/>
      <c r="L44" s="480"/>
      <c r="M44" s="447"/>
      <c r="N44" s="447"/>
      <c r="O44" s="447"/>
      <c r="P44" s="353"/>
    </row>
    <row r="45" spans="1:16" ht="11.25" customHeight="1">
      <c r="A45" s="124"/>
      <c r="B45" s="126"/>
      <c r="C45" s="126"/>
      <c r="D45" s="126"/>
      <c r="E45" s="126"/>
      <c r="F45" s="126"/>
      <c r="G45" s="126"/>
      <c r="H45" s="126"/>
      <c r="I45" s="126"/>
      <c r="J45" s="126"/>
      <c r="K45" s="126"/>
      <c r="L45" s="480"/>
      <c r="M45" s="447"/>
      <c r="N45" s="447">
        <f>100-86.781</f>
        <v>13.218999999999994</v>
      </c>
      <c r="O45" s="447"/>
      <c r="P45" s="353"/>
    </row>
    <row r="46" spans="1:16" ht="11.25" customHeight="1">
      <c r="A46" s="124"/>
      <c r="B46" s="126"/>
      <c r="C46" s="126"/>
      <c r="D46" s="126"/>
      <c r="E46" s="126"/>
      <c r="F46" s="126"/>
      <c r="G46" s="126"/>
      <c r="H46" s="126"/>
      <c r="I46" s="126"/>
      <c r="J46" s="126"/>
      <c r="K46" s="126"/>
      <c r="L46" s="480"/>
      <c r="M46" s="447"/>
      <c r="N46" s="447"/>
      <c r="O46" s="447"/>
      <c r="P46" s="353"/>
    </row>
    <row r="47" spans="1:16" ht="11.25" customHeight="1">
      <c r="A47" s="124"/>
      <c r="B47" s="126"/>
      <c r="C47" s="126"/>
      <c r="D47" s="126"/>
      <c r="E47" s="126"/>
      <c r="F47" s="126"/>
      <c r="G47" s="126"/>
      <c r="H47" s="126"/>
      <c r="I47" s="126"/>
      <c r="J47" s="126"/>
      <c r="K47" s="126"/>
      <c r="L47" s="348"/>
      <c r="M47" s="447"/>
      <c r="N47" s="447"/>
      <c r="O47" s="447"/>
      <c r="P47" s="353"/>
    </row>
    <row r="48" spans="1:16" ht="11.25" customHeight="1">
      <c r="A48" s="124"/>
      <c r="B48" s="126"/>
      <c r="C48" s="126"/>
      <c r="D48" s="126"/>
      <c r="E48" s="126"/>
      <c r="F48" s="126"/>
      <c r="G48" s="126"/>
      <c r="H48" s="126"/>
      <c r="I48" s="126"/>
      <c r="J48" s="126"/>
      <c r="K48" s="126"/>
      <c r="M48" s="447"/>
      <c r="N48" s="447"/>
      <c r="O48" s="447"/>
    </row>
    <row r="49" spans="1:11" ht="11.25" customHeight="1">
      <c r="A49" s="124"/>
      <c r="B49" s="126"/>
      <c r="C49" s="126"/>
      <c r="D49" s="126"/>
      <c r="E49" s="126"/>
      <c r="F49" s="126"/>
      <c r="G49" s="126"/>
      <c r="H49" s="126"/>
      <c r="I49" s="126"/>
      <c r="J49" s="126"/>
      <c r="K49" s="126"/>
    </row>
    <row r="50" spans="1:11" ht="11.25" customHeight="1">
      <c r="A50" s="124"/>
      <c r="B50" s="126"/>
      <c r="C50" s="126"/>
      <c r="D50" s="126"/>
      <c r="E50" s="126"/>
      <c r="F50" s="126"/>
      <c r="G50" s="126"/>
      <c r="H50" s="126"/>
      <c r="I50" s="126"/>
      <c r="J50" s="126"/>
      <c r="K50" s="126"/>
    </row>
    <row r="51" spans="1:11" ht="11.25" customHeight="1">
      <c r="A51" s="124"/>
      <c r="B51" s="126"/>
      <c r="C51" s="126"/>
      <c r="D51" s="126"/>
      <c r="E51" s="126"/>
      <c r="F51" s="126"/>
      <c r="G51" s="126"/>
      <c r="H51" s="126"/>
      <c r="I51" s="126"/>
      <c r="J51" s="126"/>
      <c r="K51" s="126"/>
    </row>
    <row r="52" spans="1:11">
      <c r="A52" s="124"/>
      <c r="B52" s="126"/>
      <c r="C52" s="126"/>
      <c r="D52" s="126"/>
      <c r="E52" s="126"/>
      <c r="F52" s="126"/>
      <c r="G52" s="126"/>
      <c r="H52" s="126"/>
      <c r="I52" s="126"/>
      <c r="J52" s="126"/>
      <c r="K52" s="126"/>
    </row>
    <row r="53" spans="1:11">
      <c r="A53" s="124"/>
      <c r="B53" s="126"/>
      <c r="C53" s="126"/>
      <c r="D53" s="126"/>
      <c r="E53" s="126"/>
      <c r="F53" s="126"/>
      <c r="G53" s="126"/>
      <c r="H53" s="126"/>
      <c r="I53" s="126"/>
      <c r="J53" s="126"/>
      <c r="K53" s="126"/>
    </row>
    <row r="54" spans="1:11">
      <c r="A54" s="124"/>
      <c r="B54" s="126"/>
      <c r="C54" s="126"/>
      <c r="D54" s="126"/>
      <c r="E54" s="126"/>
      <c r="F54" s="126"/>
      <c r="G54" s="126"/>
      <c r="H54" s="126"/>
      <c r="I54" s="126"/>
      <c r="J54" s="126"/>
      <c r="K54" s="126"/>
    </row>
    <row r="55" spans="1:11">
      <c r="A55" s="124"/>
      <c r="B55" s="126"/>
      <c r="C55" s="126"/>
      <c r="D55" s="126"/>
      <c r="E55" s="126"/>
      <c r="F55" s="126"/>
      <c r="G55" s="126"/>
      <c r="H55" s="126"/>
      <c r="I55" s="126"/>
      <c r="J55" s="126"/>
      <c r="K55" s="126"/>
    </row>
    <row r="56" spans="1:11">
      <c r="A56" s="124"/>
      <c r="B56" s="126"/>
      <c r="C56" s="126"/>
      <c r="D56" s="126"/>
      <c r="E56" s="126"/>
      <c r="F56" s="126"/>
      <c r="G56" s="126"/>
      <c r="H56" s="126"/>
      <c r="I56" s="126"/>
      <c r="J56" s="126"/>
      <c r="K56" s="126"/>
    </row>
    <row r="57" spans="1:11">
      <c r="A57" s="124"/>
      <c r="B57" s="126"/>
      <c r="C57" s="126"/>
      <c r="D57" s="126"/>
      <c r="E57" s="126"/>
      <c r="F57" s="126"/>
      <c r="G57" s="126"/>
      <c r="H57" s="126"/>
      <c r="I57" s="126"/>
      <c r="J57" s="126"/>
      <c r="K57" s="126"/>
    </row>
    <row r="58" spans="1:11">
      <c r="A58" s="124"/>
      <c r="B58" s="126"/>
      <c r="C58" s="126"/>
      <c r="D58" s="126"/>
      <c r="E58" s="126"/>
      <c r="F58" s="126"/>
      <c r="G58" s="126"/>
      <c r="H58" s="126"/>
      <c r="I58" s="126"/>
      <c r="J58" s="126"/>
      <c r="K58" s="126"/>
    </row>
    <row r="59" spans="1:11">
      <c r="A59" s="124"/>
      <c r="B59" s="126"/>
      <c r="C59" s="126"/>
      <c r="D59" s="126"/>
      <c r="E59" s="126"/>
      <c r="F59" s="126"/>
      <c r="G59" s="126"/>
      <c r="H59" s="126"/>
      <c r="I59" s="126"/>
      <c r="J59" s="126"/>
      <c r="K59" s="126"/>
    </row>
    <row r="60" spans="1:11">
      <c r="A60" s="124"/>
      <c r="B60" s="126"/>
      <c r="C60" s="126"/>
      <c r="D60" s="126"/>
      <c r="E60" s="126"/>
      <c r="F60" s="126"/>
      <c r="G60" s="126"/>
      <c r="H60" s="126"/>
      <c r="I60" s="126"/>
      <c r="J60" s="126"/>
      <c r="K60" s="126"/>
    </row>
    <row r="61" spans="1:11">
      <c r="A61" s="124"/>
      <c r="B61" s="126"/>
      <c r="C61" s="126"/>
      <c r="D61" s="126"/>
      <c r="E61" s="126"/>
      <c r="F61" s="126"/>
      <c r="G61" s="126"/>
      <c r="H61" s="126"/>
      <c r="I61" s="126"/>
      <c r="J61" s="126"/>
      <c r="K61" s="126"/>
    </row>
    <row r="62" spans="1:11">
      <c r="B62" s="126"/>
      <c r="C62" s="126"/>
      <c r="D62" s="126"/>
      <c r="E62" s="126"/>
      <c r="F62" s="126"/>
      <c r="G62" s="126"/>
      <c r="H62" s="126"/>
      <c r="I62" s="126"/>
      <c r="J62" s="126"/>
      <c r="K62" s="126"/>
    </row>
    <row r="63" spans="1:11">
      <c r="A63" s="191" t="str">
        <f>"Gráfico N° 7: Participación de las RER en la Matriz de Generación del SEIN en "&amp;'1. Resumen'!Q4&amp;" "&amp;'1. Resumen'!Q5&amp;"."</f>
        <v>Gráfico N° 7: Participación de las RER en la Matriz de Generación del SEIN en mayo 2025.</v>
      </c>
      <c r="B63" s="126"/>
      <c r="C63" s="126"/>
      <c r="D63" s="126"/>
      <c r="E63" s="126"/>
      <c r="F63" s="126"/>
      <c r="G63" s="126"/>
      <c r="H63" s="126"/>
      <c r="I63" s="126"/>
      <c r="J63" s="126"/>
      <c r="K63" s="126"/>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Z69"/>
  <sheetViews>
    <sheetView showGridLines="0" view="pageBreakPreview" zoomScaleNormal="100" zoomScaleSheetLayoutView="100" zoomScalePageLayoutView="115" workbookViewId="0">
      <selection activeCell="D22" sqref="D22"/>
    </sheetView>
  </sheetViews>
  <sheetFormatPr baseColWidth="10" defaultColWidth="9.28515625" defaultRowHeight="10.199999999999999"/>
  <cols>
    <col min="1" max="12" width="10.28515625" customWidth="1"/>
    <col min="13" max="13" width="21.140625" style="449" bestFit="1" customWidth="1"/>
    <col min="14" max="14" width="9.28515625" style="597"/>
    <col min="15" max="15" width="9.28515625" style="449"/>
    <col min="16" max="16" width="11.85546875" style="449" customWidth="1"/>
    <col min="17" max="20" width="9.28515625" style="449"/>
    <col min="21" max="21" width="15" style="449" customWidth="1"/>
    <col min="22" max="22" width="9.28515625" style="449"/>
    <col min="23" max="23" width="14.140625" style="449" bestFit="1" customWidth="1"/>
    <col min="26" max="26" width="17.85546875" bestFit="1" customWidth="1"/>
  </cols>
  <sheetData>
    <row r="2" spans="1:26" ht="11.25" customHeight="1">
      <c r="A2" s="838" t="s">
        <v>177</v>
      </c>
      <c r="B2" s="838"/>
      <c r="C2" s="838"/>
      <c r="D2" s="838"/>
      <c r="E2" s="838"/>
      <c r="F2" s="838"/>
      <c r="G2" s="838"/>
      <c r="H2" s="838"/>
      <c r="I2" s="838"/>
      <c r="J2" s="838"/>
      <c r="K2" s="838"/>
      <c r="L2" s="838"/>
    </row>
    <row r="3" spans="1:26" ht="11.25" customHeight="1"/>
    <row r="4" spans="1:26" ht="11.25" customHeight="1">
      <c r="M4" s="598" t="s">
        <v>49</v>
      </c>
      <c r="N4" s="599" t="s">
        <v>28</v>
      </c>
      <c r="O4" s="598"/>
      <c r="P4" s="600"/>
      <c r="Q4" s="601"/>
      <c r="R4" s="601"/>
    </row>
    <row r="5" spans="1:26" ht="10.5" customHeight="1">
      <c r="A5" s="136"/>
      <c r="B5" s="126"/>
      <c r="C5" s="126"/>
      <c r="D5" s="126"/>
      <c r="E5" s="126"/>
      <c r="F5" s="126"/>
      <c r="G5" s="126"/>
      <c r="H5" s="126"/>
      <c r="I5" s="126"/>
      <c r="J5" s="126"/>
      <c r="K5" s="126"/>
      <c r="L5" s="126"/>
      <c r="M5" s="598"/>
      <c r="N5" s="599"/>
      <c r="O5" s="598"/>
      <c r="P5" s="598" t="s">
        <v>50</v>
      </c>
      <c r="Q5" s="598" t="s">
        <v>51</v>
      </c>
      <c r="R5" s="598"/>
      <c r="V5" s="449">
        <v>2025</v>
      </c>
      <c r="W5" s="597">
        <v>2024</v>
      </c>
      <c r="X5" s="602"/>
    </row>
    <row r="6" spans="1:26" ht="10.5" customHeight="1">
      <c r="A6" s="100"/>
      <c r="B6" s="126"/>
      <c r="C6" s="126"/>
      <c r="D6" s="126"/>
      <c r="E6" s="126"/>
      <c r="F6" s="126"/>
      <c r="G6" s="126"/>
      <c r="H6" s="126"/>
      <c r="I6" s="126"/>
      <c r="J6" s="126"/>
      <c r="K6" s="126"/>
      <c r="L6" s="126"/>
      <c r="M6" s="603" t="s">
        <v>338</v>
      </c>
      <c r="N6" s="604" t="s">
        <v>162</v>
      </c>
      <c r="O6" s="687">
        <v>20.580724</v>
      </c>
      <c r="P6" s="688">
        <v>10.15989725</v>
      </c>
      <c r="Q6" s="688">
        <v>0.66352261823519487</v>
      </c>
      <c r="R6" s="604"/>
      <c r="T6" s="449" t="s">
        <v>332</v>
      </c>
      <c r="U6" s="605" t="s">
        <v>338</v>
      </c>
      <c r="V6" s="605">
        <v>0.86176828956058382</v>
      </c>
      <c r="W6" s="688">
        <v>0.82759719844631952</v>
      </c>
      <c r="X6" s="606"/>
      <c r="Y6" s="607"/>
      <c r="Z6" s="608"/>
    </row>
    <row r="7" spans="1:26" ht="10.5" customHeight="1">
      <c r="A7" s="124"/>
      <c r="B7" s="126"/>
      <c r="C7" s="126"/>
      <c r="D7" s="126"/>
      <c r="E7" s="126"/>
      <c r="F7" s="126"/>
      <c r="G7" s="126"/>
      <c r="H7" s="126"/>
      <c r="I7" s="126"/>
      <c r="J7" s="126"/>
      <c r="K7" s="126"/>
      <c r="L7" s="126"/>
      <c r="M7" s="603" t="s">
        <v>311</v>
      </c>
      <c r="N7" s="604" t="s">
        <v>162</v>
      </c>
      <c r="O7" s="687">
        <v>20.050889999999999</v>
      </c>
      <c r="P7" s="688">
        <v>12.053036375</v>
      </c>
      <c r="Q7" s="688">
        <v>0.80796003111748826</v>
      </c>
      <c r="R7" s="604"/>
      <c r="U7" s="605" t="s">
        <v>311</v>
      </c>
      <c r="V7" s="605">
        <v>0.94322579206315493</v>
      </c>
      <c r="W7" s="688">
        <v>0.85547080712857504</v>
      </c>
      <c r="X7" s="606"/>
      <c r="Y7" s="607"/>
      <c r="Z7" s="608"/>
    </row>
    <row r="8" spans="1:26" ht="10.5" customHeight="1">
      <c r="A8" s="124"/>
      <c r="B8" s="126"/>
      <c r="C8" s="126"/>
      <c r="D8" s="126"/>
      <c r="E8" s="126"/>
      <c r="F8" s="126"/>
      <c r="G8" s="126"/>
      <c r="H8" s="126"/>
      <c r="I8" s="126"/>
      <c r="J8" s="126"/>
      <c r="K8" s="126"/>
      <c r="L8" s="126"/>
      <c r="M8" s="603" t="s">
        <v>309</v>
      </c>
      <c r="N8" s="604" t="s">
        <v>162</v>
      </c>
      <c r="O8" s="687">
        <v>19.987169999999999</v>
      </c>
      <c r="P8" s="688">
        <v>12.470293215</v>
      </c>
      <c r="Q8" s="688">
        <v>0.83859529860179494</v>
      </c>
      <c r="R8" s="604"/>
      <c r="U8" s="605" t="s">
        <v>309</v>
      </c>
      <c r="V8" s="605">
        <v>0.94895132805647375</v>
      </c>
      <c r="W8" s="688">
        <v>0.87071608965934544</v>
      </c>
      <c r="X8" s="606"/>
      <c r="Y8" s="607"/>
      <c r="Z8" s="608"/>
    </row>
    <row r="9" spans="1:26" ht="10.5" customHeight="1">
      <c r="A9" s="124"/>
      <c r="B9" s="126"/>
      <c r="C9" s="126"/>
      <c r="D9" s="126"/>
      <c r="E9" s="126"/>
      <c r="F9" s="126"/>
      <c r="G9" s="126"/>
      <c r="H9" s="126"/>
      <c r="I9" s="126"/>
      <c r="J9" s="126"/>
      <c r="K9" s="126"/>
      <c r="L9" s="126"/>
      <c r="M9" s="603" t="s">
        <v>310</v>
      </c>
      <c r="N9" s="609" t="s">
        <v>162</v>
      </c>
      <c r="O9" s="687">
        <v>20.084060000000001</v>
      </c>
      <c r="P9" s="688">
        <v>12.275521865</v>
      </c>
      <c r="Q9" s="688">
        <v>0.82151503956023375</v>
      </c>
      <c r="R9" s="604"/>
      <c r="U9" s="605" t="s">
        <v>310</v>
      </c>
      <c r="V9" s="605">
        <v>0.83451869208864149</v>
      </c>
      <c r="W9" s="688">
        <v>0.85884150738049947</v>
      </c>
      <c r="X9" s="606"/>
      <c r="Y9" s="607"/>
      <c r="Z9" s="608"/>
    </row>
    <row r="10" spans="1:26" ht="10.5" customHeight="1">
      <c r="A10" s="124"/>
      <c r="B10" s="126"/>
      <c r="C10" s="126"/>
      <c r="D10" s="126"/>
      <c r="E10" s="126"/>
      <c r="F10" s="126"/>
      <c r="G10" s="126"/>
      <c r="H10" s="126"/>
      <c r="I10" s="126"/>
      <c r="J10" s="126"/>
      <c r="K10" s="126"/>
      <c r="L10" s="126"/>
      <c r="M10" s="603" t="s">
        <v>65</v>
      </c>
      <c r="N10" s="609" t="s">
        <v>162</v>
      </c>
      <c r="O10" s="687">
        <v>5.67</v>
      </c>
      <c r="P10" s="688">
        <v>3.94800058</v>
      </c>
      <c r="Q10" s="688">
        <v>0.9358822561680985</v>
      </c>
      <c r="R10" s="604"/>
      <c r="U10" s="605" t="s">
        <v>65</v>
      </c>
      <c r="V10" s="605">
        <v>0.91792976813405447</v>
      </c>
      <c r="W10" s="688">
        <v>0.89408310090910148</v>
      </c>
      <c r="X10" s="606"/>
      <c r="Y10" s="607"/>
      <c r="Z10" s="608"/>
    </row>
    <row r="11" spans="1:26" ht="10.5" customHeight="1">
      <c r="A11" s="124"/>
      <c r="B11" s="126"/>
      <c r="C11" s="126"/>
      <c r="D11" s="126"/>
      <c r="E11" s="126"/>
      <c r="F11" s="126"/>
      <c r="G11" s="126"/>
      <c r="H11" s="126"/>
      <c r="I11" s="126"/>
      <c r="J11" s="126"/>
      <c r="K11" s="126"/>
      <c r="L11" s="126"/>
      <c r="M11" s="603" t="s">
        <v>64</v>
      </c>
      <c r="N11" s="609" t="s">
        <v>162</v>
      </c>
      <c r="O11" s="687">
        <v>5.1890000000000001</v>
      </c>
      <c r="P11" s="688">
        <v>3.6122713174999999</v>
      </c>
      <c r="Q11" s="688">
        <v>0.93567226512556545</v>
      </c>
      <c r="R11" s="604"/>
      <c r="U11" s="605" t="s">
        <v>64</v>
      </c>
      <c r="V11" s="605">
        <v>0.89127667132182742</v>
      </c>
      <c r="W11" s="688">
        <v>0.54267481681475316</v>
      </c>
      <c r="X11" s="606"/>
      <c r="Y11" s="607"/>
      <c r="Z11" s="608"/>
    </row>
    <row r="12" spans="1:26" ht="10.5" customHeight="1">
      <c r="A12" s="124"/>
      <c r="B12" s="126"/>
      <c r="C12" s="126"/>
      <c r="D12" s="126"/>
      <c r="E12" s="126"/>
      <c r="F12" s="126"/>
      <c r="G12" s="126"/>
      <c r="H12" s="126"/>
      <c r="I12" s="126"/>
      <c r="J12" s="126"/>
      <c r="K12" s="126"/>
      <c r="L12" s="126"/>
      <c r="M12" s="603" t="s">
        <v>56</v>
      </c>
      <c r="N12" s="604" t="s">
        <v>162</v>
      </c>
      <c r="O12" s="687">
        <v>9.9830000000000005</v>
      </c>
      <c r="P12" s="688">
        <v>7.1725458199999998</v>
      </c>
      <c r="Q12" s="688">
        <v>0.96569353653899803</v>
      </c>
      <c r="R12" s="604"/>
      <c r="U12" s="605" t="s">
        <v>56</v>
      </c>
      <c r="V12" s="605">
        <v>0.98122786952499164</v>
      </c>
      <c r="W12" s="688">
        <v>0.94578938959114267</v>
      </c>
      <c r="X12" s="606"/>
      <c r="Y12" s="607"/>
      <c r="Z12" s="608"/>
    </row>
    <row r="13" spans="1:26" ht="10.5" customHeight="1">
      <c r="A13" s="124"/>
      <c r="B13" s="126"/>
      <c r="C13" s="126"/>
      <c r="D13" s="126"/>
      <c r="E13" s="126"/>
      <c r="F13" s="126"/>
      <c r="G13" s="126"/>
      <c r="H13" s="126"/>
      <c r="I13" s="126"/>
      <c r="J13" s="126"/>
      <c r="K13" s="126"/>
      <c r="L13" s="126"/>
      <c r="M13" s="603" t="s">
        <v>337</v>
      </c>
      <c r="N13" s="604" t="s">
        <v>162</v>
      </c>
      <c r="O13" s="687">
        <v>20.295999999999999</v>
      </c>
      <c r="P13" s="688">
        <v>14.772994027499999</v>
      </c>
      <c r="Q13" s="688">
        <v>0.97832946236426699</v>
      </c>
      <c r="R13" s="604"/>
      <c r="U13" s="605" t="s">
        <v>337</v>
      </c>
      <c r="V13" s="605">
        <v>0.97814507740599177</v>
      </c>
      <c r="W13" s="688">
        <v>0.95244153361391759</v>
      </c>
      <c r="X13" s="606"/>
      <c r="Y13" s="607"/>
      <c r="Z13" s="608"/>
    </row>
    <row r="14" spans="1:26" ht="10.5" customHeight="1">
      <c r="A14" s="124"/>
      <c r="B14" s="126"/>
      <c r="C14" s="126"/>
      <c r="D14" s="126"/>
      <c r="E14" s="126"/>
      <c r="F14" s="126"/>
      <c r="G14" s="126"/>
      <c r="H14" s="126"/>
      <c r="I14" s="126"/>
      <c r="J14" s="126"/>
      <c r="K14" s="126"/>
      <c r="L14" s="126"/>
      <c r="M14" s="603" t="s">
        <v>335</v>
      </c>
      <c r="N14" s="604" t="s">
        <v>162</v>
      </c>
      <c r="O14" s="687">
        <v>8.5804989999999997</v>
      </c>
      <c r="P14" s="688">
        <v>3.9714627500000002</v>
      </c>
      <c r="Q14" s="688">
        <v>0.62210689229196359</v>
      </c>
      <c r="R14" s="604"/>
      <c r="U14" s="605" t="s">
        <v>335</v>
      </c>
      <c r="V14" s="605">
        <v>0.82122080302223444</v>
      </c>
      <c r="W14" s="688">
        <v>0.78548300173249541</v>
      </c>
      <c r="X14" s="606"/>
      <c r="Y14" s="607"/>
      <c r="Z14" s="608"/>
    </row>
    <row r="15" spans="1:26" ht="11.25" customHeight="1">
      <c r="A15" s="124"/>
      <c r="B15" s="126"/>
      <c r="C15" s="126"/>
      <c r="D15" s="126"/>
      <c r="E15" s="126"/>
      <c r="F15" s="126"/>
      <c r="G15" s="126"/>
      <c r="H15" s="126"/>
      <c r="I15" s="126"/>
      <c r="J15" s="126"/>
      <c r="K15" s="126"/>
      <c r="L15" s="126"/>
      <c r="M15" s="603" t="s">
        <v>312</v>
      </c>
      <c r="N15" s="604" t="s">
        <v>162</v>
      </c>
      <c r="O15" s="687">
        <v>0.678643</v>
      </c>
      <c r="P15" s="688">
        <v>0.46663199999999999</v>
      </c>
      <c r="Q15" s="688">
        <v>0.92418775171496181</v>
      </c>
      <c r="R15" s="604"/>
      <c r="U15" s="605" t="s">
        <v>312</v>
      </c>
      <c r="V15" s="605">
        <v>0.72317047791473266</v>
      </c>
      <c r="W15" s="688">
        <v>0.5864001337123973</v>
      </c>
      <c r="X15" s="606"/>
      <c r="Y15" s="607"/>
      <c r="Z15" s="608"/>
    </row>
    <row r="16" spans="1:26" ht="11.25" customHeight="1">
      <c r="A16" s="124"/>
      <c r="B16" s="126"/>
      <c r="C16" s="126"/>
      <c r="D16" s="126"/>
      <c r="E16" s="126"/>
      <c r="F16" s="126"/>
      <c r="G16" s="126"/>
      <c r="H16" s="126"/>
      <c r="I16" s="126"/>
      <c r="J16" s="126"/>
      <c r="K16" s="126"/>
      <c r="L16" s="126"/>
      <c r="M16" s="603" t="s">
        <v>545</v>
      </c>
      <c r="N16" s="604" t="s">
        <v>162</v>
      </c>
      <c r="O16" s="687">
        <v>3.081</v>
      </c>
      <c r="P16" s="688">
        <v>1.6491182775</v>
      </c>
      <c r="Q16" s="688">
        <v>0.71942772625666151</v>
      </c>
      <c r="R16" s="604"/>
      <c r="U16" s="605" t="s">
        <v>545</v>
      </c>
      <c r="V16" s="605">
        <v>0.74082323284024498</v>
      </c>
      <c r="W16" s="688">
        <v>0.21073809553179826</v>
      </c>
      <c r="X16" s="606"/>
      <c r="Y16" s="607"/>
      <c r="Z16" s="608"/>
    </row>
    <row r="17" spans="1:26" ht="11.25" customHeight="1">
      <c r="A17" s="124"/>
      <c r="B17" s="126"/>
      <c r="C17" s="126"/>
      <c r="D17" s="126"/>
      <c r="E17" s="126"/>
      <c r="F17" s="126"/>
      <c r="G17" s="126"/>
      <c r="H17" s="126"/>
      <c r="I17" s="126"/>
      <c r="J17" s="126"/>
      <c r="K17" s="126"/>
      <c r="L17" s="126"/>
      <c r="M17" s="603" t="s">
        <v>59</v>
      </c>
      <c r="N17" s="604" t="s">
        <v>162</v>
      </c>
      <c r="O17" s="687">
        <v>9.85</v>
      </c>
      <c r="P17" s="688">
        <v>5.6842515699999998</v>
      </c>
      <c r="Q17" s="688">
        <v>0.77564701299055727</v>
      </c>
      <c r="R17" s="604"/>
      <c r="U17" s="605" t="s">
        <v>59</v>
      </c>
      <c r="V17" s="605">
        <v>0.87572077058190734</v>
      </c>
      <c r="W17" s="688">
        <v>0.82248172700151401</v>
      </c>
      <c r="X17" s="606"/>
      <c r="Y17" s="607"/>
      <c r="Z17" s="608"/>
    </row>
    <row r="18" spans="1:26">
      <c r="A18" s="124"/>
      <c r="B18" s="126"/>
      <c r="C18" s="126"/>
      <c r="D18" s="126"/>
      <c r="E18" s="126"/>
      <c r="F18" s="126"/>
      <c r="G18" s="126"/>
      <c r="H18" s="126"/>
      <c r="I18" s="126"/>
      <c r="J18" s="126"/>
      <c r="K18" s="126"/>
      <c r="L18" s="126"/>
      <c r="M18" s="603" t="s">
        <v>58</v>
      </c>
      <c r="N18" s="604" t="s">
        <v>162</v>
      </c>
      <c r="O18" s="687">
        <v>9.9643300000000004</v>
      </c>
      <c r="P18" s="688">
        <v>6.0887139899999996</v>
      </c>
      <c r="Q18" s="688">
        <v>0.82130513169507902</v>
      </c>
      <c r="R18" s="604"/>
      <c r="U18" s="605" t="s">
        <v>58</v>
      </c>
      <c r="V18" s="605">
        <v>0.90104718098995551</v>
      </c>
      <c r="W18" s="688">
        <v>0.83896212759388622</v>
      </c>
      <c r="X18" s="606"/>
      <c r="Y18" s="607"/>
      <c r="Z18" s="608"/>
    </row>
    <row r="19" spans="1:26">
      <c r="A19" s="124"/>
      <c r="B19" s="126"/>
      <c r="C19" s="126"/>
      <c r="D19" s="126"/>
      <c r="E19" s="126"/>
      <c r="F19" s="126"/>
      <c r="G19" s="126"/>
      <c r="H19" s="126"/>
      <c r="I19" s="126"/>
      <c r="J19" s="126"/>
      <c r="K19" s="126"/>
      <c r="L19" s="126"/>
      <c r="M19" s="603" t="s">
        <v>68</v>
      </c>
      <c r="N19" s="604" t="s">
        <v>162</v>
      </c>
      <c r="O19" s="687">
        <v>3.9729999999999999</v>
      </c>
      <c r="P19" s="688">
        <v>2.1709999999999998</v>
      </c>
      <c r="Q19" s="688">
        <v>0.7344602951644027</v>
      </c>
      <c r="R19" s="604"/>
      <c r="U19" s="605" t="s">
        <v>68</v>
      </c>
      <c r="V19" s="605">
        <v>0.83348890885441407</v>
      </c>
      <c r="W19" s="688">
        <v>0.80881062302118245</v>
      </c>
      <c r="X19" s="606"/>
      <c r="Y19" s="607"/>
      <c r="Z19" s="608"/>
    </row>
    <row r="20" spans="1:26">
      <c r="A20" s="124"/>
      <c r="B20" s="126"/>
      <c r="C20" s="126"/>
      <c r="D20" s="126"/>
      <c r="E20" s="126"/>
      <c r="F20" s="126"/>
      <c r="G20" s="126"/>
      <c r="H20" s="126"/>
      <c r="I20" s="126"/>
      <c r="J20" s="126"/>
      <c r="K20" s="126"/>
      <c r="L20" s="126"/>
      <c r="M20" s="603" t="s">
        <v>60</v>
      </c>
      <c r="N20" s="604" t="s">
        <v>162</v>
      </c>
      <c r="O20" s="687">
        <v>9.0798699999999997</v>
      </c>
      <c r="P20" s="688">
        <v>4.4527914075000004</v>
      </c>
      <c r="Q20" s="688">
        <v>0.65914321322882374</v>
      </c>
      <c r="R20" s="604"/>
      <c r="U20" s="605" t="s">
        <v>60</v>
      </c>
      <c r="V20" s="605">
        <v>0.60231600561894538</v>
      </c>
      <c r="W20" s="688">
        <v>0.46377096454524069</v>
      </c>
      <c r="X20" s="606"/>
      <c r="Y20" s="607"/>
      <c r="Z20" s="608"/>
    </row>
    <row r="21" spans="1:26">
      <c r="A21" s="124"/>
      <c r="B21" s="126"/>
      <c r="C21" s="126"/>
      <c r="D21" s="126"/>
      <c r="E21" s="126"/>
      <c r="F21" s="126"/>
      <c r="G21" s="126"/>
      <c r="H21" s="126"/>
      <c r="I21" s="126"/>
      <c r="J21" s="126"/>
      <c r="K21" s="126"/>
      <c r="L21" s="126"/>
      <c r="M21" s="603" t="s">
        <v>55</v>
      </c>
      <c r="N21" s="604" t="s">
        <v>162</v>
      </c>
      <c r="O21" s="687">
        <v>19.1995</v>
      </c>
      <c r="P21" s="688">
        <v>13.54643302</v>
      </c>
      <c r="Q21" s="688">
        <v>0.94833569954638708</v>
      </c>
      <c r="R21" s="604"/>
      <c r="U21" s="605" t="s">
        <v>55</v>
      </c>
      <c r="V21" s="605">
        <v>0.93546540214123275</v>
      </c>
      <c r="W21" s="688">
        <v>0.89722097926184119</v>
      </c>
      <c r="X21" s="606"/>
      <c r="Y21" s="607"/>
      <c r="Z21" s="608"/>
    </row>
    <row r="22" spans="1:26">
      <c r="A22" s="124"/>
      <c r="B22" s="126"/>
      <c r="C22" s="126"/>
      <c r="D22" s="126"/>
      <c r="E22" s="126"/>
      <c r="F22" s="126"/>
      <c r="G22" s="126"/>
      <c r="H22" s="126"/>
      <c r="I22" s="126"/>
      <c r="J22" s="126"/>
      <c r="K22" s="126"/>
      <c r="L22" s="126"/>
      <c r="M22" s="603" t="s">
        <v>344</v>
      </c>
      <c r="N22" s="604" t="s">
        <v>162</v>
      </c>
      <c r="O22" s="687">
        <v>20.763359999999999</v>
      </c>
      <c r="P22" s="688">
        <v>14.209103365000001</v>
      </c>
      <c r="Q22" s="688">
        <v>0.91980571598342009</v>
      </c>
      <c r="R22" s="604"/>
      <c r="U22" s="605" t="s">
        <v>344</v>
      </c>
      <c r="V22" s="605">
        <v>0.66738076984126804</v>
      </c>
      <c r="W22" s="688">
        <v>0.75703636383383066</v>
      </c>
      <c r="X22" s="606"/>
      <c r="Y22" s="607"/>
      <c r="Z22" s="608"/>
    </row>
    <row r="23" spans="1:26">
      <c r="A23" s="124"/>
      <c r="B23" s="126"/>
      <c r="C23" s="126"/>
      <c r="D23" s="126"/>
      <c r="E23" s="126"/>
      <c r="F23" s="126"/>
      <c r="G23" s="126"/>
      <c r="H23" s="126"/>
      <c r="I23" s="126"/>
      <c r="J23" s="126"/>
      <c r="K23" s="126"/>
      <c r="L23" s="126"/>
      <c r="M23" s="603" t="s">
        <v>63</v>
      </c>
      <c r="N23" s="604" t="s">
        <v>162</v>
      </c>
      <c r="O23" s="687">
        <v>9.5660000000000007</v>
      </c>
      <c r="P23" s="688">
        <v>6.9931794150000002</v>
      </c>
      <c r="Q23" s="688">
        <v>0.98258777938329978</v>
      </c>
      <c r="R23" s="604"/>
      <c r="U23" s="605" t="s">
        <v>63</v>
      </c>
      <c r="V23" s="605">
        <v>0.82578982597778927</v>
      </c>
      <c r="W23" s="688">
        <v>0.68314615869297701</v>
      </c>
      <c r="X23" s="606"/>
      <c r="Y23" s="607"/>
      <c r="Z23" s="608"/>
    </row>
    <row r="24" spans="1:26">
      <c r="A24" s="124"/>
      <c r="B24" s="126"/>
      <c r="C24" s="126"/>
      <c r="D24" s="126"/>
      <c r="E24" s="126"/>
      <c r="F24" s="126"/>
      <c r="G24" s="126"/>
      <c r="H24" s="126"/>
      <c r="I24" s="126"/>
      <c r="J24" s="126"/>
      <c r="K24" s="126"/>
      <c r="L24" s="126"/>
      <c r="M24" s="603" t="s">
        <v>57</v>
      </c>
      <c r="N24" s="604" t="s">
        <v>162</v>
      </c>
      <c r="O24" s="687">
        <v>20.202000000000002</v>
      </c>
      <c r="P24" s="688">
        <v>12.65921825</v>
      </c>
      <c r="Q24" s="688">
        <v>0.84224721775125011</v>
      </c>
      <c r="R24" s="604"/>
      <c r="U24" s="605" t="s">
        <v>57</v>
      </c>
      <c r="V24" s="605">
        <v>0.92264160913788396</v>
      </c>
      <c r="W24" s="688">
        <v>0.94398190888528066</v>
      </c>
      <c r="X24" s="606"/>
      <c r="Y24" s="607"/>
      <c r="Z24" s="608"/>
    </row>
    <row r="25" spans="1:26">
      <c r="A25" s="124"/>
      <c r="B25" s="126"/>
      <c r="C25" s="126"/>
      <c r="D25" s="126"/>
      <c r="E25" s="126"/>
      <c r="F25" s="126"/>
      <c r="G25" s="126"/>
      <c r="H25" s="126"/>
      <c r="I25" s="126"/>
      <c r="J25" s="126"/>
      <c r="K25" s="126"/>
      <c r="L25" s="126"/>
      <c r="M25" s="603" t="s">
        <v>69</v>
      </c>
      <c r="N25" s="604" t="s">
        <v>162</v>
      </c>
      <c r="O25" s="687">
        <v>1.769382</v>
      </c>
      <c r="P25" s="688">
        <v>9.8411609999999997E-2</v>
      </c>
      <c r="Q25" s="688">
        <v>7.4756988233653746E-2</v>
      </c>
      <c r="R25" s="604"/>
      <c r="U25" s="605" t="s">
        <v>69</v>
      </c>
      <c r="V25" s="605">
        <v>3.3506955084251451E-2</v>
      </c>
      <c r="W25" s="688">
        <v>0.19761043402925577</v>
      </c>
      <c r="X25" s="606"/>
      <c r="Y25" s="607"/>
      <c r="Z25" s="608"/>
    </row>
    <row r="26" spans="1:26">
      <c r="A26" s="124"/>
      <c r="B26" s="126"/>
      <c r="C26" s="126"/>
      <c r="D26" s="126"/>
      <c r="E26" s="126"/>
      <c r="F26" s="126"/>
      <c r="G26" s="126"/>
      <c r="H26" s="126"/>
      <c r="I26" s="126"/>
      <c r="J26" s="126"/>
      <c r="K26" s="126"/>
      <c r="L26" s="126"/>
      <c r="M26" s="603" t="s">
        <v>304</v>
      </c>
      <c r="N26" s="604" t="s">
        <v>162</v>
      </c>
      <c r="O26" s="687">
        <v>20.861999999999998</v>
      </c>
      <c r="P26" s="688">
        <v>13.15633635</v>
      </c>
      <c r="Q26" s="688">
        <v>0.84762955528032147</v>
      </c>
      <c r="R26" s="604"/>
      <c r="U26" s="605" t="s">
        <v>304</v>
      </c>
      <c r="V26" s="605">
        <v>0.86151986892525956</v>
      </c>
      <c r="W26" s="688">
        <v>0.94098445039625478</v>
      </c>
      <c r="X26" s="606"/>
      <c r="Y26" s="607"/>
      <c r="Z26" s="608"/>
    </row>
    <row r="27" spans="1:26">
      <c r="A27" s="124"/>
      <c r="B27" s="126"/>
      <c r="C27" s="126"/>
      <c r="D27" s="126"/>
      <c r="E27" s="126"/>
      <c r="F27" s="126"/>
      <c r="G27" s="126"/>
      <c r="H27" s="126"/>
      <c r="I27" s="126"/>
      <c r="J27" s="126"/>
      <c r="K27" s="126"/>
      <c r="L27" s="126"/>
      <c r="M27" s="603" t="s">
        <v>66</v>
      </c>
      <c r="N27" s="604" t="s">
        <v>162</v>
      </c>
      <c r="O27" s="687">
        <v>3.6848800000000002</v>
      </c>
      <c r="P27" s="688">
        <v>1.3898524999999999</v>
      </c>
      <c r="Q27" s="688">
        <v>0.50695852163552169</v>
      </c>
      <c r="R27" s="604"/>
      <c r="U27" s="605" t="s">
        <v>66</v>
      </c>
      <c r="V27" s="605">
        <v>0.66017533097965442</v>
      </c>
      <c r="W27" s="688">
        <v>0.88886711165812682</v>
      </c>
      <c r="X27" s="606"/>
      <c r="Y27" s="607"/>
      <c r="Z27" s="608"/>
    </row>
    <row r="28" spans="1:26">
      <c r="A28" s="124"/>
      <c r="B28" s="126"/>
      <c r="C28" s="126"/>
      <c r="D28" s="126"/>
      <c r="E28" s="126"/>
      <c r="F28" s="126"/>
      <c r="G28" s="126"/>
      <c r="H28" s="126"/>
      <c r="I28" s="126"/>
      <c r="J28" s="126"/>
      <c r="K28" s="126"/>
      <c r="L28" s="126"/>
      <c r="M28" s="603" t="s">
        <v>336</v>
      </c>
      <c r="N28" s="604" t="s">
        <v>162</v>
      </c>
      <c r="O28" s="687">
        <v>20.27</v>
      </c>
      <c r="P28" s="688">
        <v>14.7451232575</v>
      </c>
      <c r="Q28" s="688">
        <v>0.97773626323530194</v>
      </c>
      <c r="R28" s="604"/>
      <c r="U28" s="605" t="s">
        <v>336</v>
      </c>
      <c r="V28" s="605">
        <v>0.97185188963207525</v>
      </c>
      <c r="W28" s="688">
        <v>0.94944751985125164</v>
      </c>
      <c r="X28" s="606"/>
      <c r="Y28" s="607"/>
      <c r="Z28" s="608"/>
    </row>
    <row r="29" spans="1:26">
      <c r="A29" s="124"/>
      <c r="B29" s="126"/>
      <c r="C29" s="126"/>
      <c r="D29" s="126"/>
      <c r="E29" s="126"/>
      <c r="F29" s="126"/>
      <c r="G29" s="126"/>
      <c r="H29" s="126"/>
      <c r="I29" s="126"/>
      <c r="J29" s="126"/>
      <c r="K29" s="126"/>
      <c r="L29" s="126"/>
      <c r="M29" s="603" t="s">
        <v>54</v>
      </c>
      <c r="N29" s="604" t="s">
        <v>162</v>
      </c>
      <c r="O29" s="687">
        <v>19.966999999999999</v>
      </c>
      <c r="P29" s="688">
        <v>8.4007358925000002</v>
      </c>
      <c r="Q29" s="688">
        <v>0.56549865695736679</v>
      </c>
      <c r="R29" s="604"/>
      <c r="U29" s="605" t="s">
        <v>54</v>
      </c>
      <c r="V29" s="605">
        <v>0.89374889514857359</v>
      </c>
      <c r="W29" s="688">
        <v>0.80827807837427379</v>
      </c>
      <c r="X29" s="606"/>
      <c r="Y29" s="607"/>
      <c r="Z29" s="608"/>
    </row>
    <row r="30" spans="1:26">
      <c r="A30" s="124"/>
      <c r="B30" s="126"/>
      <c r="C30" s="126"/>
      <c r="D30" s="126"/>
      <c r="E30" s="126"/>
      <c r="F30" s="126"/>
      <c r="G30" s="126"/>
      <c r="H30" s="126"/>
      <c r="I30" s="126"/>
      <c r="J30" s="126"/>
      <c r="K30" s="126"/>
      <c r="L30" s="126"/>
      <c r="M30" s="449" t="s">
        <v>52</v>
      </c>
      <c r="N30" s="604" t="s">
        <v>162</v>
      </c>
      <c r="O30" s="687">
        <v>19.966000000000001</v>
      </c>
      <c r="P30" s="688">
        <v>11.383726879999999</v>
      </c>
      <c r="Q30" s="688">
        <v>0.76633818351412464</v>
      </c>
      <c r="R30" s="604"/>
      <c r="U30" s="605" t="s">
        <v>52</v>
      </c>
      <c r="V30" s="605">
        <v>0.95940978443707503</v>
      </c>
      <c r="W30" s="688">
        <v>0.90095475006249659</v>
      </c>
      <c r="X30" s="606"/>
      <c r="Y30" s="607"/>
      <c r="Z30" s="608"/>
    </row>
    <row r="31" spans="1:26">
      <c r="A31" s="124"/>
      <c r="B31" s="126"/>
      <c r="C31" s="126"/>
      <c r="D31" s="126"/>
      <c r="E31" s="126"/>
      <c r="F31" s="126"/>
      <c r="G31" s="126"/>
      <c r="H31" s="126"/>
      <c r="I31" s="126"/>
      <c r="J31" s="126"/>
      <c r="K31" s="126"/>
      <c r="L31" s="126"/>
      <c r="M31" s="603" t="s">
        <v>62</v>
      </c>
      <c r="N31" s="604" t="s">
        <v>162</v>
      </c>
      <c r="O31" s="688">
        <v>6.6360000000000001</v>
      </c>
      <c r="P31" s="688">
        <v>3.0243585149999999</v>
      </c>
      <c r="Q31" s="688">
        <v>0.61256751115615704</v>
      </c>
      <c r="R31" s="604"/>
      <c r="U31" s="605" t="s">
        <v>62</v>
      </c>
      <c r="V31" s="605">
        <v>0.79483730333374591</v>
      </c>
      <c r="W31" s="688">
        <v>0.88686787501701914</v>
      </c>
      <c r="X31" s="606"/>
      <c r="Y31" s="607"/>
      <c r="Z31" s="608"/>
    </row>
    <row r="32" spans="1:26">
      <c r="A32" s="124"/>
      <c r="B32" s="126"/>
      <c r="C32" s="126"/>
      <c r="D32" s="126"/>
      <c r="E32" s="126"/>
      <c r="F32" s="126"/>
      <c r="G32" s="126"/>
      <c r="H32" s="126"/>
      <c r="I32" s="126"/>
      <c r="J32" s="126"/>
      <c r="K32" s="126"/>
      <c r="L32" s="126"/>
      <c r="M32" s="603" t="s">
        <v>61</v>
      </c>
      <c r="N32" s="604" t="s">
        <v>162</v>
      </c>
      <c r="O32" s="688">
        <v>6.5019999999999998</v>
      </c>
      <c r="P32" s="688">
        <v>3.4057953725000001</v>
      </c>
      <c r="Q32" s="688">
        <v>0.70404213354120981</v>
      </c>
      <c r="R32" s="604"/>
      <c r="U32" s="605" t="s">
        <v>61</v>
      </c>
      <c r="V32" s="605">
        <v>0.75514281042664411</v>
      </c>
      <c r="W32" s="688">
        <v>0.9786934840941317</v>
      </c>
      <c r="X32" s="606"/>
      <c r="Y32" s="607"/>
      <c r="Z32" s="608"/>
    </row>
    <row r="33" spans="1:26">
      <c r="A33" s="124"/>
      <c r="B33" s="126"/>
      <c r="C33" s="126"/>
      <c r="D33" s="126"/>
      <c r="E33" s="126"/>
      <c r="F33" s="126"/>
      <c r="G33" s="126"/>
      <c r="H33" s="126"/>
      <c r="I33" s="126"/>
      <c r="J33" s="126"/>
      <c r="K33" s="126"/>
      <c r="L33" s="126"/>
      <c r="M33" s="603" t="s">
        <v>67</v>
      </c>
      <c r="N33" s="604" t="s">
        <v>162</v>
      </c>
      <c r="O33" s="688">
        <v>3.91621</v>
      </c>
      <c r="P33" s="688">
        <v>2.0292712750000002</v>
      </c>
      <c r="Q33" s="688">
        <v>0.69646805318659954</v>
      </c>
      <c r="R33" s="604"/>
      <c r="U33" s="605" t="s">
        <v>67</v>
      </c>
      <c r="V33" s="605">
        <v>0.75687313088323849</v>
      </c>
      <c r="W33" s="688">
        <v>0.79232531149096586</v>
      </c>
      <c r="X33" s="606"/>
      <c r="Y33" s="607"/>
      <c r="Z33" s="608"/>
    </row>
    <row r="34" spans="1:26">
      <c r="B34" s="126"/>
      <c r="C34" s="126"/>
      <c r="D34" s="126"/>
      <c r="E34" s="126"/>
      <c r="F34" s="126"/>
      <c r="G34" s="126"/>
      <c r="H34" s="126"/>
      <c r="I34" s="126"/>
      <c r="J34" s="126"/>
      <c r="K34" s="126"/>
      <c r="L34" s="126"/>
      <c r="M34" s="603" t="s">
        <v>53</v>
      </c>
      <c r="N34" s="604" t="s">
        <v>162</v>
      </c>
      <c r="O34" s="688">
        <v>18.148</v>
      </c>
      <c r="P34" s="688">
        <v>13.563985750000001</v>
      </c>
      <c r="Q34" s="688">
        <v>1</v>
      </c>
      <c r="R34" s="604"/>
      <c r="U34" s="605" t="s">
        <v>53</v>
      </c>
      <c r="V34" s="605">
        <v>0.85514223486244567</v>
      </c>
      <c r="W34" s="688">
        <v>0.88671528411677969</v>
      </c>
      <c r="X34" s="606"/>
      <c r="Y34" s="607"/>
      <c r="Z34" s="608"/>
    </row>
    <row r="35" spans="1:26">
      <c r="A35" s="124"/>
      <c r="B35" s="126"/>
      <c r="C35" s="126"/>
      <c r="D35" s="126"/>
      <c r="E35" s="126"/>
      <c r="F35" s="126"/>
      <c r="G35" s="126"/>
      <c r="H35" s="126"/>
      <c r="I35" s="126"/>
      <c r="J35" s="126"/>
      <c r="K35" s="126"/>
      <c r="L35" s="126"/>
      <c r="M35" s="603" t="s">
        <v>601</v>
      </c>
      <c r="N35" s="604" t="s">
        <v>162</v>
      </c>
      <c r="O35" s="687">
        <v>20.365970000000001</v>
      </c>
      <c r="P35" s="688">
        <v>11.90539777</v>
      </c>
      <c r="Q35" s="688">
        <v>0.78571650273069638</v>
      </c>
      <c r="R35" s="604"/>
      <c r="U35" s="605" t="s">
        <v>601</v>
      </c>
      <c r="V35" s="605">
        <v>0.87942469883165197</v>
      </c>
      <c r="W35" s="688">
        <v>0.82207289816826279</v>
      </c>
      <c r="X35" s="606"/>
      <c r="Y35" s="607"/>
      <c r="Z35" s="608"/>
    </row>
    <row r="36" spans="1:26" ht="10.95" customHeight="1">
      <c r="A36" s="124"/>
      <c r="B36" s="126"/>
      <c r="C36" s="126"/>
      <c r="D36" s="126"/>
      <c r="E36" s="126"/>
      <c r="F36" s="126"/>
      <c r="G36" s="126"/>
      <c r="H36" s="126"/>
      <c r="I36" s="126"/>
      <c r="J36" s="126"/>
      <c r="K36" s="126"/>
      <c r="L36" s="126"/>
      <c r="M36" s="603" t="s">
        <v>71</v>
      </c>
      <c r="N36" s="604" t="s">
        <v>164</v>
      </c>
      <c r="O36" s="687">
        <v>83.15</v>
      </c>
      <c r="P36" s="688">
        <v>28.930266265</v>
      </c>
      <c r="Q36" s="688">
        <v>0.46764601906452263</v>
      </c>
      <c r="R36" s="604"/>
      <c r="T36" s="449" t="s">
        <v>327</v>
      </c>
      <c r="U36" s="605" t="s">
        <v>71</v>
      </c>
      <c r="V36" s="605">
        <v>0.42752966255895425</v>
      </c>
      <c r="W36" s="688">
        <v>0.48032128346836728</v>
      </c>
      <c r="X36" s="606"/>
      <c r="Y36" s="607"/>
      <c r="Z36" s="608"/>
    </row>
    <row r="37" spans="1:26">
      <c r="A37" s="124"/>
      <c r="B37" s="126"/>
      <c r="C37" s="126"/>
      <c r="D37" s="126"/>
      <c r="E37" s="126"/>
      <c r="F37" s="126"/>
      <c r="G37" s="126"/>
      <c r="H37" s="126"/>
      <c r="I37" s="126"/>
      <c r="J37" s="126"/>
      <c r="K37" s="126"/>
      <c r="L37" s="126"/>
      <c r="M37" s="449" t="s">
        <v>350</v>
      </c>
      <c r="N37" s="597" t="s">
        <v>164</v>
      </c>
      <c r="O37" s="689">
        <v>18.37</v>
      </c>
      <c r="P37" s="689">
        <v>7.1759983099999998</v>
      </c>
      <c r="Q37" s="688">
        <v>0.52504948387682115</v>
      </c>
      <c r="R37" s="604"/>
      <c r="U37" s="605" t="s">
        <v>350</v>
      </c>
      <c r="V37" s="605">
        <v>0.35561110902067034</v>
      </c>
      <c r="W37" s="688">
        <v>0.48015830256353326</v>
      </c>
      <c r="X37" s="606"/>
      <c r="Y37" s="607"/>
      <c r="Z37" s="608"/>
    </row>
    <row r="38" spans="1:26" ht="11.25" customHeight="1">
      <c r="A38" s="124"/>
      <c r="B38" s="126"/>
      <c r="C38" s="126"/>
      <c r="D38" s="126"/>
      <c r="E38" s="126"/>
      <c r="F38" s="126"/>
      <c r="G38" s="126"/>
      <c r="H38" s="126"/>
      <c r="I38" s="126"/>
      <c r="J38" s="126"/>
      <c r="K38" s="126"/>
      <c r="L38" s="126"/>
      <c r="M38" s="603" t="s">
        <v>349</v>
      </c>
      <c r="N38" s="604" t="s">
        <v>164</v>
      </c>
      <c r="O38" s="687">
        <v>18.37</v>
      </c>
      <c r="P38" s="688">
        <v>5.6270887724999996</v>
      </c>
      <c r="Q38" s="688">
        <v>0.41171972568792037</v>
      </c>
      <c r="R38" s="604"/>
      <c r="U38" s="605" t="s">
        <v>349</v>
      </c>
      <c r="V38" s="605">
        <v>0.28408084726092669</v>
      </c>
      <c r="W38" s="688">
        <v>0.38239923875335452</v>
      </c>
      <c r="X38" s="606"/>
      <c r="Y38" s="607"/>
      <c r="Z38" s="608"/>
    </row>
    <row r="39" spans="1:26" ht="11.25" customHeight="1">
      <c r="A39" s="124"/>
      <c r="B39" s="126"/>
      <c r="C39" s="126"/>
      <c r="D39" s="126"/>
      <c r="E39" s="126"/>
      <c r="F39" s="126"/>
      <c r="G39" s="126"/>
      <c r="H39" s="126"/>
      <c r="I39" s="126"/>
      <c r="J39" s="126"/>
      <c r="K39" s="126"/>
      <c r="L39" s="126"/>
      <c r="M39" s="449" t="s">
        <v>72</v>
      </c>
      <c r="N39" s="597" t="s">
        <v>164</v>
      </c>
      <c r="O39" s="687">
        <v>32</v>
      </c>
      <c r="P39" s="688">
        <v>14.185688845</v>
      </c>
      <c r="Q39" s="688">
        <v>0.59583706506216405</v>
      </c>
      <c r="R39" s="604"/>
      <c r="U39" s="605" t="s">
        <v>72</v>
      </c>
      <c r="V39" s="605">
        <v>0.56802847966680459</v>
      </c>
      <c r="W39" s="688">
        <v>0.50795448563425172</v>
      </c>
      <c r="X39" s="606"/>
      <c r="Y39" s="607"/>
      <c r="Z39" s="608"/>
    </row>
    <row r="40" spans="1:26">
      <c r="A40" s="124"/>
      <c r="B40" s="126"/>
      <c r="C40" s="126"/>
      <c r="D40" s="126"/>
      <c r="E40" s="126"/>
      <c r="F40" s="126"/>
      <c r="G40" s="126"/>
      <c r="H40" s="126"/>
      <c r="I40" s="126"/>
      <c r="J40" s="126"/>
      <c r="K40" s="126"/>
      <c r="L40" s="126"/>
      <c r="M40" s="449" t="s">
        <v>377</v>
      </c>
      <c r="N40" s="604" t="s">
        <v>164</v>
      </c>
      <c r="O40" s="687">
        <v>260</v>
      </c>
      <c r="P40" s="688">
        <v>79.671679417500002</v>
      </c>
      <c r="Q40" s="688">
        <v>0.41186765621122828</v>
      </c>
      <c r="R40" s="604"/>
      <c r="U40" s="605" t="s">
        <v>377</v>
      </c>
      <c r="V40" s="605">
        <v>0.42301841084543218</v>
      </c>
      <c r="W40" s="688">
        <v>0.36262803404130817</v>
      </c>
      <c r="X40" s="606"/>
      <c r="Y40" s="607"/>
      <c r="Z40" s="608"/>
    </row>
    <row r="41" spans="1:26">
      <c r="A41" s="124"/>
      <c r="B41" s="126"/>
      <c r="C41" s="126"/>
      <c r="D41" s="126"/>
      <c r="E41" s="126"/>
      <c r="F41" s="126"/>
      <c r="G41" s="126"/>
      <c r="H41" s="126"/>
      <c r="I41" s="126"/>
      <c r="J41" s="126"/>
      <c r="K41" s="126"/>
      <c r="L41" s="126"/>
      <c r="M41" s="603" t="s">
        <v>385</v>
      </c>
      <c r="N41" s="604" t="s">
        <v>164</v>
      </c>
      <c r="O41" s="687">
        <v>36.4</v>
      </c>
      <c r="P41" s="688">
        <v>7.7506251424999997</v>
      </c>
      <c r="Q41" s="688">
        <v>0.28619524483413089</v>
      </c>
      <c r="R41" s="604"/>
      <c r="U41" s="605" t="s">
        <v>385</v>
      </c>
      <c r="V41" s="605">
        <v>0.25378835453660581</v>
      </c>
      <c r="W41" s="688">
        <v>0.30758888592048028</v>
      </c>
      <c r="X41" s="606"/>
      <c r="Y41" s="607"/>
      <c r="Z41" s="608"/>
    </row>
    <row r="42" spans="1:26">
      <c r="A42" s="124"/>
      <c r="B42" s="126"/>
      <c r="C42" s="126"/>
      <c r="D42" s="126"/>
      <c r="E42" s="126"/>
      <c r="F42" s="126"/>
      <c r="G42" s="126"/>
      <c r="H42" s="126"/>
      <c r="I42" s="126"/>
      <c r="J42" s="126"/>
      <c r="K42" s="126"/>
      <c r="L42" s="126"/>
      <c r="M42" s="603" t="s">
        <v>384</v>
      </c>
      <c r="N42" s="604" t="s">
        <v>164</v>
      </c>
      <c r="O42" s="687">
        <v>135.69999999999999</v>
      </c>
      <c r="P42" s="688">
        <v>54.581911249999997</v>
      </c>
      <c r="Q42" s="688">
        <v>0.54062478952227</v>
      </c>
      <c r="R42" s="604"/>
      <c r="U42" s="605" t="s">
        <v>384</v>
      </c>
      <c r="V42" s="605">
        <v>0.53618459990385881</v>
      </c>
      <c r="W42" s="688">
        <v>0.46700324533526616</v>
      </c>
      <c r="X42" s="606"/>
      <c r="Y42" s="607"/>
      <c r="Z42" s="608"/>
    </row>
    <row r="43" spans="1:26">
      <c r="A43" s="124"/>
      <c r="B43" s="126"/>
      <c r="C43" s="126"/>
      <c r="D43" s="126"/>
      <c r="E43" s="126"/>
      <c r="F43" s="126"/>
      <c r="G43" s="126"/>
      <c r="H43" s="126"/>
      <c r="I43" s="126"/>
      <c r="J43" s="126"/>
      <c r="K43" s="126"/>
      <c r="L43" s="126"/>
      <c r="M43" s="603" t="s">
        <v>73</v>
      </c>
      <c r="N43" s="604" t="s">
        <v>164</v>
      </c>
      <c r="O43" s="687">
        <v>30.86</v>
      </c>
      <c r="P43" s="688">
        <v>11.69824511</v>
      </c>
      <c r="Q43" s="688">
        <v>0.50950899962717511</v>
      </c>
      <c r="R43" s="604"/>
      <c r="U43" s="605" t="s">
        <v>73</v>
      </c>
      <c r="V43" s="605">
        <v>0.36038124987481746</v>
      </c>
      <c r="W43" s="688">
        <v>0.36556846974362855</v>
      </c>
      <c r="X43" s="606"/>
      <c r="Y43" s="607"/>
      <c r="Z43" s="608"/>
    </row>
    <row r="44" spans="1:26" ht="36" customHeight="1">
      <c r="A44" s="835"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mayo 2025.
Nota: Son consideradas las centrales adjudicadas por subasta RER y cuenten con operación comercial</v>
      </c>
      <c r="B44" s="835"/>
      <c r="C44" s="835"/>
      <c r="D44" s="835"/>
      <c r="E44" s="835"/>
      <c r="F44" s="835"/>
      <c r="G44" s="835"/>
      <c r="H44" s="835"/>
      <c r="I44" s="835"/>
      <c r="J44" s="835"/>
      <c r="K44" s="835"/>
      <c r="L44" s="835"/>
      <c r="M44" s="449" t="s">
        <v>70</v>
      </c>
      <c r="N44" s="604" t="s">
        <v>164</v>
      </c>
      <c r="O44" s="687">
        <v>97.15</v>
      </c>
      <c r="P44" s="688">
        <v>39.594794880000002</v>
      </c>
      <c r="Q44" s="688">
        <v>0.5478004150548702</v>
      </c>
      <c r="R44" s="604"/>
      <c r="U44" s="605" t="s">
        <v>70</v>
      </c>
      <c r="V44" s="605">
        <v>0.52228950834858601</v>
      </c>
      <c r="W44" s="688">
        <v>0.53674953332814157</v>
      </c>
      <c r="X44" s="606"/>
      <c r="Y44" s="607"/>
      <c r="Z44" s="608"/>
    </row>
    <row r="45" spans="1:26" ht="18" customHeight="1">
      <c r="A45" s="124"/>
      <c r="B45" s="126"/>
      <c r="C45" s="126"/>
      <c r="D45" s="126"/>
      <c r="E45" s="126"/>
      <c r="F45" s="126"/>
      <c r="G45" s="126"/>
      <c r="H45" s="126"/>
      <c r="I45" s="126"/>
      <c r="J45" s="126"/>
      <c r="K45" s="126"/>
      <c r="L45" s="126"/>
      <c r="M45" s="449" t="s">
        <v>549</v>
      </c>
      <c r="N45" s="604" t="s">
        <v>164</v>
      </c>
      <c r="O45" s="687">
        <v>177</v>
      </c>
      <c r="P45" s="688">
        <v>38.481503250000003</v>
      </c>
      <c r="Q45" s="688">
        <v>0.29221723505558594</v>
      </c>
      <c r="R45" s="604"/>
      <c r="U45" s="605" t="s">
        <v>549</v>
      </c>
      <c r="V45" s="605">
        <v>0.30234959224676045</v>
      </c>
      <c r="W45" s="688">
        <v>0</v>
      </c>
      <c r="X45" s="606"/>
      <c r="Y45" s="607"/>
      <c r="Z45" s="608"/>
    </row>
    <row r="46" spans="1:26" ht="12">
      <c r="A46" s="124"/>
      <c r="B46" s="126"/>
      <c r="C46" s="839" t="str">
        <f>"Factor de planta de las centrales RER  Acumulado al "&amp;'1. Resumen'!Q7&amp;" de "&amp;'1. Resumen'!Q4</f>
        <v>Factor de planta de las centrales RER  Acumulado al 31 de mayo</v>
      </c>
      <c r="D46" s="839"/>
      <c r="E46" s="839"/>
      <c r="F46" s="839"/>
      <c r="G46" s="839"/>
      <c r="H46" s="839"/>
      <c r="I46" s="839"/>
      <c r="J46" s="839"/>
      <c r="K46" s="126"/>
      <c r="L46" s="126"/>
      <c r="M46" s="603" t="s">
        <v>316</v>
      </c>
      <c r="N46" s="604" t="s">
        <v>164</v>
      </c>
      <c r="O46" s="687">
        <v>132.30000000000001</v>
      </c>
      <c r="P46" s="688">
        <v>44.284672749999999</v>
      </c>
      <c r="Q46" s="688">
        <v>0.44990483454433144</v>
      </c>
      <c r="R46" s="604"/>
      <c r="U46" s="605" t="s">
        <v>316</v>
      </c>
      <c r="V46" s="605">
        <v>0.42061378254944365</v>
      </c>
      <c r="W46" s="688">
        <v>0.46100467096560849</v>
      </c>
      <c r="X46" s="606"/>
      <c r="Y46" s="607"/>
      <c r="Z46" s="608"/>
    </row>
    <row r="47" spans="1:26" ht="9.75" customHeight="1">
      <c r="A47" s="124"/>
      <c r="B47" s="126"/>
      <c r="C47" s="126"/>
      <c r="D47" s="126"/>
      <c r="E47" s="126"/>
      <c r="F47" s="126"/>
      <c r="G47" s="126"/>
      <c r="H47" s="126"/>
      <c r="I47" s="126"/>
      <c r="J47" s="126"/>
      <c r="K47" s="126"/>
      <c r="L47" s="126"/>
      <c r="M47" s="603" t="s">
        <v>386</v>
      </c>
      <c r="N47" s="604" t="s">
        <v>74</v>
      </c>
      <c r="O47" s="687">
        <v>0.55000000000000004</v>
      </c>
      <c r="P47" s="688">
        <v>6.8851005000000007E-2</v>
      </c>
      <c r="Q47" s="688">
        <v>0.16825758797653959</v>
      </c>
      <c r="R47" s="604"/>
      <c r="T47" s="449" t="s">
        <v>322</v>
      </c>
      <c r="U47" s="605" t="s">
        <v>386</v>
      </c>
      <c r="V47" s="605">
        <v>0.15687351244230385</v>
      </c>
      <c r="W47" s="688">
        <v>7.0815767045454545E-2</v>
      </c>
      <c r="X47" s="606"/>
      <c r="Y47" s="607"/>
      <c r="Z47" s="608"/>
    </row>
    <row r="48" spans="1:26" ht="9.75" customHeight="1">
      <c r="A48" s="124"/>
      <c r="B48" s="126"/>
      <c r="C48" s="126"/>
      <c r="D48" s="126"/>
      <c r="E48" s="126"/>
      <c r="F48" s="126"/>
      <c r="G48" s="126"/>
      <c r="H48" s="126"/>
      <c r="I48" s="126"/>
      <c r="J48" s="126"/>
      <c r="K48" s="126"/>
      <c r="L48" s="126"/>
      <c r="M48" s="603" t="s">
        <v>522</v>
      </c>
      <c r="N48" s="604" t="s">
        <v>74</v>
      </c>
      <c r="O48" s="687">
        <v>114.93</v>
      </c>
      <c r="P48" s="688">
        <v>24.219148000000001</v>
      </c>
      <c r="Q48" s="688">
        <v>0.283238652045331</v>
      </c>
      <c r="R48" s="604"/>
      <c r="U48" s="605" t="s">
        <v>522</v>
      </c>
      <c r="V48" s="605">
        <v>0.31050801409207912</v>
      </c>
      <c r="W48" s="688">
        <v>0.31753863144766992</v>
      </c>
      <c r="X48" s="606"/>
      <c r="Y48" s="607"/>
      <c r="Z48" s="608"/>
    </row>
    <row r="49" spans="1:26" ht="9.75" customHeight="1">
      <c r="A49" s="124"/>
      <c r="B49" s="126"/>
      <c r="C49" s="126"/>
      <c r="D49" s="126"/>
      <c r="E49" s="126"/>
      <c r="F49" s="126"/>
      <c r="G49" s="126"/>
      <c r="H49" s="126"/>
      <c r="I49" s="126"/>
      <c r="J49" s="126"/>
      <c r="K49" s="126"/>
      <c r="L49" s="126"/>
      <c r="M49" s="603" t="s">
        <v>318</v>
      </c>
      <c r="N49" s="604" t="s">
        <v>74</v>
      </c>
      <c r="O49" s="687">
        <v>40.5</v>
      </c>
      <c r="P49" s="688">
        <v>7.9584433074999996</v>
      </c>
      <c r="Q49" s="688">
        <v>0.26411931858157445</v>
      </c>
      <c r="R49" s="604"/>
      <c r="U49" s="610" t="s">
        <v>318</v>
      </c>
      <c r="V49" s="605">
        <v>0.27587047003174997</v>
      </c>
      <c r="W49" s="688">
        <v>0.28937119162199482</v>
      </c>
      <c r="Y49" s="607"/>
      <c r="Z49" s="608"/>
    </row>
    <row r="50" spans="1:26" ht="9.75" customHeight="1">
      <c r="A50" s="124"/>
      <c r="B50" s="126"/>
      <c r="C50" s="126"/>
      <c r="D50" s="126"/>
      <c r="E50" s="126"/>
      <c r="F50" s="126"/>
      <c r="G50" s="126"/>
      <c r="H50" s="126"/>
      <c r="I50" s="126"/>
      <c r="J50" s="126"/>
      <c r="K50" s="126"/>
      <c r="L50" s="126"/>
      <c r="M50" s="603" t="s">
        <v>176</v>
      </c>
      <c r="N50" s="604" t="s">
        <v>74</v>
      </c>
      <c r="O50" s="687">
        <v>20</v>
      </c>
      <c r="P50" s="688">
        <v>3.601188665</v>
      </c>
      <c r="Q50" s="688">
        <v>0.24201536727150538</v>
      </c>
      <c r="R50" s="604"/>
      <c r="U50" s="605" t="s">
        <v>176</v>
      </c>
      <c r="V50" s="605">
        <v>0.25105834502621416</v>
      </c>
      <c r="W50" s="688">
        <v>0.2572950201480263</v>
      </c>
      <c r="Y50" s="607"/>
      <c r="Z50" s="608"/>
    </row>
    <row r="51" spans="1:26" ht="9.75" customHeight="1">
      <c r="A51" s="124"/>
      <c r="B51" s="126"/>
      <c r="C51" s="126"/>
      <c r="D51" s="126"/>
      <c r="E51" s="126"/>
      <c r="F51" s="126"/>
      <c r="G51" s="126"/>
      <c r="H51" s="126"/>
      <c r="I51" s="126"/>
      <c r="J51" s="126"/>
      <c r="K51" s="126"/>
      <c r="L51" s="126"/>
      <c r="M51" s="603" t="s">
        <v>551</v>
      </c>
      <c r="N51" s="604" t="s">
        <v>74</v>
      </c>
      <c r="O51" s="687">
        <v>80</v>
      </c>
      <c r="P51" s="688">
        <v>18.561772354999999</v>
      </c>
      <c r="Q51" s="688">
        <v>0.31185773445900539</v>
      </c>
      <c r="R51" s="604"/>
      <c r="U51" s="605" t="s">
        <v>551</v>
      </c>
      <c r="V51" s="605">
        <v>0.32277341990894043</v>
      </c>
      <c r="W51" s="688">
        <v>0</v>
      </c>
      <c r="Y51" s="607"/>
      <c r="Z51" s="608"/>
    </row>
    <row r="52" spans="1:26" ht="9.75" customHeight="1">
      <c r="A52" s="124"/>
      <c r="B52" s="126"/>
      <c r="C52" s="126"/>
      <c r="D52" s="126"/>
      <c r="E52" s="126"/>
      <c r="F52" s="126"/>
      <c r="G52" s="126"/>
      <c r="H52" s="126"/>
      <c r="I52" s="126"/>
      <c r="J52" s="126"/>
      <c r="K52" s="126"/>
      <c r="L52" s="126"/>
      <c r="M52" s="603" t="s">
        <v>75</v>
      </c>
      <c r="N52" s="604" t="s">
        <v>74</v>
      </c>
      <c r="O52" s="687">
        <v>16</v>
      </c>
      <c r="P52" s="688">
        <v>3.5826164999999999</v>
      </c>
      <c r="Q52" s="688">
        <v>0.30095904737903229</v>
      </c>
      <c r="R52" s="604"/>
      <c r="U52" s="605" t="s">
        <v>75</v>
      </c>
      <c r="V52" s="605">
        <v>0.33036638124310158</v>
      </c>
      <c r="W52" s="688">
        <v>0.3147903346011513</v>
      </c>
    </row>
    <row r="53" spans="1:26" ht="20.25" customHeight="1">
      <c r="A53" s="124"/>
      <c r="B53" s="126"/>
      <c r="C53" s="126"/>
      <c r="D53" s="126"/>
      <c r="E53" s="126"/>
      <c r="F53" s="126"/>
      <c r="G53" s="126"/>
      <c r="H53" s="126"/>
      <c r="I53" s="126"/>
      <c r="J53" s="126"/>
      <c r="K53" s="126"/>
      <c r="L53" s="126"/>
      <c r="M53" s="449" t="s">
        <v>175</v>
      </c>
      <c r="N53" s="597" t="s">
        <v>74</v>
      </c>
      <c r="O53" s="687">
        <v>20</v>
      </c>
      <c r="P53" s="688">
        <v>4.2978164999999997</v>
      </c>
      <c r="Q53" s="688">
        <v>0.28883175403225808</v>
      </c>
      <c r="R53" s="604"/>
      <c r="U53" s="605" t="s">
        <v>175</v>
      </c>
      <c r="V53" s="605">
        <v>0.32135152110927151</v>
      </c>
      <c r="W53" s="688">
        <v>0.3048197985197369</v>
      </c>
    </row>
    <row r="54" spans="1:26" ht="9.75" customHeight="1">
      <c r="A54" s="124"/>
      <c r="B54" s="126"/>
      <c r="C54" s="126"/>
      <c r="D54" s="126"/>
      <c r="E54" s="126"/>
      <c r="F54" s="126"/>
      <c r="G54" s="126"/>
      <c r="H54" s="126"/>
      <c r="I54" s="126"/>
      <c r="J54" s="126"/>
      <c r="K54" s="126"/>
      <c r="L54" s="126"/>
      <c r="M54" s="449" t="s">
        <v>76</v>
      </c>
      <c r="N54" s="597" t="s">
        <v>74</v>
      </c>
      <c r="O54" s="687">
        <v>20</v>
      </c>
      <c r="P54" s="688">
        <v>3.4965368575000002</v>
      </c>
      <c r="Q54" s="688">
        <v>0.23498231569220432</v>
      </c>
      <c r="R54" s="604"/>
      <c r="U54" s="605" t="s">
        <v>76</v>
      </c>
      <c r="V54" s="605">
        <v>0.23919050434602648</v>
      </c>
      <c r="W54" s="688">
        <v>0.25265584155701759</v>
      </c>
    </row>
    <row r="55" spans="1:26" ht="9.75" customHeight="1">
      <c r="B55" s="126"/>
      <c r="C55" s="126"/>
      <c r="D55" s="126"/>
      <c r="E55" s="126"/>
      <c r="F55" s="126"/>
      <c r="G55" s="126"/>
      <c r="H55" s="126"/>
      <c r="I55" s="126"/>
      <c r="J55" s="126"/>
      <c r="K55" s="126"/>
      <c r="L55" s="126"/>
      <c r="M55" s="603" t="s">
        <v>317</v>
      </c>
      <c r="N55" s="604" t="s">
        <v>74</v>
      </c>
      <c r="O55" s="687">
        <v>144.47999999999999</v>
      </c>
      <c r="P55" s="688">
        <v>32.674302750000003</v>
      </c>
      <c r="Q55" s="688">
        <v>0.30396645617877688</v>
      </c>
      <c r="R55" s="604"/>
      <c r="U55" s="605" t="s">
        <v>317</v>
      </c>
      <c r="V55" s="605">
        <v>0.32459053260234161</v>
      </c>
      <c r="W55" s="688">
        <v>0.34357235948474019</v>
      </c>
    </row>
    <row r="56" spans="1:26" ht="9.75" customHeight="1">
      <c r="B56" s="126"/>
      <c r="C56" s="126"/>
      <c r="D56" s="126"/>
      <c r="E56" s="126"/>
      <c r="F56" s="126"/>
      <c r="G56" s="126"/>
      <c r="H56" s="126"/>
      <c r="I56" s="126"/>
      <c r="J56" s="126"/>
      <c r="K56" s="126"/>
      <c r="L56" s="126"/>
      <c r="M56" s="603" t="s">
        <v>174</v>
      </c>
      <c r="N56" s="604" t="s">
        <v>74</v>
      </c>
      <c r="O56" s="687">
        <v>20</v>
      </c>
      <c r="P56" s="688">
        <v>3.7269967500000001</v>
      </c>
      <c r="Q56" s="688">
        <v>0.25047021169354838</v>
      </c>
      <c r="R56" s="604"/>
      <c r="U56" s="605" t="s">
        <v>174</v>
      </c>
      <c r="V56" s="605">
        <v>0.31746380380794703</v>
      </c>
      <c r="W56" s="688">
        <v>0.29368207922149125</v>
      </c>
    </row>
    <row r="57" spans="1:26" ht="9.75" customHeight="1">
      <c r="B57" s="126"/>
      <c r="C57" s="126"/>
      <c r="D57" s="126"/>
      <c r="E57" s="126"/>
      <c r="F57" s="126"/>
      <c r="G57" s="126"/>
      <c r="H57" s="126"/>
      <c r="I57" s="126"/>
      <c r="J57" s="126"/>
      <c r="K57" s="126"/>
      <c r="L57" s="126"/>
      <c r="M57" s="603" t="s">
        <v>368</v>
      </c>
      <c r="N57" s="604" t="s">
        <v>74</v>
      </c>
      <c r="O57" s="687">
        <v>1.2949999999999999</v>
      </c>
      <c r="P57" s="688">
        <v>0.22616325000000001</v>
      </c>
      <c r="Q57" s="688">
        <v>0.23473580146967246</v>
      </c>
      <c r="R57" s="604"/>
      <c r="U57" s="605" t="s">
        <v>368</v>
      </c>
      <c r="V57" s="605">
        <v>0.20490153854185311</v>
      </c>
      <c r="W57" s="688">
        <v>0.21638036074138051</v>
      </c>
    </row>
    <row r="58" spans="1:26" ht="9.75" customHeight="1">
      <c r="B58" s="126"/>
      <c r="C58" s="126"/>
      <c r="D58" s="126"/>
      <c r="E58" s="126"/>
      <c r="F58" s="126"/>
      <c r="G58" s="126"/>
      <c r="H58" s="126"/>
      <c r="I58" s="126"/>
      <c r="J58" s="126"/>
      <c r="K58" s="126"/>
      <c r="L58" s="126"/>
      <c r="M58" s="603" t="s">
        <v>339</v>
      </c>
      <c r="N58" s="604" t="s">
        <v>163</v>
      </c>
      <c r="O58" s="687">
        <v>11.59258</v>
      </c>
      <c r="P58" s="688">
        <v>6.9480624999999998</v>
      </c>
      <c r="Q58" s="688">
        <v>0.80558371672187723</v>
      </c>
      <c r="R58" s="604"/>
      <c r="T58" s="449" t="s">
        <v>323</v>
      </c>
      <c r="U58" s="605" t="s">
        <v>339</v>
      </c>
      <c r="V58" s="605">
        <v>0.42566267045752498</v>
      </c>
      <c r="W58" s="688">
        <v>0.67568647900416667</v>
      </c>
    </row>
    <row r="59" spans="1:26" ht="30.75" customHeight="1">
      <c r="M59" s="603" t="s">
        <v>78</v>
      </c>
      <c r="N59" s="604" t="s">
        <v>163</v>
      </c>
      <c r="O59" s="687">
        <v>4.4530099999999999</v>
      </c>
      <c r="P59" s="688">
        <v>2.216550475</v>
      </c>
      <c r="Q59" s="688">
        <v>0.66903836043678377</v>
      </c>
      <c r="R59" s="604"/>
      <c r="U59" s="605" t="s">
        <v>78</v>
      </c>
      <c r="V59" s="605">
        <v>0.84960226669707095</v>
      </c>
      <c r="W59" s="688">
        <v>0.88623307740847235</v>
      </c>
    </row>
    <row r="60" spans="1:26" ht="9.75" customHeight="1">
      <c r="M60" s="603" t="s">
        <v>79</v>
      </c>
      <c r="N60" s="604" t="s">
        <v>163</v>
      </c>
      <c r="O60" s="730">
        <v>2.9172799999999999</v>
      </c>
      <c r="P60" s="731">
        <v>1.0143197500000001</v>
      </c>
      <c r="Q60" s="688">
        <v>0.46733018335978305</v>
      </c>
      <c r="R60" s="604"/>
      <c r="U60" s="449" t="s">
        <v>79</v>
      </c>
      <c r="V60" s="605">
        <v>0.5712324418379261</v>
      </c>
      <c r="W60" s="688">
        <v>0.420367176331296</v>
      </c>
    </row>
    <row r="61" spans="1:26" ht="9.75" customHeight="1">
      <c r="M61" s="603" t="s">
        <v>80</v>
      </c>
      <c r="N61" s="604" t="s">
        <v>163</v>
      </c>
      <c r="O61" s="732">
        <v>20.690760000000001</v>
      </c>
      <c r="P61" s="733">
        <v>0</v>
      </c>
      <c r="Q61" s="688">
        <v>0</v>
      </c>
      <c r="R61" s="604"/>
      <c r="U61" s="449" t="s">
        <v>80</v>
      </c>
      <c r="V61" s="605">
        <v>0.30627474529192006</v>
      </c>
      <c r="W61" s="689">
        <v>2.8687550933829842E-2</v>
      </c>
    </row>
    <row r="62" spans="1:26" ht="9.75" customHeight="1">
      <c r="M62" s="449" t="s">
        <v>77</v>
      </c>
      <c r="N62" s="597" t="s">
        <v>163</v>
      </c>
      <c r="O62" s="734">
        <v>14.733040000000001</v>
      </c>
      <c r="P62" s="734">
        <v>11.8481820875</v>
      </c>
      <c r="Q62" s="688">
        <v>1</v>
      </c>
      <c r="R62" s="604"/>
      <c r="U62" s="449" t="s">
        <v>77</v>
      </c>
      <c r="V62" s="605">
        <v>0.78403081059551893</v>
      </c>
      <c r="W62" s="689">
        <v>0.73691661746535675</v>
      </c>
    </row>
    <row r="63" spans="1:26" ht="9.75" customHeight="1">
      <c r="M63" s="449" t="s">
        <v>341</v>
      </c>
      <c r="N63" s="597" t="s">
        <v>163</v>
      </c>
      <c r="O63" s="734">
        <v>8.3245199999999997</v>
      </c>
      <c r="P63" s="734">
        <v>0</v>
      </c>
      <c r="Q63" s="688">
        <v>0</v>
      </c>
      <c r="R63" s="604"/>
      <c r="U63" s="449" t="s">
        <v>341</v>
      </c>
      <c r="V63" s="689">
        <v>0.44239379562858788</v>
      </c>
      <c r="W63" s="689">
        <v>0.60964854052363582</v>
      </c>
    </row>
    <row r="64" spans="1:26" ht="9.75" customHeight="1">
      <c r="M64" s="449" t="s">
        <v>552</v>
      </c>
      <c r="N64" s="597" t="s">
        <v>163</v>
      </c>
      <c r="O64" s="734">
        <v>1.9285699999999999</v>
      </c>
      <c r="P64" s="734">
        <v>0.98287337500000005</v>
      </c>
      <c r="Q64" s="688">
        <v>0.68499788145999985</v>
      </c>
      <c r="R64" s="604"/>
      <c r="U64" s="449" t="s">
        <v>552</v>
      </c>
      <c r="V64" s="689">
        <v>1</v>
      </c>
      <c r="W64" s="689">
        <v>0.75410938276499118</v>
      </c>
    </row>
    <row r="65" spans="1:23" ht="9.75" customHeight="1">
      <c r="A65" s="835"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mayo.
Nota: Son consideradas las centrales adjudicadas por subasta RER y cuenten con operación comercial</v>
      </c>
      <c r="B65" s="835"/>
      <c r="C65" s="835"/>
      <c r="D65" s="835"/>
      <c r="E65" s="835"/>
      <c r="F65" s="835"/>
      <c r="G65" s="835"/>
      <c r="H65" s="835"/>
      <c r="I65" s="835"/>
      <c r="J65" s="835"/>
      <c r="K65" s="835"/>
      <c r="L65" s="835"/>
      <c r="M65" s="449" t="s">
        <v>553</v>
      </c>
      <c r="N65" s="597" t="s">
        <v>163</v>
      </c>
      <c r="O65" s="449">
        <v>1.9571499999999999</v>
      </c>
      <c r="P65" s="449">
        <v>0.46176917499999998</v>
      </c>
      <c r="Q65" s="688">
        <v>0.3171231092555859</v>
      </c>
      <c r="R65" s="604"/>
      <c r="U65" s="449" t="s">
        <v>553</v>
      </c>
      <c r="V65" s="689">
        <v>0.86949950495660933</v>
      </c>
      <c r="W65" s="689">
        <v>0.84863282869469625</v>
      </c>
    </row>
    <row r="66" spans="1:23" ht="9.75" customHeight="1">
      <c r="A66" s="835"/>
      <c r="B66" s="835"/>
      <c r="C66" s="835"/>
      <c r="D66" s="835"/>
      <c r="E66" s="835"/>
      <c r="F66" s="835"/>
      <c r="G66" s="835"/>
      <c r="H66" s="835"/>
      <c r="I66" s="835"/>
      <c r="J66" s="835"/>
      <c r="K66" s="835"/>
      <c r="L66" s="835"/>
    </row>
    <row r="67" spans="1:23" ht="9.75" customHeight="1"/>
    <row r="69" spans="1:23" ht="26.25" customHeight="1"/>
  </sheetData>
  <mergeCells count="4">
    <mergeCell ref="A44:L44"/>
    <mergeCell ref="A2:L2"/>
    <mergeCell ref="C46:J46"/>
    <mergeCell ref="A65:L66"/>
  </mergeCells>
  <conditionalFormatting sqref="Q6:Q65">
    <cfRule type="cellIs" dxfId="2" priority="1" operator="greaterThan">
      <formula>1</formula>
    </cfRule>
  </conditionalFormatting>
  <conditionalFormatting sqref="V6:W65">
    <cfRule type="cellIs" dxfId="1" priority="2" operator="greaterThan">
      <formula>1</formula>
    </cfRule>
  </conditionalFormatting>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T81"/>
  <sheetViews>
    <sheetView showGridLines="0" view="pageBreakPreview" topLeftCell="A4" zoomScale="115" zoomScaleNormal="100" zoomScaleSheetLayoutView="115" zoomScalePageLayoutView="120" workbookViewId="0">
      <selection activeCell="D22" sqref="D22"/>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29" customWidth="1"/>
    <col min="13" max="13" width="19.140625" style="237" customWidth="1"/>
    <col min="14" max="14" width="10.42578125" style="237" bestFit="1" customWidth="1"/>
    <col min="15" max="15" width="9.42578125" style="237" bestFit="1" customWidth="1"/>
    <col min="16" max="17" width="9.28515625" style="346"/>
    <col min="18" max="18" width="9.28515625" style="529"/>
  </cols>
  <sheetData>
    <row r="1" spans="1:16" ht="11.25" customHeight="1">
      <c r="A1" s="842" t="s">
        <v>178</v>
      </c>
      <c r="B1" s="842"/>
      <c r="C1" s="842"/>
      <c r="D1" s="842"/>
      <c r="E1" s="842"/>
      <c r="F1" s="842"/>
      <c r="G1" s="842"/>
      <c r="H1" s="842"/>
      <c r="I1" s="842"/>
      <c r="J1" s="842"/>
      <c r="K1" s="13"/>
    </row>
    <row r="2" spans="1:16" ht="6" customHeight="1">
      <c r="A2" s="13"/>
      <c r="B2" s="13"/>
      <c r="C2" s="13"/>
      <c r="D2" s="13"/>
      <c r="E2" s="13"/>
      <c r="F2" s="13"/>
      <c r="G2" s="13"/>
      <c r="H2" s="13"/>
      <c r="I2" s="13"/>
      <c r="J2" s="13"/>
      <c r="K2" s="13"/>
      <c r="L2" s="530"/>
      <c r="M2" s="550"/>
    </row>
    <row r="3" spans="1:16" ht="11.25" customHeight="1">
      <c r="A3" s="843" t="s">
        <v>186</v>
      </c>
      <c r="B3" s="844" t="str">
        <f>+'1. Resumen'!Q4</f>
        <v>mayo</v>
      </c>
      <c r="C3" s="845"/>
      <c r="D3" s="845"/>
      <c r="E3" s="126"/>
      <c r="F3" s="126"/>
      <c r="G3" s="846" t="s">
        <v>580</v>
      </c>
      <c r="H3" s="846"/>
      <c r="I3" s="846"/>
      <c r="J3" s="846"/>
      <c r="K3" s="126"/>
      <c r="M3" s="551"/>
      <c r="N3" s="552">
        <v>2025</v>
      </c>
      <c r="O3" s="552">
        <v>2024</v>
      </c>
    </row>
    <row r="4" spans="1:16" ht="11.25" customHeight="1">
      <c r="A4" s="843"/>
      <c r="B4" s="311">
        <f>+'1. Resumen'!Q5</f>
        <v>2025</v>
      </c>
      <c r="C4" s="312">
        <f>+B4-1</f>
        <v>2024</v>
      </c>
      <c r="D4" s="312" t="s">
        <v>32</v>
      </c>
      <c r="E4" s="126"/>
      <c r="F4" s="126"/>
      <c r="G4" s="126"/>
      <c r="H4" s="126"/>
      <c r="I4" s="126"/>
      <c r="J4" s="126"/>
      <c r="K4" s="126"/>
      <c r="L4" s="557"/>
      <c r="M4" s="553" t="s">
        <v>82</v>
      </c>
      <c r="N4" s="554"/>
      <c r="O4" s="554">
        <v>698.64363400000002</v>
      </c>
    </row>
    <row r="5" spans="1:16" ht="9" customHeight="1">
      <c r="A5" s="482" t="s">
        <v>777</v>
      </c>
      <c r="B5" s="570">
        <v>1024.3839129550001</v>
      </c>
      <c r="C5" s="571">
        <v>898.19810999000003</v>
      </c>
      <c r="D5" s="483">
        <f>IF(C5=0,"",B5/C5-1)</f>
        <v>0.14048771820106043</v>
      </c>
      <c r="E5" s="126"/>
      <c r="F5" s="126"/>
      <c r="G5" s="126"/>
      <c r="H5" s="126"/>
      <c r="I5" s="126"/>
      <c r="J5" s="126"/>
      <c r="K5" s="126"/>
      <c r="L5" s="558"/>
      <c r="M5" s="554" t="s">
        <v>563</v>
      </c>
      <c r="N5" s="554"/>
      <c r="O5" s="554">
        <v>0.66622925249999998</v>
      </c>
      <c r="P5" s="745"/>
    </row>
    <row r="6" spans="1:16" ht="9" customHeight="1">
      <c r="A6" s="484" t="s">
        <v>540</v>
      </c>
      <c r="B6" s="572">
        <v>743.16916249999986</v>
      </c>
      <c r="C6" s="572"/>
      <c r="D6" s="485" t="str">
        <f t="shared" ref="D6:D69" si="0">IF(C6=0,"",B6/C6-1)</f>
        <v/>
      </c>
      <c r="E6" s="269"/>
      <c r="F6" s="126"/>
      <c r="G6" s="126"/>
      <c r="H6" s="126"/>
      <c r="I6" s="126"/>
      <c r="J6" s="126"/>
      <c r="K6" s="126"/>
      <c r="M6" s="553" t="s">
        <v>364</v>
      </c>
      <c r="N6" s="554"/>
      <c r="O6" s="554">
        <v>1.8603020125</v>
      </c>
    </row>
    <row r="7" spans="1:16" ht="9" customHeight="1">
      <c r="A7" s="482" t="s">
        <v>83</v>
      </c>
      <c r="B7" s="571">
        <v>626.0787762425</v>
      </c>
      <c r="C7" s="571">
        <v>627.12455312750001</v>
      </c>
      <c r="D7" s="483">
        <f t="shared" si="0"/>
        <v>-1.6675744551615246E-3</v>
      </c>
      <c r="E7" s="126"/>
      <c r="F7" s="126"/>
      <c r="G7" s="126"/>
      <c r="H7" s="126"/>
      <c r="I7" s="126"/>
      <c r="K7" s="126"/>
      <c r="M7" s="554" t="s">
        <v>93</v>
      </c>
      <c r="N7" s="554">
        <v>0</v>
      </c>
      <c r="O7" s="554">
        <v>30.42784047</v>
      </c>
    </row>
    <row r="8" spans="1:16" ht="9" customHeight="1">
      <c r="A8" s="484" t="s">
        <v>81</v>
      </c>
      <c r="B8" s="572">
        <v>467.54827620250001</v>
      </c>
      <c r="C8" s="572">
        <v>761.92701627000019</v>
      </c>
      <c r="D8" s="485">
        <f t="shared" si="0"/>
        <v>-0.38636081118192389</v>
      </c>
      <c r="E8" s="126"/>
      <c r="F8" s="126"/>
      <c r="G8" s="126"/>
      <c r="H8" s="126"/>
      <c r="I8" s="126"/>
      <c r="J8" s="126"/>
      <c r="K8" s="126"/>
      <c r="M8" s="554" t="s">
        <v>108</v>
      </c>
      <c r="N8" s="554">
        <v>0</v>
      </c>
      <c r="O8" s="554">
        <v>0.999981275</v>
      </c>
    </row>
    <row r="9" spans="1:16" ht="9" customHeight="1">
      <c r="A9" s="482" t="s">
        <v>84</v>
      </c>
      <c r="B9" s="571">
        <v>263.3220966975</v>
      </c>
      <c r="C9" s="571">
        <v>206.71597733749999</v>
      </c>
      <c r="D9" s="483">
        <f t="shared" si="0"/>
        <v>0.27383524045449392</v>
      </c>
      <c r="E9" s="126"/>
      <c r="F9" s="126"/>
      <c r="G9" s="126"/>
      <c r="H9" s="126"/>
      <c r="I9" s="126"/>
      <c r="J9" s="126"/>
      <c r="K9" s="126"/>
      <c r="L9" s="557"/>
      <c r="M9" s="554" t="s">
        <v>784</v>
      </c>
      <c r="N9" s="554">
        <v>0</v>
      </c>
      <c r="O9" s="554">
        <v>0</v>
      </c>
    </row>
    <row r="10" spans="1:16" ht="9" customHeight="1">
      <c r="A10" s="484" t="s">
        <v>182</v>
      </c>
      <c r="B10" s="572">
        <v>244.32597157499998</v>
      </c>
      <c r="C10" s="572">
        <v>273.43286563000004</v>
      </c>
      <c r="D10" s="485">
        <f t="shared" si="0"/>
        <v>-0.10644987385820148</v>
      </c>
      <c r="E10" s="126"/>
      <c r="F10" s="126"/>
      <c r="G10" s="126"/>
      <c r="H10" s="126"/>
      <c r="I10" s="126"/>
      <c r="J10" s="126"/>
      <c r="K10" s="126"/>
      <c r="L10" s="558"/>
      <c r="M10" s="553" t="s">
        <v>110</v>
      </c>
      <c r="N10" s="554">
        <v>0</v>
      </c>
      <c r="O10" s="554">
        <v>0</v>
      </c>
    </row>
    <row r="11" spans="1:16" ht="9" customHeight="1">
      <c r="A11" s="482" t="s">
        <v>183</v>
      </c>
      <c r="B11" s="571">
        <v>229.19994557000001</v>
      </c>
      <c r="C11" s="571">
        <v>232.47861499249998</v>
      </c>
      <c r="D11" s="483">
        <f t="shared" si="0"/>
        <v>-1.4103101150210073E-2</v>
      </c>
      <c r="E11" s="126"/>
      <c r="F11" s="126"/>
      <c r="G11" s="126"/>
      <c r="H11" s="126"/>
      <c r="I11" s="126"/>
      <c r="J11" s="126"/>
      <c r="K11" s="126"/>
      <c r="L11" s="558"/>
      <c r="M11" s="553" t="s">
        <v>380</v>
      </c>
      <c r="N11" s="554">
        <v>6.8851005000000007E-2</v>
      </c>
      <c r="O11" s="554">
        <v>6.9539187500000002E-2</v>
      </c>
    </row>
    <row r="12" spans="1:16" ht="9" customHeight="1">
      <c r="A12" s="484" t="s">
        <v>180</v>
      </c>
      <c r="B12" s="572">
        <v>179.53112909750001</v>
      </c>
      <c r="C12" s="572">
        <v>169.99158005999999</v>
      </c>
      <c r="D12" s="486">
        <f t="shared" si="0"/>
        <v>5.6117773798755044E-2</v>
      </c>
      <c r="E12" s="126"/>
      <c r="F12" s="126"/>
      <c r="G12" s="126"/>
      <c r="H12" s="126"/>
      <c r="I12" s="126"/>
      <c r="J12" s="126"/>
      <c r="K12" s="126"/>
      <c r="L12" s="558"/>
      <c r="M12" s="554" t="s">
        <v>107</v>
      </c>
      <c r="N12" s="554">
        <v>9.7544647500000012E-2</v>
      </c>
      <c r="O12" s="554">
        <v>0.12770401749999999</v>
      </c>
    </row>
    <row r="13" spans="1:16" ht="9" customHeight="1">
      <c r="A13" s="482" t="s">
        <v>88</v>
      </c>
      <c r="B13" s="571">
        <v>145.87335114999999</v>
      </c>
      <c r="C13" s="571">
        <v>116.346278915</v>
      </c>
      <c r="D13" s="483">
        <f t="shared" si="0"/>
        <v>0.25378613317381471</v>
      </c>
      <c r="E13" s="126"/>
      <c r="F13" s="126"/>
      <c r="G13" s="126"/>
      <c r="H13" s="126"/>
      <c r="I13" s="126"/>
      <c r="J13" s="126"/>
      <c r="K13" s="126"/>
      <c r="L13" s="558"/>
      <c r="M13" s="554" t="s">
        <v>783</v>
      </c>
      <c r="N13" s="554">
        <v>9.8411609999999997E-2</v>
      </c>
      <c r="O13" s="554">
        <v>0.13646533999999999</v>
      </c>
    </row>
    <row r="14" spans="1:16" ht="9" customHeight="1">
      <c r="A14" s="484" t="s">
        <v>86</v>
      </c>
      <c r="B14" s="572">
        <v>121.87199674999999</v>
      </c>
      <c r="C14" s="572">
        <v>121.988257</v>
      </c>
      <c r="D14" s="485">
        <f t="shared" si="0"/>
        <v>-9.5304460330147833E-4</v>
      </c>
      <c r="E14" s="126"/>
      <c r="F14" s="126"/>
      <c r="G14" s="126"/>
      <c r="H14" s="126"/>
      <c r="I14" s="126"/>
      <c r="J14" s="126"/>
      <c r="K14" s="126"/>
      <c r="L14" s="558"/>
      <c r="M14" s="554" t="s">
        <v>365</v>
      </c>
      <c r="N14" s="554">
        <v>0.22616325000000001</v>
      </c>
      <c r="O14" s="554">
        <v>0.23515975</v>
      </c>
    </row>
    <row r="15" spans="1:16" ht="9" customHeight="1">
      <c r="A15" s="482" t="s">
        <v>87</v>
      </c>
      <c r="B15" s="571">
        <v>116.870219405</v>
      </c>
      <c r="C15" s="571">
        <v>83.043059749999998</v>
      </c>
      <c r="D15" s="483">
        <f t="shared" si="0"/>
        <v>0.40734481312268844</v>
      </c>
      <c r="E15" s="126"/>
      <c r="F15" s="126"/>
      <c r="G15" s="126"/>
      <c r="H15" s="126"/>
      <c r="I15" s="126"/>
      <c r="J15" s="126"/>
      <c r="K15" s="126" t="s">
        <v>7</v>
      </c>
      <c r="L15" s="558"/>
      <c r="M15" s="554" t="s">
        <v>782</v>
      </c>
      <c r="N15" s="554">
        <v>0.25062675499999998</v>
      </c>
      <c r="O15" s="554">
        <v>2.1113875000000003E-3</v>
      </c>
    </row>
    <row r="16" spans="1:16" ht="9" customHeight="1">
      <c r="A16" s="484" t="s">
        <v>89</v>
      </c>
      <c r="B16" s="572">
        <v>80.034046579999995</v>
      </c>
      <c r="C16" s="572">
        <v>66.5268939475</v>
      </c>
      <c r="D16" s="485">
        <f t="shared" si="0"/>
        <v>0.20303296653469527</v>
      </c>
      <c r="E16" s="126"/>
      <c r="F16" s="126"/>
      <c r="G16" s="126"/>
      <c r="H16" s="126"/>
      <c r="I16" s="126"/>
      <c r="J16" s="126"/>
      <c r="K16" s="126"/>
      <c r="L16" s="558"/>
      <c r="M16" s="553" t="s">
        <v>97</v>
      </c>
      <c r="N16" s="554">
        <v>0.36170688000000001</v>
      </c>
      <c r="O16" s="554">
        <v>1.8968526475</v>
      </c>
    </row>
    <row r="17" spans="1:15" ht="9" customHeight="1">
      <c r="A17" s="482" t="s">
        <v>85</v>
      </c>
      <c r="B17" s="571">
        <v>69.286821357499988</v>
      </c>
      <c r="C17" s="571">
        <v>67.409191942500001</v>
      </c>
      <c r="D17" s="483">
        <f t="shared" si="0"/>
        <v>2.7854204462228305E-2</v>
      </c>
      <c r="E17" s="126"/>
      <c r="F17" s="126"/>
      <c r="G17" s="126"/>
      <c r="H17" s="126"/>
      <c r="I17" s="126"/>
      <c r="J17" s="126"/>
      <c r="K17" s="126"/>
      <c r="L17" s="559"/>
      <c r="M17" s="554" t="s">
        <v>185</v>
      </c>
      <c r="N17" s="554">
        <v>0.7987582124999999</v>
      </c>
      <c r="O17" s="554">
        <v>0.3980762075</v>
      </c>
    </row>
    <row r="18" spans="1:15" ht="9" customHeight="1">
      <c r="A18" s="484" t="s">
        <v>778</v>
      </c>
      <c r="B18" s="572">
        <v>66.223657287500004</v>
      </c>
      <c r="C18" s="572">
        <v>47.456646462500004</v>
      </c>
      <c r="D18" s="485">
        <f t="shared" si="0"/>
        <v>0.39545589973007456</v>
      </c>
      <c r="E18" s="126"/>
      <c r="F18" s="126"/>
      <c r="G18" s="126"/>
      <c r="H18" s="126"/>
      <c r="I18" s="126"/>
      <c r="J18" s="126"/>
      <c r="K18" s="126"/>
      <c r="L18" s="558"/>
      <c r="M18" s="553" t="s">
        <v>106</v>
      </c>
      <c r="N18" s="554">
        <v>1.3898524999999999</v>
      </c>
      <c r="O18" s="554">
        <v>2.29938325</v>
      </c>
    </row>
    <row r="19" spans="1:15" ht="9" customHeight="1">
      <c r="A19" s="482" t="s">
        <v>376</v>
      </c>
      <c r="B19" s="571">
        <v>54.581911249999997</v>
      </c>
      <c r="C19" s="571">
        <v>63.264300000000006</v>
      </c>
      <c r="D19" s="483">
        <f t="shared" si="0"/>
        <v>-0.13723994021904939</v>
      </c>
      <c r="E19" s="126"/>
      <c r="F19" s="126"/>
      <c r="G19" s="126"/>
      <c r="H19" s="126"/>
      <c r="I19" s="126"/>
      <c r="J19" s="126"/>
      <c r="K19" s="126"/>
      <c r="L19" s="558"/>
      <c r="M19" s="554" t="s">
        <v>533</v>
      </c>
      <c r="N19" s="554">
        <v>1.6491182775</v>
      </c>
      <c r="O19" s="554">
        <v>1.338415015</v>
      </c>
    </row>
    <row r="20" spans="1:15" ht="9" customHeight="1">
      <c r="A20" s="484" t="s">
        <v>620</v>
      </c>
      <c r="B20" s="572">
        <v>51.283626999999996</v>
      </c>
      <c r="C20" s="572"/>
      <c r="D20" s="485" t="str">
        <f t="shared" si="0"/>
        <v/>
      </c>
      <c r="E20" s="126"/>
      <c r="F20" s="126"/>
      <c r="G20" s="126"/>
      <c r="H20" s="126"/>
      <c r="I20" s="126"/>
      <c r="J20" s="126"/>
      <c r="K20" s="126"/>
      <c r="L20" s="558"/>
      <c r="M20" s="553" t="s">
        <v>104</v>
      </c>
      <c r="N20" s="554">
        <v>2.0292712750000002</v>
      </c>
      <c r="O20" s="554">
        <v>2.0809973749999999</v>
      </c>
    </row>
    <row r="21" spans="1:15" ht="9" customHeight="1">
      <c r="A21" s="482" t="s">
        <v>351</v>
      </c>
      <c r="B21" s="571">
        <v>50.441341000000001</v>
      </c>
      <c r="C21" s="571">
        <v>30.9950565</v>
      </c>
      <c r="D21" s="483">
        <f t="shared" si="0"/>
        <v>0.62739954998952818</v>
      </c>
      <c r="E21" s="126"/>
      <c r="F21" s="126"/>
      <c r="G21" s="126"/>
      <c r="H21" s="126"/>
      <c r="I21" s="126"/>
      <c r="J21" s="126"/>
      <c r="K21" s="126"/>
      <c r="L21" s="559"/>
      <c r="M21" s="553" t="s">
        <v>105</v>
      </c>
      <c r="N21" s="554">
        <v>2.1709999999999998</v>
      </c>
      <c r="O21" s="554">
        <v>2.1181000000000001</v>
      </c>
    </row>
    <row r="22" spans="1:15" ht="9" customHeight="1">
      <c r="A22" s="484" t="s">
        <v>621</v>
      </c>
      <c r="B22" s="572">
        <v>43.4577076375</v>
      </c>
      <c r="C22" s="572"/>
      <c r="D22" s="485" t="str">
        <f t="shared" si="0"/>
        <v/>
      </c>
      <c r="E22" s="126"/>
      <c r="F22" s="126"/>
      <c r="G22" s="126"/>
      <c r="H22" s="126"/>
      <c r="I22" s="126"/>
      <c r="J22" s="126"/>
      <c r="K22" s="126"/>
      <c r="L22" s="558"/>
      <c r="M22" s="553" t="s">
        <v>179</v>
      </c>
      <c r="N22" s="554">
        <v>2.7209241550000001</v>
      </c>
      <c r="O22" s="554">
        <v>0</v>
      </c>
    </row>
    <row r="23" spans="1:15" ht="9" customHeight="1">
      <c r="A23" s="482" t="s">
        <v>99</v>
      </c>
      <c r="B23" s="571">
        <v>41.251642862499999</v>
      </c>
      <c r="C23" s="571">
        <v>25.456688132499998</v>
      </c>
      <c r="D23" s="483">
        <f t="shared" si="0"/>
        <v>0.620463850120194</v>
      </c>
      <c r="E23" s="126"/>
      <c r="F23" s="126"/>
      <c r="G23" s="126"/>
      <c r="H23" s="126"/>
      <c r="I23" s="126"/>
      <c r="J23" s="126"/>
      <c r="K23" s="126"/>
      <c r="L23" s="558"/>
      <c r="M23" s="554" t="s">
        <v>588</v>
      </c>
      <c r="N23" s="554">
        <v>3.2224297374999997</v>
      </c>
      <c r="O23" s="554"/>
    </row>
    <row r="24" spans="1:15" ht="9" customHeight="1">
      <c r="A24" s="484" t="s">
        <v>91</v>
      </c>
      <c r="B24" s="572">
        <v>40.628511374999995</v>
      </c>
      <c r="C24" s="572">
        <v>50.134787500000009</v>
      </c>
      <c r="D24" s="485">
        <f t="shared" si="0"/>
        <v>-0.18961436956325006</v>
      </c>
      <c r="E24" s="126"/>
      <c r="F24" s="126"/>
      <c r="G24" s="126"/>
      <c r="H24" s="126"/>
      <c r="I24" s="126"/>
      <c r="J24" s="126"/>
      <c r="K24" s="126"/>
      <c r="L24" s="558"/>
      <c r="M24" s="553" t="s">
        <v>781</v>
      </c>
      <c r="N24" s="554">
        <v>3.4965368575000002</v>
      </c>
      <c r="O24" s="554">
        <v>3.6998362</v>
      </c>
    </row>
    <row r="25" spans="1:15" ht="9" customHeight="1">
      <c r="A25" s="482" t="s">
        <v>92</v>
      </c>
      <c r="B25" s="571">
        <v>39.594794880000002</v>
      </c>
      <c r="C25" s="571">
        <v>49.263737862500001</v>
      </c>
      <c r="D25" s="483">
        <f t="shared" si="0"/>
        <v>-0.1962689678458216</v>
      </c>
      <c r="E25" s="126"/>
      <c r="F25" s="126"/>
      <c r="G25" s="126"/>
      <c r="H25" s="126"/>
      <c r="I25" s="126"/>
      <c r="J25" s="126"/>
      <c r="K25" s="126"/>
      <c r="L25" s="558"/>
      <c r="M25" s="553" t="s">
        <v>101</v>
      </c>
      <c r="N25" s="554">
        <v>3.5826164999999999</v>
      </c>
      <c r="O25" s="554">
        <v>3.3273852499999998</v>
      </c>
    </row>
    <row r="26" spans="1:15" ht="9" customHeight="1">
      <c r="A26" s="484" t="s">
        <v>547</v>
      </c>
      <c r="B26" s="572">
        <v>37.98758222</v>
      </c>
      <c r="C26" s="572">
        <v>28.7474278575</v>
      </c>
      <c r="D26" s="485">
        <f t="shared" si="0"/>
        <v>0.32142543006988733</v>
      </c>
      <c r="E26" s="126"/>
      <c r="F26" s="126"/>
      <c r="G26" s="126"/>
      <c r="H26" s="126"/>
      <c r="I26" s="126"/>
      <c r="J26" s="126"/>
      <c r="K26" s="126"/>
      <c r="L26" s="558"/>
      <c r="M26" s="553" t="s">
        <v>780</v>
      </c>
      <c r="N26" s="554">
        <v>3.601188665</v>
      </c>
      <c r="O26" s="554">
        <v>3.6244725</v>
      </c>
    </row>
    <row r="27" spans="1:15" ht="9" customHeight="1">
      <c r="A27" s="487" t="s">
        <v>90</v>
      </c>
      <c r="B27" s="571">
        <v>26.325959999999998</v>
      </c>
      <c r="C27" s="571">
        <v>32.838933249999997</v>
      </c>
      <c r="D27" s="483">
        <f t="shared" si="0"/>
        <v>-0.19833084102998377</v>
      </c>
      <c r="E27" s="126"/>
      <c r="F27" s="126"/>
      <c r="G27" s="126"/>
      <c r="H27" s="126"/>
      <c r="I27" s="126"/>
      <c r="J27" s="126"/>
      <c r="K27" s="126"/>
      <c r="L27" s="558"/>
      <c r="M27" s="554" t="s">
        <v>103</v>
      </c>
      <c r="N27" s="554">
        <v>3.6122713175000003</v>
      </c>
      <c r="O27" s="554">
        <v>2.541798</v>
      </c>
    </row>
    <row r="28" spans="1:15" ht="9" customHeight="1">
      <c r="A28" s="488" t="s">
        <v>181</v>
      </c>
      <c r="B28" s="572">
        <v>21.932578030000002</v>
      </c>
      <c r="C28" s="572">
        <v>21.498340542499999</v>
      </c>
      <c r="D28" s="485">
        <f t="shared" si="0"/>
        <v>2.0198651455983763E-2</v>
      </c>
      <c r="E28" s="126"/>
      <c r="F28" s="126"/>
      <c r="G28" s="126"/>
      <c r="H28" s="126"/>
      <c r="I28" s="126"/>
      <c r="J28" s="126"/>
      <c r="K28" s="126"/>
      <c r="L28" s="558"/>
      <c r="M28" s="554" t="s">
        <v>100</v>
      </c>
      <c r="N28" s="554">
        <v>3.7269967499999996</v>
      </c>
      <c r="O28" s="554">
        <v>3.3173359999999996</v>
      </c>
    </row>
    <row r="29" spans="1:15" ht="9" customHeight="1">
      <c r="A29" s="489" t="s">
        <v>102</v>
      </c>
      <c r="B29" s="571">
        <v>21.766173442499998</v>
      </c>
      <c r="C29" s="571">
        <v>18.628147792500002</v>
      </c>
      <c r="D29" s="483">
        <f t="shared" si="0"/>
        <v>0.16845612805710175</v>
      </c>
      <c r="E29" s="126"/>
      <c r="F29" s="126"/>
      <c r="G29" s="126"/>
      <c r="H29" s="126"/>
      <c r="I29" s="126"/>
      <c r="J29" s="126"/>
      <c r="K29" s="126"/>
      <c r="L29" s="558"/>
      <c r="M29" s="554" t="s">
        <v>98</v>
      </c>
      <c r="N29" s="554">
        <v>4.2978164999999997</v>
      </c>
      <c r="O29" s="554">
        <v>4.0192024999999996</v>
      </c>
    </row>
    <row r="30" spans="1:15" ht="9" customHeight="1">
      <c r="A30" s="488" t="s">
        <v>532</v>
      </c>
      <c r="B30" s="572">
        <v>20.487768790000001</v>
      </c>
      <c r="C30" s="572">
        <v>37.624717850000003</v>
      </c>
      <c r="D30" s="485">
        <f t="shared" si="0"/>
        <v>-0.45547050022595725</v>
      </c>
      <c r="E30" s="126"/>
      <c r="F30" s="126"/>
      <c r="G30" s="126"/>
      <c r="H30" s="126"/>
      <c r="I30" s="126"/>
      <c r="J30" s="126"/>
      <c r="K30" s="126"/>
      <c r="L30" s="558"/>
      <c r="M30" s="553" t="s">
        <v>308</v>
      </c>
      <c r="N30" s="554">
        <v>4.6755127749999996</v>
      </c>
      <c r="O30" s="554">
        <v>4.6652184000000005</v>
      </c>
    </row>
    <row r="31" spans="1:15" ht="9" customHeight="1">
      <c r="A31" s="489" t="s">
        <v>538</v>
      </c>
      <c r="B31" s="571">
        <v>18.561772355000002</v>
      </c>
      <c r="C31" s="571"/>
      <c r="D31" s="483" t="str">
        <f t="shared" si="0"/>
        <v/>
      </c>
      <c r="E31" s="126"/>
      <c r="F31" s="126"/>
      <c r="G31" s="126"/>
      <c r="H31" s="126"/>
      <c r="I31" s="126"/>
      <c r="J31" s="126"/>
      <c r="K31" s="126"/>
      <c r="L31" s="558"/>
      <c r="M31" s="553" t="s">
        <v>346</v>
      </c>
      <c r="N31" s="554">
        <v>5.6270887725000005</v>
      </c>
      <c r="O31" s="554">
        <v>5.6636369824999999</v>
      </c>
    </row>
    <row r="32" spans="1:15" ht="9" customHeight="1">
      <c r="A32" s="490" t="s">
        <v>328</v>
      </c>
      <c r="B32" s="572">
        <v>14.745123257500001</v>
      </c>
      <c r="C32" s="572">
        <v>13.98475268</v>
      </c>
      <c r="D32" s="485">
        <f t="shared" si="0"/>
        <v>5.4371399687849209E-2</v>
      </c>
      <c r="E32" s="126"/>
      <c r="F32" s="126"/>
      <c r="G32" s="126"/>
      <c r="H32" s="126"/>
      <c r="I32" s="126"/>
      <c r="J32" s="126"/>
      <c r="K32" s="126"/>
      <c r="L32" s="558"/>
      <c r="M32" s="553" t="s">
        <v>333</v>
      </c>
      <c r="N32" s="554">
        <v>6.9480624999999998</v>
      </c>
      <c r="O32" s="554">
        <v>7.0982749900000002</v>
      </c>
    </row>
    <row r="33" spans="1:15" ht="9" customHeight="1">
      <c r="A33" s="491" t="s">
        <v>348</v>
      </c>
      <c r="B33" s="571">
        <v>14.634209127499998</v>
      </c>
      <c r="C33" s="571">
        <v>14.597301637499999</v>
      </c>
      <c r="D33" s="483">
        <f t="shared" si="0"/>
        <v>2.528377567069251E-3</v>
      </c>
      <c r="E33" s="126"/>
      <c r="F33" s="126"/>
      <c r="G33" s="126"/>
      <c r="H33" s="126"/>
      <c r="I33" s="126"/>
      <c r="J33" s="126"/>
      <c r="K33" s="126"/>
      <c r="L33" s="560"/>
      <c r="M33" s="553" t="s">
        <v>347</v>
      </c>
      <c r="N33" s="554">
        <v>7.1759983099999998</v>
      </c>
      <c r="O33" s="554">
        <v>7.4506600600000006</v>
      </c>
    </row>
    <row r="34" spans="1:15" ht="9" customHeight="1">
      <c r="A34" s="490" t="s">
        <v>557</v>
      </c>
      <c r="B34" s="572">
        <v>14.209103365000001</v>
      </c>
      <c r="C34" s="572">
        <v>10.359182497500001</v>
      </c>
      <c r="D34" s="485">
        <f t="shared" si="0"/>
        <v>0.37164330954002489</v>
      </c>
      <c r="E34" s="126"/>
      <c r="F34" s="126"/>
      <c r="G34" s="126"/>
      <c r="H34" s="126"/>
      <c r="I34" s="126"/>
      <c r="J34" s="126"/>
      <c r="K34" s="126"/>
      <c r="L34" s="560"/>
      <c r="M34" s="554" t="s">
        <v>95</v>
      </c>
      <c r="N34" s="554">
        <v>10.0449825</v>
      </c>
      <c r="O34" s="554">
        <v>13.406419934999999</v>
      </c>
    </row>
    <row r="35" spans="1:15" ht="9" customHeight="1">
      <c r="A35" s="491" t="s">
        <v>184</v>
      </c>
      <c r="B35" s="571">
        <v>14.185688845000001</v>
      </c>
      <c r="C35" s="571">
        <v>16.580469359999999</v>
      </c>
      <c r="D35" s="483">
        <f t="shared" si="0"/>
        <v>-0.14443381927277343</v>
      </c>
      <c r="E35" s="126"/>
      <c r="F35" s="126"/>
      <c r="G35" s="126"/>
      <c r="H35" s="126"/>
      <c r="I35" s="126"/>
      <c r="J35" s="126"/>
      <c r="K35" s="126"/>
      <c r="L35" s="559"/>
      <c r="M35" s="553" t="s">
        <v>94</v>
      </c>
      <c r="N35" s="554">
        <v>11.002386014999999</v>
      </c>
      <c r="O35" s="554">
        <v>6.36984189</v>
      </c>
    </row>
    <row r="36" spans="1:15" ht="9" customHeight="1">
      <c r="A36" s="490" t="s">
        <v>334</v>
      </c>
      <c r="B36" s="572">
        <v>14.131360000000001</v>
      </c>
      <c r="C36" s="572">
        <v>12.633549339999998</v>
      </c>
      <c r="D36" s="485">
        <f t="shared" si="0"/>
        <v>0.11855818342812618</v>
      </c>
      <c r="E36" s="126"/>
      <c r="F36" s="126"/>
      <c r="G36" s="126"/>
      <c r="H36" s="126"/>
      <c r="I36" s="126"/>
      <c r="J36" s="126"/>
      <c r="K36" s="126"/>
      <c r="L36" s="559"/>
      <c r="M36" s="554" t="s">
        <v>543</v>
      </c>
      <c r="N36" s="554">
        <v>11.8481820875</v>
      </c>
      <c r="O36" s="554">
        <v>11.650560414999999</v>
      </c>
    </row>
    <row r="37" spans="1:15" ht="9" customHeight="1">
      <c r="A37" s="491" t="s">
        <v>779</v>
      </c>
      <c r="B37" s="571">
        <v>13.563985750000001</v>
      </c>
      <c r="C37" s="571">
        <v>13.683859250000001</v>
      </c>
      <c r="D37" s="483">
        <f t="shared" si="0"/>
        <v>-8.7602114147732335E-3</v>
      </c>
      <c r="E37" s="126"/>
      <c r="F37" s="126"/>
      <c r="G37" s="126"/>
      <c r="H37" s="126"/>
      <c r="I37" s="126"/>
      <c r="J37" s="126"/>
      <c r="K37" s="126"/>
      <c r="L37" s="559"/>
      <c r="M37" s="553" t="s">
        <v>313</v>
      </c>
      <c r="N37" s="554">
        <v>11.90539777</v>
      </c>
      <c r="O37" s="554">
        <v>7.7835210500000001</v>
      </c>
    </row>
    <row r="38" spans="1:15" ht="9" customHeight="1">
      <c r="A38" s="490" t="s">
        <v>96</v>
      </c>
      <c r="B38" s="572">
        <v>13.54643302</v>
      </c>
      <c r="C38" s="572">
        <v>12.97495799</v>
      </c>
      <c r="D38" s="485">
        <f t="shared" si="0"/>
        <v>4.4044460910042549E-2</v>
      </c>
      <c r="E38" s="126"/>
      <c r="F38" s="126"/>
      <c r="G38" s="126"/>
      <c r="H38" s="126"/>
      <c r="I38" s="126"/>
      <c r="J38" s="126"/>
      <c r="K38" s="126"/>
      <c r="L38" s="560"/>
      <c r="M38" s="554" t="s">
        <v>109</v>
      </c>
      <c r="N38" s="554">
        <v>12.65921825</v>
      </c>
      <c r="O38" s="554">
        <v>13.642853000000001</v>
      </c>
    </row>
    <row r="39" spans="1:15" ht="9" customHeight="1">
      <c r="A39" s="491" t="s">
        <v>302</v>
      </c>
      <c r="B39" s="571">
        <v>13.15633635</v>
      </c>
      <c r="C39" s="571">
        <v>14.855385220000001</v>
      </c>
      <c r="D39" s="483">
        <f t="shared" si="0"/>
        <v>-0.11437258912091686</v>
      </c>
      <c r="E39" s="126"/>
      <c r="F39" s="126"/>
      <c r="G39" s="126"/>
      <c r="H39" s="126"/>
      <c r="I39" s="126"/>
      <c r="J39" s="126"/>
      <c r="K39" s="126"/>
      <c r="L39" s="560"/>
      <c r="M39" s="553" t="s">
        <v>302</v>
      </c>
      <c r="N39" s="554">
        <v>13.15633635</v>
      </c>
      <c r="O39" s="554">
        <v>14.855385220000001</v>
      </c>
    </row>
    <row r="40" spans="1:15" ht="9" customHeight="1">
      <c r="A40" s="488" t="s">
        <v>109</v>
      </c>
      <c r="B40" s="572">
        <v>12.65921825</v>
      </c>
      <c r="C40" s="572">
        <v>13.642853000000001</v>
      </c>
      <c r="D40" s="485">
        <f t="shared" si="0"/>
        <v>-7.2098904092860905E-2</v>
      </c>
      <c r="E40" s="126"/>
      <c r="F40" s="126"/>
      <c r="G40" s="126"/>
      <c r="H40" s="126"/>
      <c r="I40" s="126"/>
      <c r="J40" s="126"/>
      <c r="K40" s="126"/>
      <c r="L40" s="560"/>
      <c r="M40" s="553" t="s">
        <v>96</v>
      </c>
      <c r="N40" s="554">
        <v>13.54643302</v>
      </c>
      <c r="O40" s="554">
        <v>12.97495799</v>
      </c>
    </row>
    <row r="41" spans="1:15" ht="9" customHeight="1">
      <c r="A41" s="489" t="s">
        <v>313</v>
      </c>
      <c r="B41" s="571">
        <v>11.90539777</v>
      </c>
      <c r="C41" s="571">
        <v>7.7835210500000001</v>
      </c>
      <c r="D41" s="483">
        <f t="shared" si="0"/>
        <v>0.52956453686214422</v>
      </c>
      <c r="E41" s="126"/>
      <c r="F41" s="126"/>
      <c r="G41" s="126"/>
      <c r="H41" s="126"/>
      <c r="I41" s="126"/>
      <c r="J41" s="126"/>
      <c r="K41" s="126"/>
      <c r="M41" s="555" t="s">
        <v>779</v>
      </c>
      <c r="N41" s="554">
        <v>13.563985750000001</v>
      </c>
      <c r="O41" s="554">
        <v>13.683859250000001</v>
      </c>
    </row>
    <row r="42" spans="1:15" ht="9" customHeight="1">
      <c r="A42" s="488" t="s">
        <v>543</v>
      </c>
      <c r="B42" s="572">
        <v>11.8481820875</v>
      </c>
      <c r="C42" s="572">
        <v>11.650560414999999</v>
      </c>
      <c r="D42" s="485">
        <f t="shared" si="0"/>
        <v>1.6962417725894463E-2</v>
      </c>
      <c r="E42" s="126"/>
      <c r="F42" s="126"/>
      <c r="G42" s="126"/>
      <c r="H42" s="126"/>
      <c r="I42" s="126"/>
      <c r="J42" s="126"/>
      <c r="K42" s="126"/>
      <c r="M42" s="553" t="s">
        <v>334</v>
      </c>
      <c r="N42" s="554">
        <v>14.131360000000001</v>
      </c>
      <c r="O42" s="554">
        <v>12.633549339999998</v>
      </c>
    </row>
    <row r="43" spans="1:15" ht="9" customHeight="1">
      <c r="A43" s="489" t="s">
        <v>94</v>
      </c>
      <c r="B43" s="571">
        <v>11.002386014999999</v>
      </c>
      <c r="C43" s="571">
        <v>6.36984189</v>
      </c>
      <c r="D43" s="483">
        <f t="shared" si="0"/>
        <v>0.72726202706422272</v>
      </c>
      <c r="E43" s="126"/>
      <c r="F43" s="126"/>
      <c r="G43" s="126"/>
      <c r="H43" s="126"/>
      <c r="I43" s="126"/>
      <c r="J43" s="126"/>
      <c r="K43" s="126"/>
      <c r="M43" s="553" t="s">
        <v>184</v>
      </c>
      <c r="N43" s="554">
        <v>14.185688845000001</v>
      </c>
      <c r="O43" s="554">
        <v>16.580469359999999</v>
      </c>
    </row>
    <row r="44" spans="1:15" ht="9" customHeight="1">
      <c r="A44" s="488" t="s">
        <v>95</v>
      </c>
      <c r="B44" s="572">
        <v>10.0449825</v>
      </c>
      <c r="C44" s="572">
        <v>13.406419934999999</v>
      </c>
      <c r="D44" s="485">
        <f t="shared" si="0"/>
        <v>-0.2507334136404552</v>
      </c>
      <c r="E44" s="126"/>
      <c r="F44" s="126"/>
      <c r="G44" s="126"/>
      <c r="H44" s="126"/>
      <c r="I44" s="126"/>
      <c r="J44" s="126"/>
      <c r="K44" s="126"/>
      <c r="M44" s="553" t="s">
        <v>557</v>
      </c>
      <c r="N44" s="554">
        <v>14.209103365000001</v>
      </c>
      <c r="O44" s="554">
        <v>10.359182497500001</v>
      </c>
    </row>
    <row r="45" spans="1:15" ht="9" customHeight="1">
      <c r="A45" s="489" t="s">
        <v>347</v>
      </c>
      <c r="B45" s="571">
        <v>7.1759983099999998</v>
      </c>
      <c r="C45" s="571">
        <v>7.4506600600000006</v>
      </c>
      <c r="D45" s="483">
        <f t="shared" si="0"/>
        <v>-3.6864082885027072E-2</v>
      </c>
      <c r="E45" s="126"/>
      <c r="F45" s="126"/>
      <c r="G45" s="126"/>
      <c r="H45" s="126"/>
      <c r="I45" s="126"/>
      <c r="J45" s="126"/>
      <c r="K45" s="126"/>
      <c r="M45" s="554" t="s">
        <v>348</v>
      </c>
      <c r="N45" s="554">
        <v>14.634209127499998</v>
      </c>
      <c r="O45" s="554">
        <v>14.597301637499999</v>
      </c>
    </row>
    <row r="46" spans="1:15" ht="9" customHeight="1">
      <c r="A46" s="488" t="s">
        <v>333</v>
      </c>
      <c r="B46" s="572">
        <v>6.9480624999999998</v>
      </c>
      <c r="C46" s="572">
        <v>7.0982749900000002</v>
      </c>
      <c r="D46" s="485">
        <f t="shared" si="0"/>
        <v>-2.1161830192774844E-2</v>
      </c>
      <c r="E46" s="126"/>
      <c r="F46" s="126"/>
      <c r="G46" s="126"/>
      <c r="H46" s="126"/>
      <c r="I46" s="126"/>
      <c r="J46" s="126"/>
      <c r="K46" s="126"/>
      <c r="M46" s="556" t="s">
        <v>328</v>
      </c>
      <c r="N46" s="554">
        <v>14.745123257500001</v>
      </c>
      <c r="O46" s="554">
        <v>13.98475268</v>
      </c>
    </row>
    <row r="47" spans="1:15" ht="9" customHeight="1">
      <c r="A47" s="491" t="s">
        <v>346</v>
      </c>
      <c r="B47" s="571">
        <v>5.6270887725000005</v>
      </c>
      <c r="C47" s="571">
        <v>5.6636369824999999</v>
      </c>
      <c r="D47" s="483">
        <f t="shared" si="0"/>
        <v>-6.4531342868423547E-3</v>
      </c>
      <c r="E47" s="126"/>
      <c r="F47" s="126"/>
      <c r="G47" s="126"/>
      <c r="H47" s="126"/>
      <c r="I47" s="126"/>
      <c r="J47" s="126"/>
      <c r="K47" s="126"/>
      <c r="M47" s="553" t="s">
        <v>538</v>
      </c>
      <c r="N47" s="554">
        <v>18.561772355000002</v>
      </c>
      <c r="O47" s="554"/>
    </row>
    <row r="48" spans="1:15" ht="9" customHeight="1">
      <c r="A48" s="488" t="s">
        <v>308</v>
      </c>
      <c r="B48" s="572">
        <v>4.6755127749999996</v>
      </c>
      <c r="C48" s="572">
        <v>4.6652184000000005</v>
      </c>
      <c r="D48" s="485">
        <f t="shared" si="0"/>
        <v>2.206622309471884E-3</v>
      </c>
      <c r="E48" s="126"/>
      <c r="F48" s="126"/>
      <c r="G48" s="126"/>
      <c r="H48" s="126"/>
      <c r="I48" s="126"/>
      <c r="J48" s="126"/>
      <c r="K48" s="126"/>
      <c r="M48" s="553" t="s">
        <v>532</v>
      </c>
      <c r="N48" s="554">
        <v>20.487768790000001</v>
      </c>
      <c r="O48" s="554">
        <v>37.624717850000003</v>
      </c>
    </row>
    <row r="49" spans="1:20" ht="9" customHeight="1">
      <c r="A49" s="489" t="s">
        <v>98</v>
      </c>
      <c r="B49" s="571">
        <v>4.2978164999999997</v>
      </c>
      <c r="C49" s="571">
        <v>4.0192024999999996</v>
      </c>
      <c r="D49" s="483">
        <f t="shared" si="0"/>
        <v>6.9320717231838858E-2</v>
      </c>
      <c r="E49" s="126"/>
      <c r="F49" s="126"/>
      <c r="G49" s="126"/>
      <c r="H49" s="126"/>
      <c r="I49" s="126"/>
      <c r="J49" s="126"/>
      <c r="K49" s="126"/>
      <c r="M49" s="553" t="s">
        <v>102</v>
      </c>
      <c r="N49" s="554">
        <v>21.766173442499998</v>
      </c>
      <c r="O49" s="554">
        <v>18.628147792500002</v>
      </c>
    </row>
    <row r="50" spans="1:20" ht="9" customHeight="1">
      <c r="A50" s="490" t="s">
        <v>100</v>
      </c>
      <c r="B50" s="572">
        <v>3.7269967499999996</v>
      </c>
      <c r="C50" s="572">
        <v>3.3173359999999996</v>
      </c>
      <c r="D50" s="485">
        <f t="shared" si="0"/>
        <v>0.12349088244302053</v>
      </c>
      <c r="E50" s="126"/>
      <c r="F50" s="126"/>
      <c r="G50" s="126"/>
      <c r="H50" s="126"/>
      <c r="I50" s="126"/>
      <c r="J50" s="126"/>
      <c r="K50" s="126"/>
      <c r="M50" s="553" t="s">
        <v>181</v>
      </c>
      <c r="N50" s="554">
        <v>21.932578030000002</v>
      </c>
      <c r="O50" s="554">
        <v>21.498340542499999</v>
      </c>
    </row>
    <row r="51" spans="1:20" ht="9" customHeight="1">
      <c r="A51" s="489" t="s">
        <v>103</v>
      </c>
      <c r="B51" s="571">
        <v>3.6122713175000003</v>
      </c>
      <c r="C51" s="571">
        <v>2.541798</v>
      </c>
      <c r="D51" s="483">
        <f t="shared" si="0"/>
        <v>0.42114806821785211</v>
      </c>
      <c r="E51" s="126"/>
      <c r="F51" s="126"/>
      <c r="G51" s="126"/>
      <c r="H51" s="126"/>
      <c r="I51" s="126"/>
      <c r="J51" s="126"/>
      <c r="K51" s="126"/>
      <c r="M51" s="553" t="s">
        <v>90</v>
      </c>
      <c r="N51" s="554">
        <v>26.325959999999998</v>
      </c>
      <c r="O51" s="554">
        <v>32.838933249999997</v>
      </c>
    </row>
    <row r="52" spans="1:20" ht="9" customHeight="1">
      <c r="A52" s="488" t="s">
        <v>780</v>
      </c>
      <c r="B52" s="572">
        <v>3.601188665</v>
      </c>
      <c r="C52" s="572">
        <v>3.6244725</v>
      </c>
      <c r="D52" s="485">
        <f t="shared" si="0"/>
        <v>-6.4240617082899076E-3</v>
      </c>
      <c r="E52" s="126"/>
      <c r="F52" s="126"/>
      <c r="G52" s="126"/>
      <c r="H52" s="126"/>
      <c r="I52" s="126"/>
      <c r="J52" s="126"/>
      <c r="K52" s="126"/>
      <c r="M52" s="553" t="s">
        <v>547</v>
      </c>
      <c r="N52" s="554">
        <v>37.98758222</v>
      </c>
      <c r="O52" s="554">
        <v>28.7474278575</v>
      </c>
    </row>
    <row r="53" spans="1:20" ht="9" customHeight="1">
      <c r="A53" s="489" t="s">
        <v>101</v>
      </c>
      <c r="B53" s="571">
        <v>3.5826164999999999</v>
      </c>
      <c r="C53" s="571">
        <v>3.3273852499999998</v>
      </c>
      <c r="D53" s="483">
        <f t="shared" si="0"/>
        <v>7.6706251552927318E-2</v>
      </c>
      <c r="E53" s="126"/>
      <c r="F53" s="126"/>
      <c r="G53" s="126"/>
      <c r="H53" s="126"/>
      <c r="I53" s="126"/>
      <c r="J53" s="126"/>
      <c r="K53" s="126"/>
      <c r="M53" s="554" t="s">
        <v>92</v>
      </c>
      <c r="N53" s="554">
        <v>39.594794880000002</v>
      </c>
      <c r="O53" s="554">
        <v>49.263737862500001</v>
      </c>
    </row>
    <row r="54" spans="1:20" ht="9" customHeight="1">
      <c r="A54" s="488" t="s">
        <v>781</v>
      </c>
      <c r="B54" s="572">
        <v>3.4965368575000002</v>
      </c>
      <c r="C54" s="572">
        <v>3.6998362</v>
      </c>
      <c r="D54" s="485">
        <f t="shared" si="0"/>
        <v>-5.4948200814944115E-2</v>
      </c>
      <c r="E54" s="126"/>
      <c r="F54" s="126"/>
      <c r="G54" s="126"/>
      <c r="H54" s="126"/>
      <c r="I54" s="126"/>
      <c r="J54" s="126"/>
      <c r="K54" s="126"/>
      <c r="M54" s="553" t="s">
        <v>91</v>
      </c>
      <c r="N54" s="554">
        <v>40.628511374999995</v>
      </c>
      <c r="O54" s="554">
        <v>50.134787500000009</v>
      </c>
    </row>
    <row r="55" spans="1:20" ht="9" customHeight="1">
      <c r="A55" s="491" t="s">
        <v>588</v>
      </c>
      <c r="B55" s="571">
        <v>3.2224297374999997</v>
      </c>
      <c r="C55" s="571"/>
      <c r="D55" s="483" t="str">
        <f t="shared" si="0"/>
        <v/>
      </c>
      <c r="E55" s="126"/>
      <c r="F55" s="126"/>
      <c r="G55" s="126"/>
      <c r="H55" s="126"/>
      <c r="I55" s="126"/>
      <c r="J55" s="126"/>
      <c r="K55" s="126"/>
      <c r="M55" s="553" t="s">
        <v>99</v>
      </c>
      <c r="N55" s="554">
        <v>41.251642862499999</v>
      </c>
      <c r="O55" s="554">
        <v>25.456688132499998</v>
      </c>
    </row>
    <row r="56" spans="1:20" ht="9" customHeight="1">
      <c r="A56" s="488" t="s">
        <v>179</v>
      </c>
      <c r="B56" s="572">
        <v>2.7209241550000001</v>
      </c>
      <c r="C56" s="572">
        <v>0</v>
      </c>
      <c r="D56" s="485" t="str">
        <f t="shared" si="0"/>
        <v/>
      </c>
      <c r="E56" s="126"/>
      <c r="F56" s="126"/>
      <c r="G56" s="126"/>
      <c r="H56" s="126"/>
      <c r="I56" s="126"/>
      <c r="J56" s="126"/>
      <c r="K56" s="126"/>
      <c r="M56" s="554" t="s">
        <v>621</v>
      </c>
      <c r="N56" s="554">
        <v>43.4577076375</v>
      </c>
      <c r="O56" s="554"/>
    </row>
    <row r="57" spans="1:20" ht="9" customHeight="1">
      <c r="A57" s="489" t="s">
        <v>105</v>
      </c>
      <c r="B57" s="571">
        <v>2.1709999999999998</v>
      </c>
      <c r="C57" s="571">
        <v>2.1181000000000001</v>
      </c>
      <c r="D57" s="483">
        <f t="shared" si="0"/>
        <v>2.4975213634861326E-2</v>
      </c>
      <c r="E57" s="126"/>
      <c r="F57" s="126"/>
      <c r="G57" s="126"/>
      <c r="H57" s="126"/>
      <c r="I57" s="126"/>
      <c r="J57" s="126"/>
      <c r="K57" s="126"/>
      <c r="M57" s="553" t="s">
        <v>351</v>
      </c>
      <c r="N57" s="554">
        <v>50.441341000000001</v>
      </c>
      <c r="O57" s="554">
        <v>30.9950565</v>
      </c>
    </row>
    <row r="58" spans="1:20" ht="9" customHeight="1">
      <c r="A58" s="488" t="s">
        <v>104</v>
      </c>
      <c r="B58" s="572">
        <v>2.0292712750000002</v>
      </c>
      <c r="C58" s="572">
        <v>2.0809973749999999</v>
      </c>
      <c r="D58" s="485">
        <f t="shared" si="0"/>
        <v>-2.4856398485365583E-2</v>
      </c>
      <c r="E58" s="126"/>
      <c r="F58" s="126"/>
      <c r="G58" s="126"/>
      <c r="H58" s="126"/>
      <c r="I58" s="126"/>
      <c r="J58" s="126"/>
      <c r="K58" s="126"/>
      <c r="M58" s="553" t="s">
        <v>620</v>
      </c>
      <c r="N58" s="554">
        <v>51.283626999999996</v>
      </c>
      <c r="O58" s="554"/>
    </row>
    <row r="59" spans="1:20" ht="9" customHeight="1">
      <c r="A59" s="489" t="s">
        <v>533</v>
      </c>
      <c r="B59" s="573">
        <v>1.6491182775</v>
      </c>
      <c r="C59" s="573">
        <v>1.338415015</v>
      </c>
      <c r="D59" s="492">
        <f t="shared" si="0"/>
        <v>0.23214269043447633</v>
      </c>
      <c r="E59" s="126"/>
      <c r="F59" s="126"/>
      <c r="G59" s="126"/>
      <c r="H59" s="126"/>
      <c r="I59" s="126"/>
      <c r="J59" s="126"/>
      <c r="K59" s="126"/>
      <c r="M59" s="553" t="s">
        <v>376</v>
      </c>
      <c r="N59" s="554">
        <v>54.581911249999997</v>
      </c>
      <c r="O59" s="554">
        <v>63.264300000000006</v>
      </c>
    </row>
    <row r="60" spans="1:20" ht="9" customHeight="1">
      <c r="A60" s="493" t="s">
        <v>106</v>
      </c>
      <c r="B60" s="572">
        <v>1.3898524999999999</v>
      </c>
      <c r="C60" s="572">
        <v>2.29938325</v>
      </c>
      <c r="D60" s="485">
        <f t="shared" si="0"/>
        <v>-0.3955542208981474</v>
      </c>
      <c r="E60" s="126"/>
      <c r="F60" s="126"/>
      <c r="G60" s="126"/>
      <c r="H60" s="126"/>
      <c r="I60" s="126"/>
      <c r="J60" s="126"/>
      <c r="K60" s="126"/>
      <c r="M60" s="553" t="s">
        <v>778</v>
      </c>
      <c r="N60" s="554">
        <v>66.223657287500004</v>
      </c>
      <c r="O60" s="554">
        <v>47.456646462500004</v>
      </c>
    </row>
    <row r="61" spans="1:20" ht="9" customHeight="1">
      <c r="A61" s="489" t="s">
        <v>185</v>
      </c>
      <c r="B61" s="573">
        <v>0.7987582124999999</v>
      </c>
      <c r="C61" s="573">
        <v>0.3980762075</v>
      </c>
      <c r="D61" s="492">
        <f t="shared" si="0"/>
        <v>1.0065459765012452</v>
      </c>
      <c r="E61" s="126"/>
      <c r="F61" s="126"/>
      <c r="G61" s="126"/>
      <c r="H61" s="126"/>
      <c r="I61" s="126"/>
      <c r="J61" s="126"/>
      <c r="K61" s="126"/>
      <c r="M61" s="553" t="s">
        <v>85</v>
      </c>
      <c r="N61" s="554">
        <v>69.286821357499988</v>
      </c>
      <c r="O61" s="554">
        <v>67.409191942500001</v>
      </c>
      <c r="T61" t="e">
        <f>+#REF!=#REF!</f>
        <v>#REF!</v>
      </c>
    </row>
    <row r="62" spans="1:20" ht="9" customHeight="1">
      <c r="A62" s="493" t="s">
        <v>97</v>
      </c>
      <c r="B62" s="572">
        <v>0.36170688000000001</v>
      </c>
      <c r="C62" s="572">
        <v>1.8968526475</v>
      </c>
      <c r="D62" s="485">
        <f t="shared" si="0"/>
        <v>-0.80931208310950264</v>
      </c>
      <c r="E62" s="126"/>
      <c r="F62" s="126"/>
      <c r="G62" s="126"/>
      <c r="H62" s="126"/>
      <c r="I62" s="126"/>
      <c r="J62" s="126"/>
      <c r="K62" s="126"/>
      <c r="M62" s="553" t="s">
        <v>89</v>
      </c>
      <c r="N62" s="554">
        <v>80.034046579999995</v>
      </c>
      <c r="O62" s="554">
        <v>66.5268939475</v>
      </c>
    </row>
    <row r="63" spans="1:20" ht="9" customHeight="1">
      <c r="A63" s="489" t="s">
        <v>782</v>
      </c>
      <c r="B63" s="573">
        <v>0.25062675499999998</v>
      </c>
      <c r="C63" s="573">
        <v>2.1113875000000003E-3</v>
      </c>
      <c r="D63" s="492">
        <f t="shared" si="0"/>
        <v>117.70239593632147</v>
      </c>
      <c r="E63" s="126"/>
      <c r="F63" s="126"/>
      <c r="G63" s="126"/>
      <c r="H63" s="126"/>
      <c r="I63" s="126"/>
      <c r="J63" s="126"/>
      <c r="K63" s="126"/>
      <c r="M63" s="553" t="s">
        <v>87</v>
      </c>
      <c r="N63" s="554">
        <v>116.870219405</v>
      </c>
      <c r="O63" s="554">
        <v>83.043059749999998</v>
      </c>
    </row>
    <row r="64" spans="1:20" ht="9" customHeight="1">
      <c r="A64" s="493" t="s">
        <v>365</v>
      </c>
      <c r="B64" s="572">
        <v>0.22616325000000001</v>
      </c>
      <c r="C64" s="572">
        <v>0.23515975</v>
      </c>
      <c r="D64" s="485">
        <f t="shared" si="0"/>
        <v>-3.8256972122142407E-2</v>
      </c>
      <c r="E64" s="126"/>
      <c r="F64" s="126"/>
      <c r="G64" s="126"/>
      <c r="H64" s="126"/>
      <c r="I64" s="126"/>
      <c r="J64" s="126"/>
      <c r="K64" s="126"/>
      <c r="M64" s="553" t="s">
        <v>86</v>
      </c>
      <c r="N64" s="554">
        <v>121.87199674999999</v>
      </c>
      <c r="O64" s="554">
        <v>121.988257</v>
      </c>
    </row>
    <row r="65" spans="1:15" ht="9" customHeight="1">
      <c r="A65" s="489" t="s">
        <v>783</v>
      </c>
      <c r="B65" s="573">
        <v>9.8411609999999997E-2</v>
      </c>
      <c r="C65" s="573">
        <v>0.13646533999999999</v>
      </c>
      <c r="D65" s="492">
        <f t="shared" si="0"/>
        <v>-0.27885271087882091</v>
      </c>
      <c r="E65" s="126"/>
      <c r="F65" s="126"/>
      <c r="G65" s="126"/>
      <c r="H65" s="126"/>
      <c r="I65" s="126"/>
      <c r="J65" s="126"/>
      <c r="K65" s="126"/>
      <c r="M65" s="553" t="s">
        <v>88</v>
      </c>
      <c r="N65" s="554">
        <v>145.87335114999999</v>
      </c>
      <c r="O65" s="554">
        <v>116.346278915</v>
      </c>
    </row>
    <row r="66" spans="1:15" ht="9" customHeight="1">
      <c r="A66" s="493" t="s">
        <v>107</v>
      </c>
      <c r="B66" s="572">
        <v>9.7544647500000012E-2</v>
      </c>
      <c r="C66" s="572">
        <v>0.12770401749999999</v>
      </c>
      <c r="D66" s="485">
        <f t="shared" si="0"/>
        <v>-0.23616618012820134</v>
      </c>
      <c r="E66" s="126"/>
      <c r="F66" s="126"/>
      <c r="G66" s="126"/>
      <c r="H66" s="126"/>
      <c r="I66" s="126"/>
      <c r="J66" s="126"/>
      <c r="K66" s="126"/>
      <c r="M66" s="553" t="s">
        <v>180</v>
      </c>
      <c r="N66" s="554">
        <v>179.53112909750001</v>
      </c>
      <c r="O66" s="554">
        <v>169.99158005999999</v>
      </c>
    </row>
    <row r="67" spans="1:15" ht="9" customHeight="1">
      <c r="A67" s="489" t="s">
        <v>380</v>
      </c>
      <c r="B67" s="573">
        <v>6.8851005000000007E-2</v>
      </c>
      <c r="C67" s="573">
        <v>6.9539187500000002E-2</v>
      </c>
      <c r="D67" s="492">
        <f t="shared" si="0"/>
        <v>-9.8963264418353569E-3</v>
      </c>
      <c r="E67" s="126"/>
      <c r="F67" s="126"/>
      <c r="G67" s="126"/>
      <c r="H67" s="126"/>
      <c r="I67" s="126"/>
      <c r="J67" s="126"/>
      <c r="K67" s="126"/>
      <c r="M67" s="553" t="s">
        <v>183</v>
      </c>
      <c r="N67" s="554">
        <v>229.19994557000001</v>
      </c>
      <c r="O67" s="554">
        <v>232.47861499249998</v>
      </c>
    </row>
    <row r="68" spans="1:15" ht="9" customHeight="1">
      <c r="A68" s="493" t="s">
        <v>110</v>
      </c>
      <c r="B68" s="572">
        <v>0</v>
      </c>
      <c r="C68" s="572">
        <v>0</v>
      </c>
      <c r="D68" s="485" t="str">
        <f t="shared" si="0"/>
        <v/>
      </c>
      <c r="E68" s="126"/>
      <c r="F68" s="126"/>
      <c r="G68" s="126"/>
      <c r="H68" s="126"/>
      <c r="I68" s="126"/>
      <c r="J68" s="126"/>
      <c r="K68" s="126"/>
      <c r="M68" s="553" t="s">
        <v>182</v>
      </c>
      <c r="N68" s="554">
        <v>244.32597157499998</v>
      </c>
      <c r="O68" s="554">
        <v>273.43286563000004</v>
      </c>
    </row>
    <row r="69" spans="1:15" ht="9" customHeight="1">
      <c r="A69" s="489" t="s">
        <v>784</v>
      </c>
      <c r="B69" s="573">
        <v>0</v>
      </c>
      <c r="C69" s="573">
        <v>0</v>
      </c>
      <c r="D69" s="492" t="str">
        <f t="shared" si="0"/>
        <v/>
      </c>
      <c r="E69" s="126"/>
      <c r="F69" s="126"/>
      <c r="G69" s="126"/>
      <c r="H69" s="126"/>
      <c r="I69" s="126"/>
      <c r="J69" s="126"/>
      <c r="K69" s="126"/>
      <c r="M69" s="553" t="s">
        <v>84</v>
      </c>
      <c r="N69" s="554">
        <v>263.3220966975</v>
      </c>
      <c r="O69" s="554">
        <v>206.71597733749999</v>
      </c>
    </row>
    <row r="70" spans="1:15" ht="9" customHeight="1">
      <c r="A70" s="493" t="s">
        <v>108</v>
      </c>
      <c r="B70" s="572">
        <v>0</v>
      </c>
      <c r="C70" s="572">
        <v>0.999981275</v>
      </c>
      <c r="D70" s="485">
        <f t="shared" ref="D70:D74" si="1">IF(C70=0,"",B70/C70-1)</f>
        <v>-1</v>
      </c>
      <c r="E70" s="126"/>
      <c r="F70" s="126"/>
      <c r="G70" s="126"/>
      <c r="H70" s="126"/>
      <c r="I70" s="126"/>
      <c r="J70" s="126"/>
      <c r="K70" s="126"/>
      <c r="M70" s="553" t="s">
        <v>81</v>
      </c>
      <c r="N70" s="554">
        <v>467.54827620250001</v>
      </c>
      <c r="O70" s="554">
        <v>761.92701627000019</v>
      </c>
    </row>
    <row r="71" spans="1:15" ht="9" customHeight="1">
      <c r="A71" s="489" t="s">
        <v>93</v>
      </c>
      <c r="B71" s="573">
        <v>0</v>
      </c>
      <c r="C71" s="573">
        <v>30.42784047</v>
      </c>
      <c r="D71" s="492">
        <f t="shared" si="1"/>
        <v>-1</v>
      </c>
      <c r="E71" s="126"/>
      <c r="F71" s="126"/>
      <c r="G71" s="126"/>
      <c r="H71" s="126"/>
      <c r="I71" s="126"/>
      <c r="J71" s="126"/>
      <c r="K71" s="126"/>
      <c r="M71" s="553" t="s">
        <v>83</v>
      </c>
      <c r="N71" s="554">
        <v>626.0787762425</v>
      </c>
      <c r="O71" s="554">
        <v>627.12455312750001</v>
      </c>
    </row>
    <row r="72" spans="1:15" ht="9" customHeight="1">
      <c r="A72" s="493" t="s">
        <v>364</v>
      </c>
      <c r="B72" s="572"/>
      <c r="C72" s="572">
        <v>1.8603020125</v>
      </c>
      <c r="D72" s="485">
        <f t="shared" si="1"/>
        <v>-1</v>
      </c>
      <c r="E72" s="126"/>
      <c r="F72" s="126"/>
      <c r="G72" s="126"/>
      <c r="H72" s="126"/>
      <c r="I72" s="126"/>
      <c r="J72" s="126"/>
      <c r="K72" s="126"/>
      <c r="M72" s="553" t="s">
        <v>540</v>
      </c>
      <c r="N72" s="554">
        <v>743.16916249999986</v>
      </c>
      <c r="O72" s="554"/>
    </row>
    <row r="73" spans="1:15" ht="9" customHeight="1">
      <c r="A73" s="723" t="s">
        <v>563</v>
      </c>
      <c r="B73" s="724"/>
      <c r="C73" s="724">
        <v>0.66622925249999998</v>
      </c>
      <c r="D73" s="725">
        <f t="shared" si="1"/>
        <v>-1</v>
      </c>
      <c r="E73" s="126"/>
      <c r="F73" s="126"/>
      <c r="G73" s="126"/>
      <c r="H73" s="126"/>
      <c r="I73" s="126"/>
      <c r="J73" s="126"/>
      <c r="K73" s="126"/>
      <c r="M73" s="553" t="s">
        <v>777</v>
      </c>
      <c r="N73" s="554">
        <v>1024.3839129550001</v>
      </c>
      <c r="O73" s="554">
        <v>898.19810999000003</v>
      </c>
    </row>
    <row r="74" spans="1:15" ht="9" customHeight="1">
      <c r="A74" s="493" t="s">
        <v>82</v>
      </c>
      <c r="B74" s="572"/>
      <c r="C74" s="572">
        <v>698.64363400000002</v>
      </c>
      <c r="D74" s="485">
        <f t="shared" si="1"/>
        <v>-1</v>
      </c>
      <c r="E74" s="126"/>
      <c r="F74" s="126"/>
      <c r="G74" s="126"/>
      <c r="H74" s="126"/>
      <c r="I74" s="126"/>
      <c r="J74" s="126"/>
      <c r="K74" s="126"/>
      <c r="M74" s="529"/>
      <c r="N74" s="529"/>
      <c r="O74" s="529"/>
    </row>
    <row r="75" spans="1:15" ht="9.6" customHeight="1">
      <c r="A75" s="494" t="s">
        <v>39</v>
      </c>
      <c r="B75" s="574">
        <f>+SUM(B5:B74)</f>
        <v>5077.4818878025035</v>
      </c>
      <c r="C75" s="574">
        <f>+SUM(C5:C74)</f>
        <v>4982.3224490474977</v>
      </c>
      <c r="D75" s="495">
        <f>IF(C75=0,"",B75/C75-1)</f>
        <v>1.9099413923560515E-2</v>
      </c>
      <c r="E75" s="126"/>
      <c r="F75" s="126"/>
      <c r="G75" s="126"/>
      <c r="H75" s="126"/>
      <c r="I75" s="126"/>
      <c r="J75" s="126"/>
      <c r="K75" s="126"/>
    </row>
    <row r="76" spans="1:15" ht="10.199999999999999" customHeight="1">
      <c r="C76" s="728"/>
      <c r="E76" s="126"/>
      <c r="F76" s="126"/>
      <c r="G76" s="126"/>
      <c r="H76" s="126"/>
      <c r="I76" s="126"/>
      <c r="J76" s="126"/>
      <c r="K76" s="126"/>
    </row>
    <row r="77" spans="1:15" ht="36.6" customHeight="1">
      <c r="A77" s="848" t="str">
        <f>"Cuadro N° 7: Participación de las empresas generadoras del COES en la producción de energía eléctrica (GWh) en "&amp;'1. Resumen'!Q4</f>
        <v>Cuadro N° 7: Participación de las empresas generadoras del COES en la producción de energía eléctrica (GWh) en mayo</v>
      </c>
      <c r="B77" s="848"/>
      <c r="C77" s="848"/>
      <c r="D77" s="767"/>
      <c r="E77" s="847" t="str">
        <f>"Gráfico N° 10: Comparación de producción energética (GWh) de las empresas generadoras del COES en "&amp;'1. Resumen'!Q4</f>
        <v>Gráfico N° 10: Comparación de producción energética (GWh) de las empresas generadoras del COES en mayo</v>
      </c>
      <c r="F77" s="847"/>
      <c r="G77" s="847"/>
      <c r="H77" s="847"/>
      <c r="I77" s="847"/>
      <c r="J77" s="847"/>
      <c r="K77" s="847"/>
    </row>
    <row r="78" spans="1:15">
      <c r="A78" s="840"/>
      <c r="B78" s="840"/>
      <c r="C78" s="840"/>
      <c r="D78" s="840"/>
      <c r="E78" s="840"/>
      <c r="F78" s="840"/>
      <c r="G78" s="840"/>
      <c r="H78" s="840"/>
      <c r="I78" s="840"/>
      <c r="J78" s="840"/>
      <c r="K78" s="840"/>
    </row>
    <row r="79" spans="1:15">
      <c r="A79" s="841"/>
      <c r="B79" s="841"/>
      <c r="C79" s="841"/>
      <c r="D79" s="841"/>
      <c r="E79" s="841"/>
      <c r="F79" s="841"/>
      <c r="G79" s="841"/>
      <c r="H79" s="841"/>
      <c r="I79" s="841"/>
      <c r="J79" s="841"/>
      <c r="K79" s="841"/>
    </row>
    <row r="80" spans="1:15">
      <c r="A80" s="840"/>
      <c r="B80" s="840"/>
      <c r="C80" s="840"/>
      <c r="D80" s="840"/>
      <c r="E80" s="840"/>
      <c r="F80" s="840"/>
      <c r="G80" s="840"/>
      <c r="H80" s="840"/>
      <c r="I80" s="840"/>
      <c r="J80" s="840"/>
      <c r="K80" s="840"/>
    </row>
    <row r="81" spans="1:11">
      <c r="A81" s="841"/>
      <c r="B81" s="841"/>
      <c r="C81" s="841"/>
      <c r="D81" s="841"/>
      <c r="E81" s="841"/>
      <c r="F81" s="841"/>
      <c r="G81" s="841"/>
      <c r="H81" s="841"/>
      <c r="I81" s="841"/>
      <c r="J81" s="841"/>
      <c r="K81" s="841"/>
    </row>
  </sheetData>
  <mergeCells count="10">
    <mergeCell ref="A78:K78"/>
    <mergeCell ref="A79:K79"/>
    <mergeCell ref="A80:K80"/>
    <mergeCell ref="A81:K81"/>
    <mergeCell ref="A1:J1"/>
    <mergeCell ref="A3:A4"/>
    <mergeCell ref="B3:D3"/>
    <mergeCell ref="G3:J3"/>
    <mergeCell ref="E77:K77"/>
    <mergeCell ref="A77:C77"/>
  </mergeCells>
  <pageMargins left="0.35186274509803922" right="0.32333333333333331" top="0.97950980392156861" bottom="0.52303921568627454" header="0.31496062992125984" footer="0.31496062992125984"/>
  <pageSetup paperSize="9" scale="97" orientation="portrait" r:id="rId1"/>
  <headerFooter>
    <oddHeader>&amp;R  Informe de la Operación Mensual - mayo 2025
INF-SGI-MES-05-2025
11/06/2025
Versión: 01</oddHeader>
    <oddFooter>&amp;LCOES, 2025&amp;RDirección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2025-06-24T16:24:13Z</cp:lastPrinted>
  <dcterms:created xsi:type="dcterms:W3CDTF">2018-02-13T14:18:17Z</dcterms:created>
  <dcterms:modified xsi:type="dcterms:W3CDTF">2025-06-24T16:26:49Z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